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CONTABLE/"/>
    </mc:Choice>
  </mc:AlternateContent>
  <xr:revisionPtr revIDLastSave="0" documentId="8_{CA5EC215-6BB8-414D-863A-BDD1E030AC0D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Hoja1" sheetId="1" r:id="rId1"/>
  </sheets>
  <definedNames>
    <definedName name="_xlnm.Print_Titles" localSheetId="0">Hoja1!$1:$8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59" i="1" l="1"/>
  <c r="F1059" i="1"/>
  <c r="E1059" i="1"/>
  <c r="D1059" i="1"/>
  <c r="H1057" i="1"/>
  <c r="H1056" i="1"/>
  <c r="H1055" i="1"/>
  <c r="G1054" i="1"/>
  <c r="F1054" i="1"/>
  <c r="D1054" i="1"/>
  <c r="H1054" i="1" s="1"/>
  <c r="H1053" i="1"/>
  <c r="H1052" i="1"/>
  <c r="H1051" i="1"/>
  <c r="H1050" i="1"/>
  <c r="I1049" i="1"/>
  <c r="H1048" i="1"/>
  <c r="I1047" i="1"/>
  <c r="G1046" i="1"/>
  <c r="F1046" i="1"/>
  <c r="E1046" i="1"/>
  <c r="I1046" i="1" s="1"/>
  <c r="I1045" i="1"/>
  <c r="I1044" i="1"/>
  <c r="H1043" i="1"/>
  <c r="I1042" i="1"/>
  <c r="H1041" i="1"/>
  <c r="G1040" i="1"/>
  <c r="F1040" i="1"/>
  <c r="H1040" i="1" s="1"/>
  <c r="D1040" i="1"/>
  <c r="G1039" i="1"/>
  <c r="F1039" i="1"/>
  <c r="D1039" i="1"/>
  <c r="H1039" i="1" s="1"/>
  <c r="G1038" i="1"/>
  <c r="I1038" i="1" s="1"/>
  <c r="F1038" i="1"/>
  <c r="E1038" i="1"/>
  <c r="G1037" i="1"/>
  <c r="F1037" i="1"/>
  <c r="D1037" i="1"/>
  <c r="H1037" i="1" s="1"/>
  <c r="G1036" i="1"/>
  <c r="F1036" i="1"/>
  <c r="I1036" i="1" s="1"/>
  <c r="E1036" i="1"/>
  <c r="G1035" i="1"/>
  <c r="F1035" i="1"/>
  <c r="D1035" i="1"/>
  <c r="H1035" i="1" s="1"/>
  <c r="G1034" i="1"/>
  <c r="H1034" i="1" s="1"/>
  <c r="F1034" i="1"/>
  <c r="D1034" i="1"/>
  <c r="G1033" i="1"/>
  <c r="F1033" i="1"/>
  <c r="E1033" i="1"/>
  <c r="I1033" i="1" s="1"/>
  <c r="G1032" i="1"/>
  <c r="F1032" i="1"/>
  <c r="H1032" i="1" s="1"/>
  <c r="D1032" i="1"/>
  <c r="G1031" i="1"/>
  <c r="F1031" i="1"/>
  <c r="D1031" i="1"/>
  <c r="H1031" i="1" s="1"/>
  <c r="G1030" i="1"/>
  <c r="I1030" i="1" s="1"/>
  <c r="F1030" i="1"/>
  <c r="E1030" i="1"/>
  <c r="G1029" i="1"/>
  <c r="F1029" i="1"/>
  <c r="D1029" i="1"/>
  <c r="H1029" i="1" s="1"/>
  <c r="G1028" i="1"/>
  <c r="F1028" i="1"/>
  <c r="H1028" i="1" s="1"/>
  <c r="D1028" i="1"/>
  <c r="G1027" i="1"/>
  <c r="F1027" i="1"/>
  <c r="E1027" i="1"/>
  <c r="I1027" i="1" s="1"/>
  <c r="G1026" i="1"/>
  <c r="H1026" i="1" s="1"/>
  <c r="F1026" i="1"/>
  <c r="D1026" i="1"/>
  <c r="G1025" i="1"/>
  <c r="F1025" i="1"/>
  <c r="E1025" i="1"/>
  <c r="I1025" i="1" s="1"/>
  <c r="G1024" i="1"/>
  <c r="F1024" i="1"/>
  <c r="H1024" i="1" s="1"/>
  <c r="D1024" i="1"/>
  <c r="G1023" i="1"/>
  <c r="F1023" i="1"/>
  <c r="E1023" i="1"/>
  <c r="I1023" i="1" s="1"/>
  <c r="G1022" i="1"/>
  <c r="H1022" i="1" s="1"/>
  <c r="F1022" i="1"/>
  <c r="D1022" i="1"/>
  <c r="G1021" i="1"/>
  <c r="F1021" i="1"/>
  <c r="D1021" i="1"/>
  <c r="H1021" i="1" s="1"/>
  <c r="G1020" i="1"/>
  <c r="F1020" i="1"/>
  <c r="I1020" i="1" s="1"/>
  <c r="E1020" i="1"/>
  <c r="G1019" i="1"/>
  <c r="F1019" i="1"/>
  <c r="D1019" i="1"/>
  <c r="H1019" i="1" s="1"/>
  <c r="G1018" i="1"/>
  <c r="F1018" i="1"/>
  <c r="E1018" i="1"/>
  <c r="I1018" i="1" s="1"/>
  <c r="G1017" i="1"/>
  <c r="F1017" i="1"/>
  <c r="D1017" i="1"/>
  <c r="H1017" i="1" s="1"/>
  <c r="G1016" i="1"/>
  <c r="F1016" i="1"/>
  <c r="I1016" i="1" s="1"/>
  <c r="E1016" i="1"/>
  <c r="G1015" i="1"/>
  <c r="F1015" i="1"/>
  <c r="D1015" i="1"/>
  <c r="H1015" i="1" s="1"/>
  <c r="G1014" i="1"/>
  <c r="F1014" i="1"/>
  <c r="D1014" i="1"/>
  <c r="H1014" i="1" s="1"/>
  <c r="G1013" i="1"/>
  <c r="F1013" i="1"/>
  <c r="E1013" i="1"/>
  <c r="I1013" i="1" s="1"/>
  <c r="G1012" i="1"/>
  <c r="F1012" i="1"/>
  <c r="H1012" i="1" s="1"/>
  <c r="D1012" i="1"/>
  <c r="G1011" i="1"/>
  <c r="F1011" i="1"/>
  <c r="E1011" i="1"/>
  <c r="I1011" i="1" s="1"/>
  <c r="G1010" i="1"/>
  <c r="F1010" i="1"/>
  <c r="D1010" i="1"/>
  <c r="H1010" i="1" s="1"/>
  <c r="G1009" i="1"/>
  <c r="F1009" i="1"/>
  <c r="E1009" i="1"/>
  <c r="I1009" i="1" s="1"/>
  <c r="G1008" i="1"/>
  <c r="F1008" i="1"/>
  <c r="D1008" i="1"/>
  <c r="H1008" i="1" s="1"/>
  <c r="G1007" i="1"/>
  <c r="F1007" i="1"/>
  <c r="D1007" i="1"/>
  <c r="H1007" i="1" s="1"/>
  <c r="G1006" i="1"/>
  <c r="F1006" i="1"/>
  <c r="D1006" i="1"/>
  <c r="H1006" i="1" s="1"/>
  <c r="H1005" i="1"/>
  <c r="H1004" i="1"/>
  <c r="H1003" i="1"/>
  <c r="H1002" i="1"/>
  <c r="G1002" i="1"/>
  <c r="F1002" i="1"/>
  <c r="D1002" i="1"/>
  <c r="G1001" i="1"/>
  <c r="F1001" i="1"/>
  <c r="D1001" i="1"/>
  <c r="H1001" i="1" s="1"/>
  <c r="G1000" i="1"/>
  <c r="F1000" i="1"/>
  <c r="H1000" i="1" s="1"/>
  <c r="D1000" i="1"/>
  <c r="H999" i="1"/>
  <c r="G999" i="1"/>
  <c r="F999" i="1"/>
  <c r="D999" i="1"/>
  <c r="H998" i="1"/>
  <c r="G998" i="1"/>
  <c r="F998" i="1"/>
  <c r="D998" i="1"/>
  <c r="G997" i="1"/>
  <c r="F997" i="1"/>
  <c r="D997" i="1"/>
  <c r="H997" i="1" s="1"/>
  <c r="G996" i="1"/>
  <c r="F996" i="1"/>
  <c r="H996" i="1" s="1"/>
  <c r="D996" i="1"/>
  <c r="H995" i="1"/>
  <c r="G995" i="1"/>
  <c r="F995" i="1"/>
  <c r="D995" i="1"/>
  <c r="G994" i="1"/>
  <c r="F994" i="1"/>
  <c r="D994" i="1"/>
  <c r="H994" i="1" s="1"/>
  <c r="G993" i="1"/>
  <c r="F993" i="1"/>
  <c r="D993" i="1"/>
  <c r="H993" i="1" s="1"/>
  <c r="G992" i="1"/>
  <c r="F992" i="1"/>
  <c r="H992" i="1" s="1"/>
  <c r="D992" i="1"/>
  <c r="G991" i="1"/>
  <c r="F991" i="1"/>
  <c r="D991" i="1"/>
  <c r="H991" i="1" s="1"/>
  <c r="G990" i="1"/>
  <c r="F990" i="1"/>
  <c r="D990" i="1"/>
  <c r="H990" i="1" s="1"/>
  <c r="G989" i="1"/>
  <c r="F989" i="1"/>
  <c r="D989" i="1"/>
  <c r="H989" i="1" s="1"/>
  <c r="G988" i="1"/>
  <c r="F988" i="1"/>
  <c r="H988" i="1" s="1"/>
  <c r="D988" i="1"/>
  <c r="G987" i="1"/>
  <c r="F987" i="1"/>
  <c r="D987" i="1"/>
  <c r="H987" i="1" s="1"/>
  <c r="G986" i="1"/>
  <c r="F986" i="1"/>
  <c r="D986" i="1"/>
  <c r="H986" i="1" s="1"/>
  <c r="G985" i="1"/>
  <c r="F985" i="1"/>
  <c r="D985" i="1"/>
  <c r="H985" i="1" s="1"/>
  <c r="G984" i="1"/>
  <c r="F984" i="1"/>
  <c r="D984" i="1"/>
  <c r="H984" i="1" s="1"/>
  <c r="G983" i="1"/>
  <c r="F983" i="1"/>
  <c r="D983" i="1"/>
  <c r="H983" i="1" s="1"/>
  <c r="G982" i="1"/>
  <c r="F982" i="1"/>
  <c r="D982" i="1"/>
  <c r="H982" i="1" s="1"/>
  <c r="G981" i="1"/>
  <c r="F981" i="1"/>
  <c r="D981" i="1"/>
  <c r="H981" i="1" s="1"/>
  <c r="G980" i="1"/>
  <c r="F980" i="1"/>
  <c r="D980" i="1"/>
  <c r="H980" i="1" s="1"/>
  <c r="G979" i="1"/>
  <c r="F979" i="1"/>
  <c r="D979" i="1"/>
  <c r="H979" i="1" s="1"/>
  <c r="G978" i="1"/>
  <c r="F978" i="1"/>
  <c r="D978" i="1"/>
  <c r="H978" i="1" s="1"/>
  <c r="H977" i="1"/>
  <c r="G976" i="1"/>
  <c r="F976" i="1"/>
  <c r="D976" i="1"/>
  <c r="H976" i="1" s="1"/>
  <c r="G975" i="1"/>
  <c r="F975" i="1"/>
  <c r="D975" i="1"/>
  <c r="H975" i="1" s="1"/>
  <c r="G974" i="1"/>
  <c r="F974" i="1"/>
  <c r="D974" i="1"/>
  <c r="H974" i="1" s="1"/>
  <c r="G973" i="1"/>
  <c r="F973" i="1"/>
  <c r="H973" i="1" s="1"/>
  <c r="D973" i="1"/>
  <c r="G972" i="1"/>
  <c r="F972" i="1"/>
  <c r="D972" i="1"/>
  <c r="H972" i="1" s="1"/>
  <c r="G971" i="1"/>
  <c r="F971" i="1"/>
  <c r="D971" i="1"/>
  <c r="H971" i="1" s="1"/>
  <c r="G970" i="1"/>
  <c r="F970" i="1"/>
  <c r="D970" i="1"/>
  <c r="H970" i="1" s="1"/>
  <c r="G969" i="1"/>
  <c r="F969" i="1"/>
  <c r="H969" i="1" s="1"/>
  <c r="D969" i="1"/>
  <c r="G968" i="1"/>
  <c r="F968" i="1"/>
  <c r="D968" i="1"/>
  <c r="H968" i="1" s="1"/>
  <c r="G967" i="1"/>
  <c r="F967" i="1"/>
  <c r="D967" i="1"/>
  <c r="H967" i="1" s="1"/>
  <c r="G966" i="1"/>
  <c r="F966" i="1"/>
  <c r="D966" i="1"/>
  <c r="H966" i="1" s="1"/>
  <c r="G965" i="1"/>
  <c r="F965" i="1"/>
  <c r="H965" i="1" s="1"/>
  <c r="D965" i="1"/>
  <c r="G964" i="1"/>
  <c r="F964" i="1"/>
  <c r="D964" i="1"/>
  <c r="H964" i="1" s="1"/>
  <c r="G963" i="1"/>
  <c r="F963" i="1"/>
  <c r="D963" i="1"/>
  <c r="H963" i="1" s="1"/>
  <c r="G962" i="1"/>
  <c r="F962" i="1"/>
  <c r="D962" i="1"/>
  <c r="H962" i="1" s="1"/>
  <c r="G961" i="1"/>
  <c r="F961" i="1"/>
  <c r="D961" i="1"/>
  <c r="H961" i="1" s="1"/>
  <c r="G960" i="1"/>
  <c r="F960" i="1"/>
  <c r="D960" i="1"/>
  <c r="H960" i="1" s="1"/>
  <c r="G959" i="1"/>
  <c r="F959" i="1"/>
  <c r="D959" i="1"/>
  <c r="H959" i="1" s="1"/>
  <c r="G958" i="1"/>
  <c r="F958" i="1"/>
  <c r="D958" i="1"/>
  <c r="H958" i="1" s="1"/>
  <c r="G957" i="1"/>
  <c r="F957" i="1"/>
  <c r="D957" i="1"/>
  <c r="H957" i="1" s="1"/>
  <c r="G956" i="1"/>
  <c r="F956" i="1"/>
  <c r="D956" i="1"/>
  <c r="H956" i="1" s="1"/>
  <c r="H955" i="1"/>
  <c r="G954" i="1"/>
  <c r="F954" i="1"/>
  <c r="H954" i="1" s="1"/>
  <c r="D954" i="1"/>
  <c r="G953" i="1"/>
  <c r="F953" i="1"/>
  <c r="H953" i="1" s="1"/>
  <c r="D953" i="1"/>
  <c r="G952" i="1"/>
  <c r="H952" i="1" s="1"/>
  <c r="F952" i="1"/>
  <c r="D952" i="1"/>
  <c r="H951" i="1"/>
  <c r="G951" i="1"/>
  <c r="F951" i="1"/>
  <c r="D951" i="1"/>
  <c r="G950" i="1"/>
  <c r="F950" i="1"/>
  <c r="H950" i="1" s="1"/>
  <c r="D950" i="1"/>
  <c r="G949" i="1"/>
  <c r="F949" i="1"/>
  <c r="H949" i="1" s="1"/>
  <c r="D949" i="1"/>
  <c r="G948" i="1"/>
  <c r="H948" i="1" s="1"/>
  <c r="F948" i="1"/>
  <c r="D948" i="1"/>
  <c r="H947" i="1"/>
  <c r="G947" i="1"/>
  <c r="F947" i="1"/>
  <c r="D947" i="1"/>
  <c r="G946" i="1"/>
  <c r="F946" i="1"/>
  <c r="H946" i="1" s="1"/>
  <c r="D946" i="1"/>
  <c r="G945" i="1"/>
  <c r="F945" i="1"/>
  <c r="H945" i="1" s="1"/>
  <c r="D945" i="1"/>
  <c r="G944" i="1"/>
  <c r="H944" i="1" s="1"/>
  <c r="F944" i="1"/>
  <c r="D944" i="1"/>
  <c r="H943" i="1"/>
  <c r="G943" i="1"/>
  <c r="F943" i="1"/>
  <c r="D943" i="1"/>
  <c r="G942" i="1"/>
  <c r="F942" i="1"/>
  <c r="H942" i="1" s="1"/>
  <c r="D942" i="1"/>
  <c r="G941" i="1"/>
  <c r="F941" i="1"/>
  <c r="D941" i="1"/>
  <c r="H941" i="1" s="1"/>
  <c r="G940" i="1"/>
  <c r="H940" i="1" s="1"/>
  <c r="F940" i="1"/>
  <c r="D940" i="1"/>
  <c r="H939" i="1"/>
  <c r="H938" i="1"/>
  <c r="G937" i="1"/>
  <c r="F937" i="1"/>
  <c r="H937" i="1" s="1"/>
  <c r="D937" i="1"/>
  <c r="G936" i="1"/>
  <c r="F936" i="1"/>
  <c r="D936" i="1"/>
  <c r="H936" i="1" s="1"/>
  <c r="G935" i="1"/>
  <c r="F935" i="1"/>
  <c r="D935" i="1"/>
  <c r="H935" i="1" s="1"/>
  <c r="G934" i="1"/>
  <c r="F934" i="1"/>
  <c r="D934" i="1"/>
  <c r="H934" i="1" s="1"/>
  <c r="G933" i="1"/>
  <c r="F933" i="1"/>
  <c r="D933" i="1"/>
  <c r="H933" i="1" s="1"/>
  <c r="G932" i="1"/>
  <c r="F932" i="1"/>
  <c r="D932" i="1"/>
  <c r="H932" i="1" s="1"/>
  <c r="G931" i="1"/>
  <c r="F931" i="1"/>
  <c r="D931" i="1"/>
  <c r="H931" i="1" s="1"/>
  <c r="G930" i="1"/>
  <c r="F930" i="1"/>
  <c r="D930" i="1"/>
  <c r="H930" i="1" s="1"/>
  <c r="G929" i="1"/>
  <c r="F929" i="1"/>
  <c r="D929" i="1"/>
  <c r="H929" i="1" s="1"/>
  <c r="G928" i="1"/>
  <c r="F928" i="1"/>
  <c r="D928" i="1"/>
  <c r="H928" i="1" s="1"/>
  <c r="G927" i="1"/>
  <c r="F927" i="1"/>
  <c r="D927" i="1"/>
  <c r="H927" i="1" s="1"/>
  <c r="G926" i="1"/>
  <c r="F926" i="1"/>
  <c r="D926" i="1"/>
  <c r="H926" i="1" s="1"/>
  <c r="G925" i="1"/>
  <c r="F925" i="1"/>
  <c r="D925" i="1"/>
  <c r="H925" i="1" s="1"/>
  <c r="G924" i="1"/>
  <c r="F924" i="1"/>
  <c r="D924" i="1"/>
  <c r="H924" i="1" s="1"/>
  <c r="G923" i="1"/>
  <c r="F923" i="1"/>
  <c r="D923" i="1"/>
  <c r="H923" i="1" s="1"/>
  <c r="G922" i="1"/>
  <c r="F922" i="1"/>
  <c r="D922" i="1"/>
  <c r="H922" i="1" s="1"/>
  <c r="H921" i="1"/>
  <c r="G920" i="1"/>
  <c r="F920" i="1"/>
  <c r="D920" i="1"/>
  <c r="H920" i="1" s="1"/>
  <c r="G919" i="1"/>
  <c r="F919" i="1"/>
  <c r="D919" i="1"/>
  <c r="H919" i="1" s="1"/>
  <c r="G918" i="1"/>
  <c r="F918" i="1"/>
  <c r="H918" i="1" s="1"/>
  <c r="D918" i="1"/>
  <c r="G917" i="1"/>
  <c r="F917" i="1"/>
  <c r="D917" i="1"/>
  <c r="H917" i="1" s="1"/>
  <c r="G916" i="1"/>
  <c r="F916" i="1"/>
  <c r="D916" i="1"/>
  <c r="H916" i="1" s="1"/>
  <c r="G915" i="1"/>
  <c r="F915" i="1"/>
  <c r="D915" i="1"/>
  <c r="H915" i="1" s="1"/>
  <c r="G914" i="1"/>
  <c r="F914" i="1"/>
  <c r="H914" i="1" s="1"/>
  <c r="D914" i="1"/>
  <c r="G913" i="1"/>
  <c r="F913" i="1"/>
  <c r="D913" i="1"/>
  <c r="H913" i="1" s="1"/>
  <c r="G912" i="1"/>
  <c r="F912" i="1"/>
  <c r="D912" i="1"/>
  <c r="H912" i="1" s="1"/>
  <c r="G911" i="1"/>
  <c r="F911" i="1"/>
  <c r="D911" i="1"/>
  <c r="H911" i="1" s="1"/>
  <c r="G910" i="1"/>
  <c r="F910" i="1"/>
  <c r="D910" i="1"/>
  <c r="H910" i="1" s="1"/>
  <c r="G909" i="1"/>
  <c r="F909" i="1"/>
  <c r="D909" i="1"/>
  <c r="H909" i="1" s="1"/>
  <c r="G908" i="1"/>
  <c r="F908" i="1"/>
  <c r="D908" i="1"/>
  <c r="H908" i="1" s="1"/>
  <c r="G907" i="1"/>
  <c r="F907" i="1"/>
  <c r="D907" i="1"/>
  <c r="H907" i="1" s="1"/>
  <c r="G906" i="1"/>
  <c r="F906" i="1"/>
  <c r="D906" i="1"/>
  <c r="H906" i="1" s="1"/>
  <c r="G905" i="1"/>
  <c r="F905" i="1"/>
  <c r="D905" i="1"/>
  <c r="H905" i="1" s="1"/>
  <c r="H904" i="1"/>
  <c r="G903" i="1"/>
  <c r="F903" i="1"/>
  <c r="H903" i="1" s="1"/>
  <c r="D903" i="1"/>
  <c r="G902" i="1"/>
  <c r="F902" i="1"/>
  <c r="H902" i="1" s="1"/>
  <c r="D902" i="1"/>
  <c r="G901" i="1"/>
  <c r="H901" i="1" s="1"/>
  <c r="F901" i="1"/>
  <c r="D901" i="1"/>
  <c r="G900" i="1"/>
  <c r="H900" i="1" s="1"/>
  <c r="F900" i="1"/>
  <c r="D900" i="1"/>
  <c r="G899" i="1"/>
  <c r="F899" i="1"/>
  <c r="H899" i="1" s="1"/>
  <c r="D899" i="1"/>
  <c r="G898" i="1"/>
  <c r="F898" i="1"/>
  <c r="D898" i="1"/>
  <c r="H898" i="1" s="1"/>
  <c r="G897" i="1"/>
  <c r="H897" i="1" s="1"/>
  <c r="F897" i="1"/>
  <c r="D897" i="1"/>
  <c r="G896" i="1"/>
  <c r="H896" i="1" s="1"/>
  <c r="F896" i="1"/>
  <c r="D896" i="1"/>
  <c r="G895" i="1"/>
  <c r="F895" i="1"/>
  <c r="D895" i="1"/>
  <c r="H895" i="1" s="1"/>
  <c r="G894" i="1"/>
  <c r="F894" i="1"/>
  <c r="D894" i="1"/>
  <c r="H894" i="1" s="1"/>
  <c r="G893" i="1"/>
  <c r="F893" i="1"/>
  <c r="H893" i="1" s="1"/>
  <c r="D893" i="1"/>
  <c r="G892" i="1"/>
  <c r="H892" i="1" s="1"/>
  <c r="F892" i="1"/>
  <c r="D892" i="1"/>
  <c r="G891" i="1"/>
  <c r="F891" i="1"/>
  <c r="D891" i="1"/>
  <c r="H891" i="1" s="1"/>
  <c r="G890" i="1"/>
  <c r="F890" i="1"/>
  <c r="D890" i="1"/>
  <c r="H890" i="1" s="1"/>
  <c r="G889" i="1"/>
  <c r="F889" i="1"/>
  <c r="H889" i="1" s="1"/>
  <c r="D889" i="1"/>
  <c r="H888" i="1"/>
  <c r="H887" i="1"/>
  <c r="G887" i="1"/>
  <c r="F887" i="1"/>
  <c r="D887" i="1"/>
  <c r="G886" i="1"/>
  <c r="H886" i="1" s="1"/>
  <c r="F886" i="1"/>
  <c r="D886" i="1"/>
  <c r="H885" i="1"/>
  <c r="G885" i="1"/>
  <c r="F885" i="1"/>
  <c r="D885" i="1"/>
  <c r="H884" i="1"/>
  <c r="G884" i="1"/>
  <c r="F884" i="1"/>
  <c r="D884" i="1"/>
  <c r="H883" i="1"/>
  <c r="G883" i="1"/>
  <c r="F883" i="1"/>
  <c r="D883" i="1"/>
  <c r="G882" i="1"/>
  <c r="H882" i="1" s="1"/>
  <c r="F882" i="1"/>
  <c r="D882" i="1"/>
  <c r="G881" i="1"/>
  <c r="H881" i="1" s="1"/>
  <c r="F881" i="1"/>
  <c r="D881" i="1"/>
  <c r="H880" i="1"/>
  <c r="G880" i="1"/>
  <c r="F880" i="1"/>
  <c r="D880" i="1"/>
  <c r="H879" i="1"/>
  <c r="G879" i="1"/>
  <c r="F879" i="1"/>
  <c r="D879" i="1"/>
  <c r="G878" i="1"/>
  <c r="F878" i="1"/>
  <c r="H878" i="1" s="1"/>
  <c r="D878" i="1"/>
  <c r="G877" i="1"/>
  <c r="H877" i="1" s="1"/>
  <c r="F877" i="1"/>
  <c r="D877" i="1"/>
  <c r="G876" i="1"/>
  <c r="F876" i="1"/>
  <c r="D876" i="1"/>
  <c r="H876" i="1" s="1"/>
  <c r="H875" i="1"/>
  <c r="G875" i="1"/>
  <c r="F875" i="1"/>
  <c r="D875" i="1"/>
  <c r="G874" i="1"/>
  <c r="F874" i="1"/>
  <c r="D874" i="1"/>
  <c r="H874" i="1" s="1"/>
  <c r="G873" i="1"/>
  <c r="H873" i="1" s="1"/>
  <c r="F873" i="1"/>
  <c r="D873" i="1"/>
  <c r="G872" i="1"/>
  <c r="F872" i="1"/>
  <c r="D872" i="1"/>
  <c r="H872" i="1" s="1"/>
  <c r="H871" i="1"/>
  <c r="G870" i="1"/>
  <c r="F870" i="1"/>
  <c r="D870" i="1"/>
  <c r="H870" i="1" s="1"/>
  <c r="G869" i="1"/>
  <c r="F869" i="1"/>
  <c r="D869" i="1"/>
  <c r="H869" i="1" s="1"/>
  <c r="G868" i="1"/>
  <c r="F868" i="1"/>
  <c r="D868" i="1"/>
  <c r="H868" i="1" s="1"/>
  <c r="G867" i="1"/>
  <c r="F867" i="1"/>
  <c r="D867" i="1"/>
  <c r="H867" i="1" s="1"/>
  <c r="G866" i="1"/>
  <c r="F866" i="1"/>
  <c r="D866" i="1"/>
  <c r="H866" i="1" s="1"/>
  <c r="G865" i="1"/>
  <c r="F865" i="1"/>
  <c r="D865" i="1"/>
  <c r="H865" i="1" s="1"/>
  <c r="G864" i="1"/>
  <c r="F864" i="1"/>
  <c r="D864" i="1"/>
  <c r="H864" i="1" s="1"/>
  <c r="G863" i="1"/>
  <c r="F863" i="1"/>
  <c r="D863" i="1"/>
  <c r="H863" i="1" s="1"/>
  <c r="G862" i="1"/>
  <c r="F862" i="1"/>
  <c r="D862" i="1"/>
  <c r="H862" i="1" s="1"/>
  <c r="G861" i="1"/>
  <c r="F861" i="1"/>
  <c r="D861" i="1"/>
  <c r="H861" i="1" s="1"/>
  <c r="G860" i="1"/>
  <c r="F860" i="1"/>
  <c r="D860" i="1"/>
  <c r="H860" i="1" s="1"/>
  <c r="G859" i="1"/>
  <c r="F859" i="1"/>
  <c r="D859" i="1"/>
  <c r="H859" i="1" s="1"/>
  <c r="G858" i="1"/>
  <c r="F858" i="1"/>
  <c r="D858" i="1"/>
  <c r="H858" i="1" s="1"/>
  <c r="G857" i="1"/>
  <c r="F857" i="1"/>
  <c r="D857" i="1"/>
  <c r="H857" i="1" s="1"/>
  <c r="G856" i="1"/>
  <c r="F856" i="1"/>
  <c r="D856" i="1"/>
  <c r="H856" i="1" s="1"/>
  <c r="H855" i="1"/>
  <c r="H854" i="1"/>
  <c r="H853" i="1"/>
  <c r="G853" i="1"/>
  <c r="F853" i="1"/>
  <c r="D853" i="1"/>
  <c r="G852" i="1"/>
  <c r="F852" i="1"/>
  <c r="D852" i="1"/>
  <c r="H852" i="1" s="1"/>
  <c r="G851" i="1"/>
  <c r="F851" i="1"/>
  <c r="D851" i="1"/>
  <c r="H851" i="1" s="1"/>
  <c r="G850" i="1"/>
  <c r="H850" i="1" s="1"/>
  <c r="F850" i="1"/>
  <c r="D850" i="1"/>
  <c r="G849" i="1"/>
  <c r="H849" i="1" s="1"/>
  <c r="F849" i="1"/>
  <c r="D849" i="1"/>
  <c r="G848" i="1"/>
  <c r="F848" i="1"/>
  <c r="D848" i="1"/>
  <c r="H848" i="1" s="1"/>
  <c r="G847" i="1"/>
  <c r="F847" i="1"/>
  <c r="D847" i="1"/>
  <c r="H847" i="1" s="1"/>
  <c r="G846" i="1"/>
  <c r="H846" i="1" s="1"/>
  <c r="F846" i="1"/>
  <c r="D846" i="1"/>
  <c r="G845" i="1"/>
  <c r="H845" i="1" s="1"/>
  <c r="F845" i="1"/>
  <c r="D845" i="1"/>
  <c r="G844" i="1"/>
  <c r="F844" i="1"/>
  <c r="D844" i="1"/>
  <c r="H844" i="1" s="1"/>
  <c r="G843" i="1"/>
  <c r="F843" i="1"/>
  <c r="D843" i="1"/>
  <c r="H843" i="1" s="1"/>
  <c r="G842" i="1"/>
  <c r="H842" i="1" s="1"/>
  <c r="F842" i="1"/>
  <c r="D842" i="1"/>
  <c r="G841" i="1"/>
  <c r="F841" i="1"/>
  <c r="D841" i="1"/>
  <c r="H841" i="1" s="1"/>
  <c r="G840" i="1"/>
  <c r="F840" i="1"/>
  <c r="D840" i="1"/>
  <c r="H840" i="1" s="1"/>
  <c r="G839" i="1"/>
  <c r="F839" i="1"/>
  <c r="D839" i="1"/>
  <c r="H839" i="1" s="1"/>
  <c r="G838" i="1"/>
  <c r="F838" i="1"/>
  <c r="D838" i="1"/>
  <c r="H838" i="1" s="1"/>
  <c r="G837" i="1"/>
  <c r="F837" i="1"/>
  <c r="D837" i="1"/>
  <c r="H837" i="1" s="1"/>
  <c r="H836" i="1"/>
  <c r="G835" i="1"/>
  <c r="F835" i="1"/>
  <c r="H835" i="1" s="1"/>
  <c r="D835" i="1"/>
  <c r="H834" i="1"/>
  <c r="G834" i="1"/>
  <c r="F834" i="1"/>
  <c r="D834" i="1"/>
  <c r="H833" i="1"/>
  <c r="G833" i="1"/>
  <c r="F833" i="1"/>
  <c r="D833" i="1"/>
  <c r="G832" i="1"/>
  <c r="F832" i="1"/>
  <c r="H832" i="1" s="1"/>
  <c r="D832" i="1"/>
  <c r="G831" i="1"/>
  <c r="F831" i="1"/>
  <c r="H831" i="1" s="1"/>
  <c r="D831" i="1"/>
  <c r="G830" i="1"/>
  <c r="F830" i="1"/>
  <c r="H830" i="1" s="1"/>
  <c r="D830" i="1"/>
  <c r="H829" i="1"/>
  <c r="G829" i="1"/>
  <c r="F829" i="1"/>
  <c r="D829" i="1"/>
  <c r="G828" i="1"/>
  <c r="F828" i="1"/>
  <c r="H828" i="1" s="1"/>
  <c r="D828" i="1"/>
  <c r="G827" i="1"/>
  <c r="F827" i="1"/>
  <c r="H827" i="1" s="1"/>
  <c r="D827" i="1"/>
  <c r="G826" i="1"/>
  <c r="F826" i="1"/>
  <c r="H826" i="1" s="1"/>
  <c r="D826" i="1"/>
  <c r="G825" i="1"/>
  <c r="F825" i="1"/>
  <c r="D825" i="1"/>
  <c r="H825" i="1" s="1"/>
  <c r="G824" i="1"/>
  <c r="F824" i="1"/>
  <c r="H824" i="1" s="1"/>
  <c r="D824" i="1"/>
  <c r="G823" i="1"/>
  <c r="F823" i="1"/>
  <c r="D823" i="1"/>
  <c r="H823" i="1" s="1"/>
  <c r="G822" i="1"/>
  <c r="F822" i="1"/>
  <c r="H822" i="1" s="1"/>
  <c r="D822" i="1"/>
  <c r="G821" i="1"/>
  <c r="F821" i="1"/>
  <c r="D821" i="1"/>
  <c r="H821" i="1" s="1"/>
  <c r="H820" i="1"/>
  <c r="G819" i="1"/>
  <c r="F819" i="1"/>
  <c r="D819" i="1"/>
  <c r="H819" i="1" s="1"/>
  <c r="G818" i="1"/>
  <c r="F818" i="1"/>
  <c r="D818" i="1"/>
  <c r="H818" i="1" s="1"/>
  <c r="G817" i="1"/>
  <c r="F817" i="1"/>
  <c r="D817" i="1"/>
  <c r="H817" i="1" s="1"/>
  <c r="G816" i="1"/>
  <c r="F816" i="1"/>
  <c r="D816" i="1"/>
  <c r="H816" i="1" s="1"/>
  <c r="G815" i="1"/>
  <c r="F815" i="1"/>
  <c r="D815" i="1"/>
  <c r="H815" i="1" s="1"/>
  <c r="G814" i="1"/>
  <c r="F814" i="1"/>
  <c r="D814" i="1"/>
  <c r="H814" i="1" s="1"/>
  <c r="G813" i="1"/>
  <c r="F813" i="1"/>
  <c r="D813" i="1"/>
  <c r="H813" i="1" s="1"/>
  <c r="G812" i="1"/>
  <c r="F812" i="1"/>
  <c r="D812" i="1"/>
  <c r="H812" i="1" s="1"/>
  <c r="G811" i="1"/>
  <c r="F811" i="1"/>
  <c r="D811" i="1"/>
  <c r="H811" i="1" s="1"/>
  <c r="G810" i="1"/>
  <c r="F810" i="1"/>
  <c r="D810" i="1"/>
  <c r="H810" i="1" s="1"/>
  <c r="G809" i="1"/>
  <c r="F809" i="1"/>
  <c r="D809" i="1"/>
  <c r="H809" i="1" s="1"/>
  <c r="G808" i="1"/>
  <c r="F808" i="1"/>
  <c r="D808" i="1"/>
  <c r="H808" i="1" s="1"/>
  <c r="G807" i="1"/>
  <c r="F807" i="1"/>
  <c r="D807" i="1"/>
  <c r="H807" i="1" s="1"/>
  <c r="G806" i="1"/>
  <c r="F806" i="1"/>
  <c r="D806" i="1"/>
  <c r="H806" i="1" s="1"/>
  <c r="G805" i="1"/>
  <c r="F805" i="1"/>
  <c r="D805" i="1"/>
  <c r="H805" i="1" s="1"/>
  <c r="G804" i="1"/>
  <c r="F804" i="1"/>
  <c r="D804" i="1"/>
  <c r="H804" i="1" s="1"/>
  <c r="H803" i="1"/>
  <c r="G802" i="1"/>
  <c r="F802" i="1"/>
  <c r="H802" i="1" s="1"/>
  <c r="D802" i="1"/>
  <c r="G801" i="1"/>
  <c r="F801" i="1"/>
  <c r="H801" i="1" s="1"/>
  <c r="D801" i="1"/>
  <c r="G800" i="1"/>
  <c r="F800" i="1"/>
  <c r="H800" i="1" s="1"/>
  <c r="D800" i="1"/>
  <c r="G799" i="1"/>
  <c r="F799" i="1"/>
  <c r="H799" i="1" s="1"/>
  <c r="D799" i="1"/>
  <c r="G798" i="1"/>
  <c r="F798" i="1"/>
  <c r="H798" i="1" s="1"/>
  <c r="D798" i="1"/>
  <c r="G797" i="1"/>
  <c r="F797" i="1"/>
  <c r="H797" i="1" s="1"/>
  <c r="D797" i="1"/>
  <c r="G796" i="1"/>
  <c r="F796" i="1"/>
  <c r="H796" i="1" s="1"/>
  <c r="D796" i="1"/>
  <c r="G795" i="1"/>
  <c r="F795" i="1"/>
  <c r="H795" i="1" s="1"/>
  <c r="D795" i="1"/>
  <c r="G794" i="1"/>
  <c r="F794" i="1"/>
  <c r="H794" i="1" s="1"/>
  <c r="D794" i="1"/>
  <c r="G793" i="1"/>
  <c r="F793" i="1"/>
  <c r="H793" i="1" s="1"/>
  <c r="D793" i="1"/>
  <c r="G792" i="1"/>
  <c r="F792" i="1"/>
  <c r="H792" i="1" s="1"/>
  <c r="D792" i="1"/>
  <c r="G791" i="1"/>
  <c r="F791" i="1"/>
  <c r="D791" i="1"/>
  <c r="H791" i="1" s="1"/>
  <c r="G790" i="1"/>
  <c r="F790" i="1"/>
  <c r="D790" i="1"/>
  <c r="H790" i="1" s="1"/>
  <c r="G789" i="1"/>
  <c r="F789" i="1"/>
  <c r="H789" i="1" s="1"/>
  <c r="D789" i="1"/>
  <c r="G788" i="1"/>
  <c r="F788" i="1"/>
  <c r="H788" i="1" s="1"/>
  <c r="D788" i="1"/>
  <c r="G787" i="1"/>
  <c r="F787" i="1"/>
  <c r="D787" i="1"/>
  <c r="H787" i="1" s="1"/>
  <c r="H786" i="1"/>
  <c r="G785" i="1"/>
  <c r="F785" i="1"/>
  <c r="D785" i="1"/>
  <c r="H785" i="1" s="1"/>
  <c r="G784" i="1"/>
  <c r="F784" i="1"/>
  <c r="D784" i="1"/>
  <c r="H784" i="1" s="1"/>
  <c r="G783" i="1"/>
  <c r="H783" i="1" s="1"/>
  <c r="F783" i="1"/>
  <c r="D783" i="1"/>
  <c r="G782" i="1"/>
  <c r="H782" i="1" s="1"/>
  <c r="F782" i="1"/>
  <c r="D782" i="1"/>
  <c r="G781" i="1"/>
  <c r="F781" i="1"/>
  <c r="D781" i="1"/>
  <c r="H781" i="1" s="1"/>
  <c r="G780" i="1"/>
  <c r="F780" i="1"/>
  <c r="D780" i="1"/>
  <c r="H780" i="1" s="1"/>
  <c r="G779" i="1"/>
  <c r="H779" i="1" s="1"/>
  <c r="F779" i="1"/>
  <c r="D779" i="1"/>
  <c r="G778" i="1"/>
  <c r="H778" i="1" s="1"/>
  <c r="F778" i="1"/>
  <c r="D778" i="1"/>
  <c r="G777" i="1"/>
  <c r="F777" i="1"/>
  <c r="D777" i="1"/>
  <c r="H777" i="1" s="1"/>
  <c r="G776" i="1"/>
  <c r="F776" i="1"/>
  <c r="D776" i="1"/>
  <c r="H776" i="1" s="1"/>
  <c r="G775" i="1"/>
  <c r="H775" i="1" s="1"/>
  <c r="F775" i="1"/>
  <c r="D775" i="1"/>
  <c r="G774" i="1"/>
  <c r="F774" i="1"/>
  <c r="D774" i="1"/>
  <c r="H774" i="1" s="1"/>
  <c r="G773" i="1"/>
  <c r="F773" i="1"/>
  <c r="D773" i="1"/>
  <c r="H773" i="1" s="1"/>
  <c r="G772" i="1"/>
  <c r="F772" i="1"/>
  <c r="D772" i="1"/>
  <c r="H772" i="1" s="1"/>
  <c r="G771" i="1"/>
  <c r="F771" i="1"/>
  <c r="D771" i="1"/>
  <c r="H771" i="1" s="1"/>
  <c r="H770" i="1"/>
  <c r="H769" i="1"/>
  <c r="G769" i="1"/>
  <c r="F769" i="1"/>
  <c r="D769" i="1"/>
  <c r="G768" i="1"/>
  <c r="F768" i="1"/>
  <c r="H768" i="1" s="1"/>
  <c r="D768" i="1"/>
  <c r="H767" i="1"/>
  <c r="G767" i="1"/>
  <c r="F767" i="1"/>
  <c r="D767" i="1"/>
  <c r="H766" i="1"/>
  <c r="G766" i="1"/>
  <c r="F766" i="1"/>
  <c r="D766" i="1"/>
  <c r="H765" i="1"/>
  <c r="G765" i="1"/>
  <c r="F765" i="1"/>
  <c r="D765" i="1"/>
  <c r="G764" i="1"/>
  <c r="F764" i="1"/>
  <c r="H764" i="1" s="1"/>
  <c r="D764" i="1"/>
  <c r="G763" i="1"/>
  <c r="F763" i="1"/>
  <c r="H763" i="1" s="1"/>
  <c r="D763" i="1"/>
  <c r="G762" i="1"/>
  <c r="F762" i="1"/>
  <c r="D762" i="1"/>
  <c r="H762" i="1" s="1"/>
  <c r="G761" i="1"/>
  <c r="F761" i="1"/>
  <c r="H761" i="1" s="1"/>
  <c r="D761" i="1"/>
  <c r="G760" i="1"/>
  <c r="F760" i="1"/>
  <c r="D760" i="1"/>
  <c r="H760" i="1" s="1"/>
  <c r="G759" i="1"/>
  <c r="F759" i="1"/>
  <c r="H759" i="1" s="1"/>
  <c r="D759" i="1"/>
  <c r="G758" i="1"/>
  <c r="F758" i="1"/>
  <c r="D758" i="1"/>
  <c r="H758" i="1" s="1"/>
  <c r="G757" i="1"/>
  <c r="F757" i="1"/>
  <c r="D757" i="1"/>
  <c r="H757" i="1" s="1"/>
  <c r="G756" i="1"/>
  <c r="F756" i="1"/>
  <c r="D756" i="1"/>
  <c r="H756" i="1" s="1"/>
  <c r="G755" i="1"/>
  <c r="F755" i="1"/>
  <c r="D755" i="1"/>
  <c r="H755" i="1" s="1"/>
  <c r="G754" i="1"/>
  <c r="F754" i="1"/>
  <c r="D754" i="1"/>
  <c r="H754" i="1" s="1"/>
  <c r="H753" i="1"/>
  <c r="G752" i="1"/>
  <c r="F752" i="1"/>
  <c r="D752" i="1"/>
  <c r="H752" i="1" s="1"/>
  <c r="G751" i="1"/>
  <c r="F751" i="1"/>
  <c r="D751" i="1"/>
  <c r="H751" i="1" s="1"/>
  <c r="G750" i="1"/>
  <c r="F750" i="1"/>
  <c r="D750" i="1"/>
  <c r="H750" i="1" s="1"/>
  <c r="G749" i="1"/>
  <c r="F749" i="1"/>
  <c r="D749" i="1"/>
  <c r="H749" i="1" s="1"/>
  <c r="G748" i="1"/>
  <c r="F748" i="1"/>
  <c r="D748" i="1"/>
  <c r="H748" i="1" s="1"/>
  <c r="G747" i="1"/>
  <c r="F747" i="1"/>
  <c r="D747" i="1"/>
  <c r="H747" i="1" s="1"/>
  <c r="G746" i="1"/>
  <c r="F746" i="1"/>
  <c r="D746" i="1"/>
  <c r="H746" i="1" s="1"/>
  <c r="G745" i="1"/>
  <c r="F745" i="1"/>
  <c r="D745" i="1"/>
  <c r="H745" i="1" s="1"/>
  <c r="G744" i="1"/>
  <c r="F744" i="1"/>
  <c r="D744" i="1"/>
  <c r="H744" i="1" s="1"/>
  <c r="G743" i="1"/>
  <c r="F743" i="1"/>
  <c r="D743" i="1"/>
  <c r="H743" i="1" s="1"/>
  <c r="G742" i="1"/>
  <c r="F742" i="1"/>
  <c r="D742" i="1"/>
  <c r="H742" i="1" s="1"/>
  <c r="G741" i="1"/>
  <c r="F741" i="1"/>
  <c r="D741" i="1"/>
  <c r="H741" i="1" s="1"/>
  <c r="G740" i="1"/>
  <c r="F740" i="1"/>
  <c r="D740" i="1"/>
  <c r="H740" i="1" s="1"/>
  <c r="G739" i="1"/>
  <c r="F739" i="1"/>
  <c r="D739" i="1"/>
  <c r="H739" i="1" s="1"/>
  <c r="G738" i="1"/>
  <c r="F738" i="1"/>
  <c r="D738" i="1"/>
  <c r="H738" i="1" s="1"/>
  <c r="H737" i="1"/>
  <c r="G736" i="1"/>
  <c r="F736" i="1"/>
  <c r="H736" i="1" s="1"/>
  <c r="D736" i="1"/>
  <c r="G735" i="1"/>
  <c r="F735" i="1"/>
  <c r="H735" i="1" s="1"/>
  <c r="D735" i="1"/>
  <c r="G734" i="1"/>
  <c r="F734" i="1"/>
  <c r="H734" i="1" s="1"/>
  <c r="D734" i="1"/>
  <c r="G733" i="1"/>
  <c r="F733" i="1"/>
  <c r="H733" i="1" s="1"/>
  <c r="D733" i="1"/>
  <c r="G732" i="1"/>
  <c r="F732" i="1"/>
  <c r="D732" i="1"/>
  <c r="H732" i="1" s="1"/>
  <c r="G731" i="1"/>
  <c r="F731" i="1"/>
  <c r="D731" i="1"/>
  <c r="H731" i="1" s="1"/>
  <c r="G730" i="1"/>
  <c r="F730" i="1"/>
  <c r="H730" i="1" s="1"/>
  <c r="D730" i="1"/>
  <c r="G729" i="1"/>
  <c r="F729" i="1"/>
  <c r="H729" i="1" s="1"/>
  <c r="D729" i="1"/>
  <c r="G728" i="1"/>
  <c r="F728" i="1"/>
  <c r="D728" i="1"/>
  <c r="H728" i="1" s="1"/>
  <c r="G727" i="1"/>
  <c r="F727" i="1"/>
  <c r="D727" i="1"/>
  <c r="H727" i="1" s="1"/>
  <c r="G726" i="1"/>
  <c r="F726" i="1"/>
  <c r="H726" i="1" s="1"/>
  <c r="D726" i="1"/>
  <c r="G725" i="1"/>
  <c r="F725" i="1"/>
  <c r="H725" i="1" s="1"/>
  <c r="D725" i="1"/>
  <c r="G724" i="1"/>
  <c r="F724" i="1"/>
  <c r="D724" i="1"/>
  <c r="H724" i="1" s="1"/>
  <c r="G723" i="1"/>
  <c r="F723" i="1"/>
  <c r="D723" i="1"/>
  <c r="H723" i="1" s="1"/>
  <c r="G722" i="1"/>
  <c r="F722" i="1"/>
  <c r="D722" i="1"/>
  <c r="H722" i="1" s="1"/>
  <c r="G721" i="1"/>
  <c r="F721" i="1"/>
  <c r="H721" i="1" s="1"/>
  <c r="D721" i="1"/>
  <c r="H720" i="1"/>
  <c r="H719" i="1"/>
  <c r="G719" i="1"/>
  <c r="F719" i="1"/>
  <c r="D719" i="1"/>
  <c r="G718" i="1"/>
  <c r="F718" i="1"/>
  <c r="D718" i="1"/>
  <c r="H718" i="1" s="1"/>
  <c r="G717" i="1"/>
  <c r="F717" i="1"/>
  <c r="D717" i="1"/>
  <c r="H717" i="1" s="1"/>
  <c r="G716" i="1"/>
  <c r="H716" i="1" s="1"/>
  <c r="F716" i="1"/>
  <c r="D716" i="1"/>
  <c r="H715" i="1"/>
  <c r="G715" i="1"/>
  <c r="F715" i="1"/>
  <c r="D715" i="1"/>
  <c r="G714" i="1"/>
  <c r="F714" i="1"/>
  <c r="D714" i="1"/>
  <c r="H714" i="1" s="1"/>
  <c r="G713" i="1"/>
  <c r="F713" i="1"/>
  <c r="D713" i="1"/>
  <c r="H713" i="1" s="1"/>
  <c r="G712" i="1"/>
  <c r="H712" i="1" s="1"/>
  <c r="F712" i="1"/>
  <c r="D712" i="1"/>
  <c r="H711" i="1"/>
  <c r="G711" i="1"/>
  <c r="F711" i="1"/>
  <c r="D711" i="1"/>
  <c r="G710" i="1"/>
  <c r="F710" i="1"/>
  <c r="D710" i="1"/>
  <c r="H710" i="1" s="1"/>
  <c r="G709" i="1"/>
  <c r="F709" i="1"/>
  <c r="D709" i="1"/>
  <c r="H709" i="1" s="1"/>
  <c r="G708" i="1"/>
  <c r="H708" i="1" s="1"/>
  <c r="F708" i="1"/>
  <c r="D708" i="1"/>
  <c r="H707" i="1"/>
  <c r="G707" i="1"/>
  <c r="F707" i="1"/>
  <c r="D707" i="1"/>
  <c r="G706" i="1"/>
  <c r="F706" i="1"/>
  <c r="D706" i="1"/>
  <c r="H706" i="1" s="1"/>
  <c r="G705" i="1"/>
  <c r="F705" i="1"/>
  <c r="D705" i="1"/>
  <c r="H705" i="1" s="1"/>
  <c r="G704" i="1"/>
  <c r="F704" i="1"/>
  <c r="D704" i="1"/>
  <c r="H704" i="1" s="1"/>
  <c r="H703" i="1"/>
  <c r="G702" i="1"/>
  <c r="F702" i="1"/>
  <c r="H702" i="1" s="1"/>
  <c r="D702" i="1"/>
  <c r="G701" i="1"/>
  <c r="F701" i="1"/>
  <c r="H701" i="1" s="1"/>
  <c r="D701" i="1"/>
  <c r="G700" i="1"/>
  <c r="F700" i="1"/>
  <c r="H700" i="1" s="1"/>
  <c r="D700" i="1"/>
  <c r="H699" i="1"/>
  <c r="G699" i="1"/>
  <c r="F699" i="1"/>
  <c r="D699" i="1"/>
  <c r="G698" i="1"/>
  <c r="F698" i="1"/>
  <c r="H698" i="1" s="1"/>
  <c r="D698" i="1"/>
  <c r="G697" i="1"/>
  <c r="F697" i="1"/>
  <c r="D697" i="1"/>
  <c r="H697" i="1" s="1"/>
  <c r="G696" i="1"/>
  <c r="F696" i="1"/>
  <c r="H696" i="1" s="1"/>
  <c r="D696" i="1"/>
  <c r="G695" i="1"/>
  <c r="F695" i="1"/>
  <c r="D695" i="1"/>
  <c r="H695" i="1" s="1"/>
  <c r="G694" i="1"/>
  <c r="F694" i="1"/>
  <c r="D694" i="1"/>
  <c r="H694" i="1" s="1"/>
  <c r="G693" i="1"/>
  <c r="F693" i="1"/>
  <c r="D693" i="1"/>
  <c r="H693" i="1" s="1"/>
  <c r="G692" i="1"/>
  <c r="F692" i="1"/>
  <c r="H692" i="1" s="1"/>
  <c r="D692" i="1"/>
  <c r="G691" i="1"/>
  <c r="F691" i="1"/>
  <c r="D691" i="1"/>
  <c r="H691" i="1" s="1"/>
  <c r="G690" i="1"/>
  <c r="F690" i="1"/>
  <c r="D690" i="1"/>
  <c r="H690" i="1" s="1"/>
  <c r="G689" i="1"/>
  <c r="F689" i="1"/>
  <c r="D689" i="1"/>
  <c r="H689" i="1" s="1"/>
  <c r="G688" i="1"/>
  <c r="F688" i="1"/>
  <c r="D688" i="1"/>
  <c r="H688" i="1" s="1"/>
  <c r="H687" i="1"/>
  <c r="G686" i="1"/>
  <c r="F686" i="1"/>
  <c r="D686" i="1"/>
  <c r="H686" i="1" s="1"/>
  <c r="G685" i="1"/>
  <c r="F685" i="1"/>
  <c r="D685" i="1"/>
  <c r="H685" i="1" s="1"/>
  <c r="G684" i="1"/>
  <c r="F684" i="1"/>
  <c r="D684" i="1"/>
  <c r="H684" i="1" s="1"/>
  <c r="G683" i="1"/>
  <c r="F683" i="1"/>
  <c r="D683" i="1"/>
  <c r="H683" i="1" s="1"/>
  <c r="G682" i="1"/>
  <c r="F682" i="1"/>
  <c r="D682" i="1"/>
  <c r="H682" i="1" s="1"/>
  <c r="G681" i="1"/>
  <c r="F681" i="1"/>
  <c r="D681" i="1"/>
  <c r="H681" i="1" s="1"/>
  <c r="G680" i="1"/>
  <c r="F680" i="1"/>
  <c r="D680" i="1"/>
  <c r="H680" i="1" s="1"/>
  <c r="G679" i="1"/>
  <c r="F679" i="1"/>
  <c r="D679" i="1"/>
  <c r="H679" i="1" s="1"/>
  <c r="G678" i="1"/>
  <c r="F678" i="1"/>
  <c r="D678" i="1"/>
  <c r="H678" i="1" s="1"/>
  <c r="G677" i="1"/>
  <c r="F677" i="1"/>
  <c r="D677" i="1"/>
  <c r="H677" i="1" s="1"/>
  <c r="G676" i="1"/>
  <c r="F676" i="1"/>
  <c r="D676" i="1"/>
  <c r="H676" i="1" s="1"/>
  <c r="G675" i="1"/>
  <c r="F675" i="1"/>
  <c r="D675" i="1"/>
  <c r="H675" i="1" s="1"/>
  <c r="G674" i="1"/>
  <c r="F674" i="1"/>
  <c r="D674" i="1"/>
  <c r="H674" i="1" s="1"/>
  <c r="G673" i="1"/>
  <c r="F673" i="1"/>
  <c r="D673" i="1"/>
  <c r="H673" i="1" s="1"/>
  <c r="G672" i="1"/>
  <c r="F672" i="1"/>
  <c r="D672" i="1"/>
  <c r="H672" i="1" s="1"/>
  <c r="H671" i="1"/>
  <c r="G670" i="1"/>
  <c r="F670" i="1"/>
  <c r="H670" i="1" s="1"/>
  <c r="D670" i="1"/>
  <c r="G669" i="1"/>
  <c r="F669" i="1"/>
  <c r="H669" i="1" s="1"/>
  <c r="D669" i="1"/>
  <c r="G668" i="1"/>
  <c r="F668" i="1"/>
  <c r="H668" i="1" s="1"/>
  <c r="D668" i="1"/>
  <c r="G667" i="1"/>
  <c r="H667" i="1" s="1"/>
  <c r="F667" i="1"/>
  <c r="D667" i="1"/>
  <c r="G666" i="1"/>
  <c r="F666" i="1"/>
  <c r="H666" i="1" s="1"/>
  <c r="D666" i="1"/>
  <c r="G665" i="1"/>
  <c r="F665" i="1"/>
  <c r="D665" i="1"/>
  <c r="H665" i="1" s="1"/>
  <c r="G664" i="1"/>
  <c r="F664" i="1"/>
  <c r="D664" i="1"/>
  <c r="H664" i="1" s="1"/>
  <c r="G663" i="1"/>
  <c r="H663" i="1" s="1"/>
  <c r="F663" i="1"/>
  <c r="D663" i="1"/>
  <c r="G662" i="1"/>
  <c r="F662" i="1"/>
  <c r="H662" i="1" s="1"/>
  <c r="D662" i="1"/>
  <c r="G661" i="1"/>
  <c r="F661" i="1"/>
  <c r="D661" i="1"/>
  <c r="H661" i="1" s="1"/>
  <c r="G660" i="1"/>
  <c r="F660" i="1"/>
  <c r="D660" i="1"/>
  <c r="H660" i="1" s="1"/>
  <c r="G659" i="1"/>
  <c r="H659" i="1" s="1"/>
  <c r="F659" i="1"/>
  <c r="D659" i="1"/>
  <c r="G658" i="1"/>
  <c r="F658" i="1"/>
  <c r="H658" i="1" s="1"/>
  <c r="D658" i="1"/>
  <c r="G657" i="1"/>
  <c r="F657" i="1"/>
  <c r="D657" i="1"/>
  <c r="H657" i="1" s="1"/>
  <c r="G656" i="1"/>
  <c r="F656" i="1"/>
  <c r="D656" i="1"/>
  <c r="H656" i="1" s="1"/>
  <c r="H655" i="1"/>
  <c r="H654" i="1"/>
  <c r="G654" i="1"/>
  <c r="F654" i="1"/>
  <c r="D654" i="1"/>
  <c r="G653" i="1"/>
  <c r="H653" i="1" s="1"/>
  <c r="F653" i="1"/>
  <c r="D653" i="1"/>
  <c r="H652" i="1"/>
  <c r="G652" i="1"/>
  <c r="F652" i="1"/>
  <c r="D652" i="1"/>
  <c r="G651" i="1"/>
  <c r="F651" i="1"/>
  <c r="D651" i="1"/>
  <c r="H651" i="1" s="1"/>
  <c r="H650" i="1"/>
  <c r="G650" i="1"/>
  <c r="F650" i="1"/>
  <c r="D650" i="1"/>
  <c r="G649" i="1"/>
  <c r="H649" i="1" s="1"/>
  <c r="F649" i="1"/>
  <c r="D649" i="1"/>
  <c r="H648" i="1"/>
  <c r="G648" i="1"/>
  <c r="F648" i="1"/>
  <c r="D648" i="1"/>
  <c r="G647" i="1"/>
  <c r="F647" i="1"/>
  <c r="D647" i="1"/>
  <c r="H647" i="1" s="1"/>
  <c r="H646" i="1"/>
  <c r="G646" i="1"/>
  <c r="F646" i="1"/>
  <c r="D646" i="1"/>
  <c r="G645" i="1"/>
  <c r="F645" i="1"/>
  <c r="H645" i="1" s="1"/>
  <c r="D645" i="1"/>
  <c r="H644" i="1"/>
  <c r="G644" i="1"/>
  <c r="F644" i="1"/>
  <c r="D644" i="1"/>
  <c r="G643" i="1"/>
  <c r="F643" i="1"/>
  <c r="D643" i="1"/>
  <c r="H643" i="1" s="1"/>
  <c r="H642" i="1"/>
  <c r="G642" i="1"/>
  <c r="F642" i="1"/>
  <c r="D642" i="1"/>
  <c r="G641" i="1"/>
  <c r="F641" i="1"/>
  <c r="D641" i="1"/>
  <c r="H641" i="1" s="1"/>
  <c r="G640" i="1"/>
  <c r="F640" i="1"/>
  <c r="D640" i="1"/>
  <c r="H640" i="1" s="1"/>
  <c r="G639" i="1"/>
  <c r="F639" i="1"/>
  <c r="D639" i="1"/>
  <c r="H639" i="1" s="1"/>
  <c r="H638" i="1"/>
  <c r="G638" i="1"/>
  <c r="F638" i="1"/>
  <c r="D638" i="1"/>
  <c r="H637" i="1"/>
  <c r="H636" i="1"/>
  <c r="G636" i="1"/>
  <c r="F636" i="1"/>
  <c r="D636" i="1"/>
  <c r="G635" i="1"/>
  <c r="F635" i="1"/>
  <c r="H635" i="1" s="1"/>
  <c r="D635" i="1"/>
  <c r="G634" i="1"/>
  <c r="F634" i="1"/>
  <c r="D634" i="1"/>
  <c r="H634" i="1" s="1"/>
  <c r="G633" i="1"/>
  <c r="F633" i="1"/>
  <c r="H633" i="1" s="1"/>
  <c r="D633" i="1"/>
  <c r="G632" i="1"/>
  <c r="F632" i="1"/>
  <c r="D632" i="1"/>
  <c r="H632" i="1" s="1"/>
  <c r="G631" i="1"/>
  <c r="F631" i="1"/>
  <c r="H631" i="1" s="1"/>
  <c r="D631" i="1"/>
  <c r="G630" i="1"/>
  <c r="F630" i="1"/>
  <c r="D630" i="1"/>
  <c r="H630" i="1" s="1"/>
  <c r="G629" i="1"/>
  <c r="F629" i="1"/>
  <c r="H629" i="1" s="1"/>
  <c r="D629" i="1"/>
  <c r="G628" i="1"/>
  <c r="F628" i="1"/>
  <c r="D628" i="1"/>
  <c r="H628" i="1" s="1"/>
  <c r="G627" i="1"/>
  <c r="F627" i="1"/>
  <c r="D627" i="1"/>
  <c r="H627" i="1" s="1"/>
  <c r="G626" i="1"/>
  <c r="F626" i="1"/>
  <c r="D626" i="1"/>
  <c r="H626" i="1" s="1"/>
  <c r="G625" i="1"/>
  <c r="F625" i="1"/>
  <c r="D625" i="1"/>
  <c r="H625" i="1" s="1"/>
  <c r="G624" i="1"/>
  <c r="F624" i="1"/>
  <c r="D624" i="1"/>
  <c r="H624" i="1" s="1"/>
  <c r="G623" i="1"/>
  <c r="F623" i="1"/>
  <c r="D623" i="1"/>
  <c r="H623" i="1" s="1"/>
  <c r="G622" i="1"/>
  <c r="F622" i="1"/>
  <c r="D622" i="1"/>
  <c r="H622" i="1" s="1"/>
  <c r="G621" i="1"/>
  <c r="F621" i="1"/>
  <c r="D621" i="1"/>
  <c r="H621" i="1" s="1"/>
  <c r="H620" i="1"/>
  <c r="G619" i="1"/>
  <c r="F619" i="1"/>
  <c r="D619" i="1"/>
  <c r="H619" i="1" s="1"/>
  <c r="G618" i="1"/>
  <c r="F618" i="1"/>
  <c r="D618" i="1"/>
  <c r="H618" i="1" s="1"/>
  <c r="G617" i="1"/>
  <c r="F617" i="1"/>
  <c r="H617" i="1" s="1"/>
  <c r="D617" i="1"/>
  <c r="G616" i="1"/>
  <c r="F616" i="1"/>
  <c r="D616" i="1"/>
  <c r="H616" i="1" s="1"/>
  <c r="G615" i="1"/>
  <c r="F615" i="1"/>
  <c r="D615" i="1"/>
  <c r="H615" i="1" s="1"/>
  <c r="G614" i="1"/>
  <c r="F614" i="1"/>
  <c r="D614" i="1"/>
  <c r="H614" i="1" s="1"/>
  <c r="G613" i="1"/>
  <c r="F613" i="1"/>
  <c r="H613" i="1" s="1"/>
  <c r="D613" i="1"/>
  <c r="G612" i="1"/>
  <c r="F612" i="1"/>
  <c r="D612" i="1"/>
  <c r="H612" i="1" s="1"/>
  <c r="G611" i="1"/>
  <c r="F611" i="1"/>
  <c r="D611" i="1"/>
  <c r="H611" i="1" s="1"/>
  <c r="G610" i="1"/>
  <c r="F610" i="1"/>
  <c r="D610" i="1"/>
  <c r="H610" i="1" s="1"/>
  <c r="G609" i="1"/>
  <c r="F609" i="1"/>
  <c r="D609" i="1"/>
  <c r="H609" i="1" s="1"/>
  <c r="G608" i="1"/>
  <c r="F608" i="1"/>
  <c r="D608" i="1"/>
  <c r="H608" i="1" s="1"/>
  <c r="G607" i="1"/>
  <c r="F607" i="1"/>
  <c r="D607" i="1"/>
  <c r="H607" i="1" s="1"/>
  <c r="G606" i="1"/>
  <c r="F606" i="1"/>
  <c r="D606" i="1"/>
  <c r="H606" i="1" s="1"/>
  <c r="G605" i="1"/>
  <c r="F605" i="1"/>
  <c r="D605" i="1"/>
  <c r="H605" i="1" s="1"/>
  <c r="G604" i="1"/>
  <c r="F604" i="1"/>
  <c r="D604" i="1"/>
  <c r="H604" i="1" s="1"/>
  <c r="H603" i="1"/>
  <c r="G602" i="1"/>
  <c r="F602" i="1"/>
  <c r="H602" i="1" s="1"/>
  <c r="D602" i="1"/>
  <c r="G601" i="1"/>
  <c r="F601" i="1"/>
  <c r="H601" i="1" s="1"/>
  <c r="D601" i="1"/>
  <c r="G600" i="1"/>
  <c r="H600" i="1" s="1"/>
  <c r="F600" i="1"/>
  <c r="D600" i="1"/>
  <c r="H599" i="1"/>
  <c r="G599" i="1"/>
  <c r="F599" i="1"/>
  <c r="D599" i="1"/>
  <c r="G598" i="1"/>
  <c r="F598" i="1"/>
  <c r="D598" i="1"/>
  <c r="H598" i="1" s="1"/>
  <c r="G597" i="1"/>
  <c r="F597" i="1"/>
  <c r="D597" i="1"/>
  <c r="H597" i="1" s="1"/>
  <c r="G596" i="1"/>
  <c r="H596" i="1" s="1"/>
  <c r="F596" i="1"/>
  <c r="D596" i="1"/>
  <c r="H595" i="1"/>
  <c r="G594" i="1"/>
  <c r="H594" i="1" s="1"/>
  <c r="F594" i="1"/>
  <c r="D594" i="1"/>
  <c r="H593" i="1"/>
  <c r="G593" i="1"/>
  <c r="F593" i="1"/>
  <c r="D593" i="1"/>
  <c r="G592" i="1"/>
  <c r="F592" i="1"/>
  <c r="D592" i="1"/>
  <c r="H592" i="1" s="1"/>
  <c r="H591" i="1"/>
  <c r="G591" i="1"/>
  <c r="F591" i="1"/>
  <c r="D591" i="1"/>
  <c r="G590" i="1"/>
  <c r="F590" i="1"/>
  <c r="D590" i="1"/>
  <c r="H590" i="1" s="1"/>
  <c r="H589" i="1"/>
  <c r="G589" i="1"/>
  <c r="F589" i="1"/>
  <c r="D589" i="1"/>
  <c r="G588" i="1"/>
  <c r="F588" i="1"/>
  <c r="D588" i="1"/>
  <c r="H588" i="1" s="1"/>
  <c r="H587" i="1"/>
  <c r="G587" i="1"/>
  <c r="F587" i="1"/>
  <c r="D587" i="1"/>
  <c r="G586" i="1"/>
  <c r="F586" i="1"/>
  <c r="D586" i="1"/>
  <c r="H586" i="1" s="1"/>
  <c r="G585" i="1"/>
  <c r="F585" i="1"/>
  <c r="D585" i="1"/>
  <c r="H585" i="1" s="1"/>
  <c r="G584" i="1"/>
  <c r="F584" i="1"/>
  <c r="D584" i="1"/>
  <c r="H584" i="1" s="1"/>
  <c r="H583" i="1"/>
  <c r="G582" i="1"/>
  <c r="F582" i="1"/>
  <c r="D582" i="1"/>
  <c r="H582" i="1" s="1"/>
  <c r="G581" i="1"/>
  <c r="F581" i="1"/>
  <c r="D581" i="1"/>
  <c r="H581" i="1" s="1"/>
  <c r="G580" i="1"/>
  <c r="F580" i="1"/>
  <c r="H580" i="1" s="1"/>
  <c r="D580" i="1"/>
  <c r="G579" i="1"/>
  <c r="F579" i="1"/>
  <c r="D579" i="1"/>
  <c r="H579" i="1" s="1"/>
  <c r="G578" i="1"/>
  <c r="F578" i="1"/>
  <c r="D578" i="1"/>
  <c r="H578" i="1" s="1"/>
  <c r="G577" i="1"/>
  <c r="F577" i="1"/>
  <c r="D577" i="1"/>
  <c r="H577" i="1" s="1"/>
  <c r="G576" i="1"/>
  <c r="F576" i="1"/>
  <c r="D576" i="1"/>
  <c r="H576" i="1" s="1"/>
  <c r="G575" i="1"/>
  <c r="F575" i="1"/>
  <c r="D575" i="1"/>
  <c r="H575" i="1" s="1"/>
  <c r="G574" i="1"/>
  <c r="F574" i="1"/>
  <c r="D574" i="1"/>
  <c r="H574" i="1" s="1"/>
  <c r="G573" i="1"/>
  <c r="F573" i="1"/>
  <c r="D573" i="1"/>
  <c r="H573" i="1" s="1"/>
  <c r="G572" i="1"/>
  <c r="F572" i="1"/>
  <c r="D572" i="1"/>
  <c r="H572" i="1" s="1"/>
  <c r="H571" i="1"/>
  <c r="G570" i="1"/>
  <c r="F570" i="1"/>
  <c r="H570" i="1" s="1"/>
  <c r="D570" i="1"/>
  <c r="G569" i="1"/>
  <c r="F569" i="1"/>
  <c r="D569" i="1"/>
  <c r="H569" i="1" s="1"/>
  <c r="G568" i="1"/>
  <c r="F568" i="1"/>
  <c r="D568" i="1"/>
  <c r="H568" i="1" s="1"/>
  <c r="G567" i="1"/>
  <c r="F567" i="1"/>
  <c r="D567" i="1"/>
  <c r="H567" i="1" s="1"/>
  <c r="G566" i="1"/>
  <c r="F566" i="1"/>
  <c r="D566" i="1"/>
  <c r="H566" i="1" s="1"/>
  <c r="G565" i="1"/>
  <c r="F565" i="1"/>
  <c r="D565" i="1"/>
  <c r="H565" i="1" s="1"/>
  <c r="G564" i="1"/>
  <c r="F564" i="1"/>
  <c r="D564" i="1"/>
  <c r="H564" i="1" s="1"/>
  <c r="G563" i="1"/>
  <c r="F563" i="1"/>
  <c r="D563" i="1"/>
  <c r="H563" i="1" s="1"/>
  <c r="G562" i="1"/>
  <c r="F562" i="1"/>
  <c r="D562" i="1"/>
  <c r="H562" i="1" s="1"/>
  <c r="G561" i="1"/>
  <c r="F561" i="1"/>
  <c r="D561" i="1"/>
  <c r="H561" i="1" s="1"/>
  <c r="G560" i="1"/>
  <c r="F560" i="1"/>
  <c r="D560" i="1"/>
  <c r="H560" i="1" s="1"/>
  <c r="H559" i="1"/>
  <c r="G558" i="1"/>
  <c r="F558" i="1"/>
  <c r="H558" i="1" s="1"/>
  <c r="D558" i="1"/>
  <c r="G557" i="1"/>
  <c r="H557" i="1" s="1"/>
  <c r="F557" i="1"/>
  <c r="D557" i="1"/>
  <c r="H556" i="1"/>
  <c r="G556" i="1"/>
  <c r="F556" i="1"/>
  <c r="D556" i="1"/>
  <c r="G555" i="1"/>
  <c r="F555" i="1"/>
  <c r="H555" i="1" s="1"/>
  <c r="D555" i="1"/>
  <c r="G554" i="1"/>
  <c r="F554" i="1"/>
  <c r="H554" i="1" s="1"/>
  <c r="D554" i="1"/>
  <c r="G553" i="1"/>
  <c r="H553" i="1" s="1"/>
  <c r="F553" i="1"/>
  <c r="D553" i="1"/>
  <c r="G552" i="1"/>
  <c r="F552" i="1"/>
  <c r="H552" i="1" s="1"/>
  <c r="D552" i="1"/>
  <c r="G551" i="1"/>
  <c r="F551" i="1"/>
  <c r="H551" i="1" s="1"/>
  <c r="D551" i="1"/>
  <c r="G550" i="1"/>
  <c r="F550" i="1"/>
  <c r="D550" i="1"/>
  <c r="H550" i="1" s="1"/>
  <c r="G549" i="1"/>
  <c r="H549" i="1" s="1"/>
  <c r="F549" i="1"/>
  <c r="D549" i="1"/>
  <c r="G548" i="1"/>
  <c r="F548" i="1"/>
  <c r="H548" i="1" s="1"/>
  <c r="D548" i="1"/>
  <c r="H547" i="1"/>
  <c r="H546" i="1"/>
  <c r="G546" i="1"/>
  <c r="F546" i="1"/>
  <c r="D546" i="1"/>
  <c r="G545" i="1"/>
  <c r="F545" i="1"/>
  <c r="D545" i="1"/>
  <c r="H545" i="1" s="1"/>
  <c r="H544" i="1"/>
  <c r="G544" i="1"/>
  <c r="F544" i="1"/>
  <c r="D544" i="1"/>
  <c r="G543" i="1"/>
  <c r="H543" i="1" s="1"/>
  <c r="F543" i="1"/>
  <c r="D543" i="1"/>
  <c r="H542" i="1"/>
  <c r="G542" i="1"/>
  <c r="F542" i="1"/>
  <c r="D542" i="1"/>
  <c r="G541" i="1"/>
  <c r="F541" i="1"/>
  <c r="D541" i="1"/>
  <c r="H541" i="1" s="1"/>
  <c r="H540" i="1"/>
  <c r="G540" i="1"/>
  <c r="F540" i="1"/>
  <c r="D540" i="1"/>
  <c r="G539" i="1"/>
  <c r="F539" i="1"/>
  <c r="D539" i="1"/>
  <c r="H539" i="1" s="1"/>
  <c r="G538" i="1"/>
  <c r="F538" i="1"/>
  <c r="D538" i="1"/>
  <c r="H538" i="1" s="1"/>
  <c r="G537" i="1"/>
  <c r="F537" i="1"/>
  <c r="D537" i="1"/>
  <c r="H537" i="1" s="1"/>
  <c r="H536" i="1"/>
  <c r="G536" i="1"/>
  <c r="F536" i="1"/>
  <c r="D536" i="1"/>
  <c r="G535" i="1"/>
  <c r="F535" i="1"/>
  <c r="D535" i="1"/>
  <c r="H535" i="1" s="1"/>
  <c r="G534" i="1"/>
  <c r="F534" i="1"/>
  <c r="D534" i="1"/>
  <c r="H534" i="1" s="1"/>
  <c r="G533" i="1"/>
  <c r="F533" i="1"/>
  <c r="D533" i="1"/>
  <c r="H533" i="1" s="1"/>
  <c r="H532" i="1"/>
  <c r="G532" i="1"/>
  <c r="F532" i="1"/>
  <c r="D532" i="1"/>
  <c r="G531" i="1"/>
  <c r="F531" i="1"/>
  <c r="D531" i="1"/>
  <c r="H531" i="1" s="1"/>
  <c r="H530" i="1"/>
  <c r="G529" i="1"/>
  <c r="F529" i="1"/>
  <c r="H529" i="1" s="1"/>
  <c r="D529" i="1"/>
  <c r="G528" i="1"/>
  <c r="F528" i="1"/>
  <c r="D528" i="1"/>
  <c r="H528" i="1" s="1"/>
  <c r="G527" i="1"/>
  <c r="F527" i="1"/>
  <c r="D527" i="1"/>
  <c r="H527" i="1" s="1"/>
  <c r="H526" i="1"/>
  <c r="G526" i="1"/>
  <c r="F526" i="1"/>
  <c r="D526" i="1"/>
  <c r="G525" i="1"/>
  <c r="F525" i="1"/>
  <c r="H525" i="1" s="1"/>
  <c r="D525" i="1"/>
  <c r="G524" i="1"/>
  <c r="F524" i="1"/>
  <c r="D524" i="1"/>
  <c r="H524" i="1" s="1"/>
  <c r="G523" i="1"/>
  <c r="F523" i="1"/>
  <c r="D523" i="1"/>
  <c r="H523" i="1" s="1"/>
  <c r="G522" i="1"/>
  <c r="F522" i="1"/>
  <c r="D522" i="1"/>
  <c r="H522" i="1" s="1"/>
  <c r="G521" i="1"/>
  <c r="F521" i="1"/>
  <c r="D521" i="1"/>
  <c r="H521" i="1" s="1"/>
  <c r="G520" i="1"/>
  <c r="F520" i="1"/>
  <c r="D520" i="1"/>
  <c r="H520" i="1" s="1"/>
  <c r="G519" i="1"/>
  <c r="F519" i="1"/>
  <c r="D519" i="1"/>
  <c r="H519" i="1" s="1"/>
  <c r="H518" i="1"/>
  <c r="G517" i="1"/>
  <c r="F517" i="1"/>
  <c r="D517" i="1"/>
  <c r="H517" i="1" s="1"/>
  <c r="G516" i="1"/>
  <c r="F516" i="1"/>
  <c r="D516" i="1"/>
  <c r="H516" i="1" s="1"/>
  <c r="G515" i="1"/>
  <c r="F515" i="1"/>
  <c r="H515" i="1" s="1"/>
  <c r="D515" i="1"/>
  <c r="G514" i="1"/>
  <c r="F514" i="1"/>
  <c r="D514" i="1"/>
  <c r="H514" i="1" s="1"/>
  <c r="G513" i="1"/>
  <c r="F513" i="1"/>
  <c r="D513" i="1"/>
  <c r="H513" i="1" s="1"/>
  <c r="G512" i="1"/>
  <c r="F512" i="1"/>
  <c r="D512" i="1"/>
  <c r="H512" i="1" s="1"/>
  <c r="G511" i="1"/>
  <c r="F511" i="1"/>
  <c r="D511" i="1"/>
  <c r="H511" i="1" s="1"/>
  <c r="G510" i="1"/>
  <c r="F510" i="1"/>
  <c r="D510" i="1"/>
  <c r="H510" i="1" s="1"/>
  <c r="G509" i="1"/>
  <c r="F509" i="1"/>
  <c r="D509" i="1"/>
  <c r="H509" i="1" s="1"/>
  <c r="G508" i="1"/>
  <c r="F508" i="1"/>
  <c r="D508" i="1"/>
  <c r="H508" i="1" s="1"/>
  <c r="G507" i="1"/>
  <c r="F507" i="1"/>
  <c r="D507" i="1"/>
  <c r="H507" i="1" s="1"/>
  <c r="H506" i="1"/>
  <c r="H505" i="1"/>
  <c r="G505" i="1"/>
  <c r="F505" i="1"/>
  <c r="D505" i="1"/>
  <c r="G504" i="1"/>
  <c r="F504" i="1"/>
  <c r="H504" i="1" s="1"/>
  <c r="D504" i="1"/>
  <c r="G503" i="1"/>
  <c r="F503" i="1"/>
  <c r="H503" i="1" s="1"/>
  <c r="D503" i="1"/>
  <c r="G502" i="1"/>
  <c r="H502" i="1" s="1"/>
  <c r="F502" i="1"/>
  <c r="D502" i="1"/>
  <c r="H501" i="1"/>
  <c r="G501" i="1"/>
  <c r="F501" i="1"/>
  <c r="D501" i="1"/>
  <c r="G500" i="1"/>
  <c r="F500" i="1"/>
  <c r="H500" i="1" s="1"/>
  <c r="D500" i="1"/>
  <c r="G499" i="1"/>
  <c r="F499" i="1"/>
  <c r="H499" i="1" s="1"/>
  <c r="D499" i="1"/>
  <c r="G498" i="1"/>
  <c r="H498" i="1" s="1"/>
  <c r="F498" i="1"/>
  <c r="D498" i="1"/>
  <c r="G497" i="1"/>
  <c r="F497" i="1"/>
  <c r="H497" i="1" s="1"/>
  <c r="D497" i="1"/>
  <c r="G496" i="1"/>
  <c r="F496" i="1"/>
  <c r="H496" i="1" s="1"/>
  <c r="D496" i="1"/>
  <c r="G495" i="1"/>
  <c r="F495" i="1"/>
  <c r="D495" i="1"/>
  <c r="H495" i="1" s="1"/>
  <c r="H494" i="1"/>
  <c r="H493" i="1"/>
  <c r="G493" i="1"/>
  <c r="F493" i="1"/>
  <c r="D493" i="1"/>
  <c r="G492" i="1"/>
  <c r="F492" i="1"/>
  <c r="D492" i="1"/>
  <c r="H492" i="1" s="1"/>
  <c r="H491" i="1"/>
  <c r="G491" i="1"/>
  <c r="F491" i="1"/>
  <c r="D491" i="1"/>
  <c r="G490" i="1"/>
  <c r="F490" i="1"/>
  <c r="D490" i="1"/>
  <c r="H490" i="1" s="1"/>
  <c r="H489" i="1"/>
  <c r="G489" i="1"/>
  <c r="F489" i="1"/>
  <c r="D489" i="1"/>
  <c r="G488" i="1"/>
  <c r="F488" i="1"/>
  <c r="D488" i="1"/>
  <c r="H488" i="1" s="1"/>
  <c r="H487" i="1"/>
  <c r="G487" i="1"/>
  <c r="F487" i="1"/>
  <c r="D487" i="1"/>
  <c r="G486" i="1"/>
  <c r="F486" i="1"/>
  <c r="D486" i="1"/>
  <c r="H486" i="1" s="1"/>
  <c r="H485" i="1"/>
  <c r="G485" i="1"/>
  <c r="F485" i="1"/>
  <c r="D485" i="1"/>
  <c r="G484" i="1"/>
  <c r="F484" i="1"/>
  <c r="D484" i="1"/>
  <c r="H484" i="1" s="1"/>
  <c r="H483" i="1"/>
  <c r="G483" i="1"/>
  <c r="F483" i="1"/>
  <c r="D483" i="1"/>
  <c r="H482" i="1"/>
  <c r="G481" i="1"/>
  <c r="F481" i="1"/>
  <c r="D481" i="1"/>
  <c r="H481" i="1" s="1"/>
  <c r="G480" i="1"/>
  <c r="F480" i="1"/>
  <c r="D480" i="1"/>
  <c r="H480" i="1" s="1"/>
  <c r="G479" i="1"/>
  <c r="F479" i="1"/>
  <c r="D479" i="1"/>
  <c r="H479" i="1" s="1"/>
  <c r="G478" i="1"/>
  <c r="F478" i="1"/>
  <c r="H478" i="1" s="1"/>
  <c r="D478" i="1"/>
  <c r="G477" i="1"/>
  <c r="F477" i="1"/>
  <c r="D477" i="1"/>
  <c r="H477" i="1" s="1"/>
  <c r="G476" i="1"/>
  <c r="F476" i="1"/>
  <c r="D476" i="1"/>
  <c r="H476" i="1" s="1"/>
  <c r="G475" i="1"/>
  <c r="F475" i="1"/>
  <c r="D475" i="1"/>
  <c r="H475" i="1" s="1"/>
  <c r="G474" i="1"/>
  <c r="F474" i="1"/>
  <c r="H474" i="1" s="1"/>
  <c r="D474" i="1"/>
  <c r="G473" i="1"/>
  <c r="F473" i="1"/>
  <c r="D473" i="1"/>
  <c r="H473" i="1" s="1"/>
  <c r="G472" i="1"/>
  <c r="F472" i="1"/>
  <c r="D472" i="1"/>
  <c r="H472" i="1" s="1"/>
  <c r="G471" i="1"/>
  <c r="F471" i="1"/>
  <c r="D471" i="1"/>
  <c r="H471" i="1" s="1"/>
  <c r="G470" i="1"/>
  <c r="F470" i="1"/>
  <c r="D470" i="1"/>
  <c r="H470" i="1" s="1"/>
  <c r="G469" i="1"/>
  <c r="F469" i="1"/>
  <c r="D469" i="1"/>
  <c r="H469" i="1" s="1"/>
  <c r="G468" i="1"/>
  <c r="F468" i="1"/>
  <c r="D468" i="1"/>
  <c r="H468" i="1" s="1"/>
  <c r="G467" i="1"/>
  <c r="F467" i="1"/>
  <c r="D467" i="1"/>
  <c r="H467" i="1" s="1"/>
  <c r="G466" i="1"/>
  <c r="F466" i="1"/>
  <c r="D466" i="1"/>
  <c r="H466" i="1" s="1"/>
  <c r="G465" i="1"/>
  <c r="F465" i="1"/>
  <c r="D465" i="1"/>
  <c r="H465" i="1" s="1"/>
  <c r="H464" i="1"/>
  <c r="G463" i="1"/>
  <c r="F463" i="1"/>
  <c r="D463" i="1"/>
  <c r="H463" i="1" s="1"/>
  <c r="G462" i="1"/>
  <c r="F462" i="1"/>
  <c r="D462" i="1"/>
  <c r="H462" i="1" s="1"/>
  <c r="G461" i="1"/>
  <c r="F461" i="1"/>
  <c r="D461" i="1"/>
  <c r="H461" i="1" s="1"/>
  <c r="G460" i="1"/>
  <c r="F460" i="1"/>
  <c r="H460" i="1" s="1"/>
  <c r="D460" i="1"/>
  <c r="G459" i="1"/>
  <c r="F459" i="1"/>
  <c r="D459" i="1"/>
  <c r="H459" i="1" s="1"/>
  <c r="G458" i="1"/>
  <c r="F458" i="1"/>
  <c r="D458" i="1"/>
  <c r="H458" i="1" s="1"/>
  <c r="G457" i="1"/>
  <c r="F457" i="1"/>
  <c r="D457" i="1"/>
  <c r="H457" i="1" s="1"/>
  <c r="G456" i="1"/>
  <c r="F456" i="1"/>
  <c r="H456" i="1" s="1"/>
  <c r="D456" i="1"/>
  <c r="G455" i="1"/>
  <c r="F455" i="1"/>
  <c r="D455" i="1"/>
  <c r="H455" i="1" s="1"/>
  <c r="G454" i="1"/>
  <c r="F454" i="1"/>
  <c r="D454" i="1"/>
  <c r="H454" i="1" s="1"/>
  <c r="G453" i="1"/>
  <c r="F453" i="1"/>
  <c r="D453" i="1"/>
  <c r="H453" i="1" s="1"/>
  <c r="H452" i="1"/>
  <c r="G451" i="1"/>
  <c r="H451" i="1" s="1"/>
  <c r="F451" i="1"/>
  <c r="D451" i="1"/>
  <c r="H450" i="1"/>
  <c r="G450" i="1"/>
  <c r="F450" i="1"/>
  <c r="D450" i="1"/>
  <c r="G449" i="1"/>
  <c r="F449" i="1"/>
  <c r="H449" i="1" s="1"/>
  <c r="D449" i="1"/>
  <c r="H448" i="1"/>
  <c r="G448" i="1"/>
  <c r="F448" i="1"/>
  <c r="D448" i="1"/>
  <c r="G447" i="1"/>
  <c r="H447" i="1" s="1"/>
  <c r="F447" i="1"/>
  <c r="D447" i="1"/>
  <c r="H446" i="1"/>
  <c r="G446" i="1"/>
  <c r="F446" i="1"/>
  <c r="D446" i="1"/>
  <c r="G445" i="1"/>
  <c r="F445" i="1"/>
  <c r="H445" i="1" s="1"/>
  <c r="D445" i="1"/>
  <c r="G444" i="1"/>
  <c r="H444" i="1" s="1"/>
  <c r="F444" i="1"/>
  <c r="D444" i="1"/>
  <c r="G443" i="1"/>
  <c r="H443" i="1" s="1"/>
  <c r="F443" i="1"/>
  <c r="D443" i="1"/>
  <c r="H442" i="1"/>
  <c r="G442" i="1"/>
  <c r="F442" i="1"/>
  <c r="D442" i="1"/>
  <c r="G441" i="1"/>
  <c r="F441" i="1"/>
  <c r="D441" i="1"/>
  <c r="H441" i="1" s="1"/>
  <c r="H440" i="1"/>
  <c r="G439" i="1"/>
  <c r="F439" i="1"/>
  <c r="D439" i="1"/>
  <c r="H439" i="1" s="1"/>
  <c r="H438" i="1"/>
  <c r="G438" i="1"/>
  <c r="F438" i="1"/>
  <c r="D438" i="1"/>
  <c r="G437" i="1"/>
  <c r="H437" i="1" s="1"/>
  <c r="F437" i="1"/>
  <c r="D437" i="1"/>
  <c r="H436" i="1"/>
  <c r="G436" i="1"/>
  <c r="F436" i="1"/>
  <c r="D436" i="1"/>
  <c r="G435" i="1"/>
  <c r="F435" i="1"/>
  <c r="D435" i="1"/>
  <c r="H435" i="1" s="1"/>
  <c r="H434" i="1"/>
  <c r="G434" i="1"/>
  <c r="F434" i="1"/>
  <c r="D434" i="1"/>
  <c r="G433" i="1"/>
  <c r="F433" i="1"/>
  <c r="D433" i="1"/>
  <c r="H433" i="1" s="1"/>
  <c r="H432" i="1"/>
  <c r="G432" i="1"/>
  <c r="F432" i="1"/>
  <c r="D432" i="1"/>
  <c r="G431" i="1"/>
  <c r="F431" i="1"/>
  <c r="D431" i="1"/>
  <c r="H431" i="1" s="1"/>
  <c r="H430" i="1"/>
  <c r="G430" i="1"/>
  <c r="F430" i="1"/>
  <c r="D430" i="1"/>
  <c r="G429" i="1"/>
  <c r="F429" i="1"/>
  <c r="D429" i="1"/>
  <c r="H429" i="1" s="1"/>
  <c r="H428" i="1"/>
  <c r="G427" i="1"/>
  <c r="F427" i="1"/>
  <c r="H427" i="1" s="1"/>
  <c r="D427" i="1"/>
  <c r="G426" i="1"/>
  <c r="F426" i="1"/>
  <c r="D426" i="1"/>
  <c r="H426" i="1" s="1"/>
  <c r="G425" i="1"/>
  <c r="F425" i="1"/>
  <c r="D425" i="1"/>
  <c r="H425" i="1" s="1"/>
  <c r="G424" i="1"/>
  <c r="F424" i="1"/>
  <c r="D424" i="1"/>
  <c r="H424" i="1" s="1"/>
  <c r="G423" i="1"/>
  <c r="F423" i="1"/>
  <c r="D423" i="1"/>
  <c r="H423" i="1" s="1"/>
  <c r="G422" i="1"/>
  <c r="F422" i="1"/>
  <c r="D422" i="1"/>
  <c r="H422" i="1" s="1"/>
  <c r="G421" i="1"/>
  <c r="F421" i="1"/>
  <c r="D421" i="1"/>
  <c r="H421" i="1" s="1"/>
  <c r="G420" i="1"/>
  <c r="F420" i="1"/>
  <c r="D420" i="1"/>
  <c r="H420" i="1" s="1"/>
  <c r="G419" i="1"/>
  <c r="F419" i="1"/>
  <c r="D419" i="1"/>
  <c r="H419" i="1" s="1"/>
  <c r="G418" i="1"/>
  <c r="F418" i="1"/>
  <c r="D418" i="1"/>
  <c r="H418" i="1" s="1"/>
  <c r="G417" i="1"/>
  <c r="F417" i="1"/>
  <c r="D417" i="1"/>
  <c r="H417" i="1" s="1"/>
  <c r="H416" i="1"/>
  <c r="G415" i="1"/>
  <c r="F415" i="1"/>
  <c r="D415" i="1"/>
  <c r="H415" i="1" s="1"/>
  <c r="G414" i="1"/>
  <c r="F414" i="1"/>
  <c r="D414" i="1"/>
  <c r="H414" i="1" s="1"/>
  <c r="G413" i="1"/>
  <c r="F413" i="1"/>
  <c r="H413" i="1" s="1"/>
  <c r="D413" i="1"/>
  <c r="G412" i="1"/>
  <c r="F412" i="1"/>
  <c r="D412" i="1"/>
  <c r="H412" i="1" s="1"/>
  <c r="G411" i="1"/>
  <c r="F411" i="1"/>
  <c r="D411" i="1"/>
  <c r="H411" i="1" s="1"/>
  <c r="G410" i="1"/>
  <c r="F410" i="1"/>
  <c r="D410" i="1"/>
  <c r="H410" i="1" s="1"/>
  <c r="G409" i="1"/>
  <c r="F409" i="1"/>
  <c r="H409" i="1" s="1"/>
  <c r="D409" i="1"/>
  <c r="G408" i="1"/>
  <c r="F408" i="1"/>
  <c r="D408" i="1"/>
  <c r="H408" i="1" s="1"/>
  <c r="G407" i="1"/>
  <c r="F407" i="1"/>
  <c r="D407" i="1"/>
  <c r="H407" i="1" s="1"/>
  <c r="G406" i="1"/>
  <c r="F406" i="1"/>
  <c r="D406" i="1"/>
  <c r="H406" i="1" s="1"/>
  <c r="G405" i="1"/>
  <c r="F405" i="1"/>
  <c r="H405" i="1" s="1"/>
  <c r="D405" i="1"/>
  <c r="G404" i="1"/>
  <c r="F404" i="1"/>
  <c r="D404" i="1"/>
  <c r="H404" i="1" s="1"/>
  <c r="G403" i="1"/>
  <c r="F403" i="1"/>
  <c r="D403" i="1"/>
  <c r="H403" i="1" s="1"/>
  <c r="G402" i="1"/>
  <c r="F402" i="1"/>
  <c r="D402" i="1"/>
  <c r="H402" i="1" s="1"/>
  <c r="G401" i="1"/>
  <c r="F401" i="1"/>
  <c r="D401" i="1"/>
  <c r="H401" i="1" s="1"/>
  <c r="G400" i="1"/>
  <c r="F400" i="1"/>
  <c r="D400" i="1"/>
  <c r="H400" i="1" s="1"/>
  <c r="G399" i="1"/>
  <c r="F399" i="1"/>
  <c r="D399" i="1"/>
  <c r="H399" i="1" s="1"/>
  <c r="G398" i="1"/>
  <c r="F398" i="1"/>
  <c r="D398" i="1"/>
  <c r="H398" i="1" s="1"/>
  <c r="G397" i="1"/>
  <c r="F397" i="1"/>
  <c r="D397" i="1"/>
  <c r="H397" i="1" s="1"/>
  <c r="G396" i="1"/>
  <c r="F396" i="1"/>
  <c r="D396" i="1"/>
  <c r="H396" i="1" s="1"/>
  <c r="G395" i="1"/>
  <c r="F395" i="1"/>
  <c r="E395" i="1"/>
  <c r="I395" i="1" s="1"/>
  <c r="G394" i="1"/>
  <c r="F394" i="1"/>
  <c r="E394" i="1"/>
  <c r="I394" i="1" s="1"/>
  <c r="G393" i="1"/>
  <c r="F393" i="1"/>
  <c r="E393" i="1"/>
  <c r="I393" i="1" s="1"/>
  <c r="G392" i="1"/>
  <c r="F392" i="1"/>
  <c r="E392" i="1"/>
  <c r="I392" i="1" s="1"/>
  <c r="G391" i="1"/>
  <c r="F391" i="1"/>
  <c r="E391" i="1"/>
  <c r="I391" i="1" s="1"/>
  <c r="G390" i="1"/>
  <c r="F390" i="1"/>
  <c r="E390" i="1"/>
  <c r="I390" i="1" s="1"/>
  <c r="G389" i="1"/>
  <c r="F389" i="1"/>
  <c r="E389" i="1"/>
  <c r="I389" i="1" s="1"/>
  <c r="I388" i="1"/>
  <c r="G387" i="1"/>
  <c r="F387" i="1"/>
  <c r="I387" i="1" s="1"/>
  <c r="E387" i="1"/>
  <c r="G386" i="1"/>
  <c r="F386" i="1"/>
  <c r="I386" i="1" s="1"/>
  <c r="E386" i="1"/>
  <c r="G385" i="1"/>
  <c r="F385" i="1"/>
  <c r="I385" i="1" s="1"/>
  <c r="E385" i="1"/>
  <c r="G384" i="1"/>
  <c r="I384" i="1" s="1"/>
  <c r="F384" i="1"/>
  <c r="E384" i="1"/>
  <c r="G383" i="1"/>
  <c r="F383" i="1"/>
  <c r="I383" i="1" s="1"/>
  <c r="E383" i="1"/>
  <c r="G382" i="1"/>
  <c r="F382" i="1"/>
  <c r="I382" i="1" s="1"/>
  <c r="E382" i="1"/>
  <c r="G381" i="1"/>
  <c r="F381" i="1"/>
  <c r="I381" i="1" s="1"/>
  <c r="E381" i="1"/>
  <c r="G380" i="1"/>
  <c r="I380" i="1" s="1"/>
  <c r="F380" i="1"/>
  <c r="E380" i="1"/>
  <c r="G379" i="1"/>
  <c r="F379" i="1"/>
  <c r="I379" i="1" s="1"/>
  <c r="E379" i="1"/>
  <c r="G378" i="1"/>
  <c r="F378" i="1"/>
  <c r="I378" i="1" s="1"/>
  <c r="E378" i="1"/>
  <c r="G377" i="1"/>
  <c r="F377" i="1"/>
  <c r="I377" i="1" s="1"/>
  <c r="E377" i="1"/>
  <c r="G376" i="1"/>
  <c r="I376" i="1" s="1"/>
  <c r="F376" i="1"/>
  <c r="E376" i="1"/>
  <c r="G375" i="1"/>
  <c r="F375" i="1"/>
  <c r="I375" i="1" s="1"/>
  <c r="E375" i="1"/>
  <c r="G374" i="1"/>
  <c r="F374" i="1"/>
  <c r="I374" i="1" s="1"/>
  <c r="E374" i="1"/>
  <c r="G373" i="1"/>
  <c r="F373" i="1"/>
  <c r="I373" i="1" s="1"/>
  <c r="E373" i="1"/>
  <c r="G372" i="1"/>
  <c r="I372" i="1" s="1"/>
  <c r="F372" i="1"/>
  <c r="E372" i="1"/>
  <c r="G371" i="1"/>
  <c r="F371" i="1"/>
  <c r="I371" i="1" s="1"/>
  <c r="E371" i="1"/>
  <c r="G370" i="1"/>
  <c r="F370" i="1"/>
  <c r="E370" i="1"/>
  <c r="I370" i="1" s="1"/>
  <c r="G369" i="1"/>
  <c r="F369" i="1"/>
  <c r="E369" i="1"/>
  <c r="I369" i="1" s="1"/>
  <c r="G368" i="1"/>
  <c r="I368" i="1" s="1"/>
  <c r="F368" i="1"/>
  <c r="E368" i="1"/>
  <c r="G367" i="1"/>
  <c r="F367" i="1"/>
  <c r="I367" i="1" s="1"/>
  <c r="E367" i="1"/>
  <c r="I366" i="1"/>
  <c r="I365" i="1"/>
  <c r="G365" i="1"/>
  <c r="F365" i="1"/>
  <c r="E365" i="1"/>
  <c r="G364" i="1"/>
  <c r="F364" i="1"/>
  <c r="E364" i="1"/>
  <c r="I364" i="1" s="1"/>
  <c r="I363" i="1"/>
  <c r="G363" i="1"/>
  <c r="F363" i="1"/>
  <c r="E363" i="1"/>
  <c r="G362" i="1"/>
  <c r="I362" i="1" s="1"/>
  <c r="F362" i="1"/>
  <c r="E362" i="1"/>
  <c r="I361" i="1"/>
  <c r="G361" i="1"/>
  <c r="F361" i="1"/>
  <c r="E361" i="1"/>
  <c r="G360" i="1"/>
  <c r="F360" i="1"/>
  <c r="E360" i="1"/>
  <c r="I360" i="1" s="1"/>
  <c r="I359" i="1"/>
  <c r="G359" i="1"/>
  <c r="F359" i="1"/>
  <c r="E359" i="1"/>
  <c r="G358" i="1"/>
  <c r="I358" i="1" s="1"/>
  <c r="F358" i="1"/>
  <c r="E358" i="1"/>
  <c r="I357" i="1"/>
  <c r="G357" i="1"/>
  <c r="F357" i="1"/>
  <c r="E357" i="1"/>
  <c r="G356" i="1"/>
  <c r="F356" i="1"/>
  <c r="E356" i="1"/>
  <c r="I356" i="1" s="1"/>
  <c r="I355" i="1"/>
  <c r="G355" i="1"/>
  <c r="F355" i="1"/>
  <c r="E355" i="1"/>
  <c r="G354" i="1"/>
  <c r="F354" i="1"/>
  <c r="E354" i="1"/>
  <c r="I354" i="1" s="1"/>
  <c r="I353" i="1"/>
  <c r="G353" i="1"/>
  <c r="F353" i="1"/>
  <c r="E353" i="1"/>
  <c r="G352" i="1"/>
  <c r="F352" i="1"/>
  <c r="E352" i="1"/>
  <c r="I352" i="1" s="1"/>
  <c r="I351" i="1"/>
  <c r="G351" i="1"/>
  <c r="F351" i="1"/>
  <c r="E351" i="1"/>
  <c r="G350" i="1"/>
  <c r="F350" i="1"/>
  <c r="E350" i="1"/>
  <c r="I350" i="1" s="1"/>
  <c r="I349" i="1"/>
  <c r="G349" i="1"/>
  <c r="F349" i="1"/>
  <c r="E349" i="1"/>
  <c r="G348" i="1"/>
  <c r="F348" i="1"/>
  <c r="E348" i="1"/>
  <c r="I348" i="1" s="1"/>
  <c r="I347" i="1"/>
  <c r="G347" i="1"/>
  <c r="F347" i="1"/>
  <c r="E347" i="1"/>
  <c r="G346" i="1"/>
  <c r="F346" i="1"/>
  <c r="E346" i="1"/>
  <c r="I346" i="1" s="1"/>
  <c r="I345" i="1"/>
  <c r="G345" i="1"/>
  <c r="F345" i="1"/>
  <c r="E345" i="1"/>
  <c r="G344" i="1"/>
  <c r="F344" i="1"/>
  <c r="E344" i="1"/>
  <c r="I344" i="1" s="1"/>
  <c r="I343" i="1"/>
  <c r="G343" i="1"/>
  <c r="F343" i="1"/>
  <c r="E343" i="1"/>
  <c r="G342" i="1"/>
  <c r="F342" i="1"/>
  <c r="E342" i="1"/>
  <c r="I342" i="1" s="1"/>
  <c r="I341" i="1"/>
  <c r="G341" i="1"/>
  <c r="F341" i="1"/>
  <c r="E341" i="1"/>
  <c r="G340" i="1"/>
  <c r="F340" i="1"/>
  <c r="E340" i="1"/>
  <c r="I340" i="1" s="1"/>
  <c r="I339" i="1"/>
  <c r="G339" i="1"/>
  <c r="F339" i="1"/>
  <c r="E339" i="1"/>
  <c r="G338" i="1"/>
  <c r="F338" i="1"/>
  <c r="E338" i="1"/>
  <c r="I338" i="1" s="1"/>
  <c r="I337" i="1"/>
  <c r="G337" i="1"/>
  <c r="F337" i="1"/>
  <c r="E337" i="1"/>
  <c r="I336" i="1"/>
  <c r="G335" i="1"/>
  <c r="F335" i="1"/>
  <c r="E335" i="1"/>
  <c r="I335" i="1" s="1"/>
  <c r="G334" i="1"/>
  <c r="F334" i="1"/>
  <c r="I334" i="1" s="1"/>
  <c r="E334" i="1"/>
  <c r="G333" i="1"/>
  <c r="F333" i="1"/>
  <c r="E333" i="1"/>
  <c r="I333" i="1" s="1"/>
  <c r="G332" i="1"/>
  <c r="F332" i="1"/>
  <c r="I332" i="1" s="1"/>
  <c r="E332" i="1"/>
  <c r="G331" i="1"/>
  <c r="F331" i="1"/>
  <c r="E331" i="1"/>
  <c r="I331" i="1" s="1"/>
  <c r="G330" i="1"/>
  <c r="F330" i="1"/>
  <c r="I330" i="1" s="1"/>
  <c r="E330" i="1"/>
  <c r="G329" i="1"/>
  <c r="F329" i="1"/>
  <c r="E329" i="1"/>
  <c r="I329" i="1" s="1"/>
  <c r="G328" i="1"/>
  <c r="F328" i="1"/>
  <c r="I328" i="1" s="1"/>
  <c r="E328" i="1"/>
  <c r="G327" i="1"/>
  <c r="F327" i="1"/>
  <c r="E327" i="1"/>
  <c r="I327" i="1" s="1"/>
  <c r="G326" i="1"/>
  <c r="F326" i="1"/>
  <c r="I326" i="1" s="1"/>
  <c r="E326" i="1"/>
  <c r="G325" i="1"/>
  <c r="F325" i="1"/>
  <c r="E325" i="1"/>
  <c r="I325" i="1" s="1"/>
  <c r="I324" i="1"/>
  <c r="G323" i="1"/>
  <c r="F323" i="1"/>
  <c r="E323" i="1"/>
  <c r="I323" i="1" s="1"/>
  <c r="G322" i="1"/>
  <c r="F322" i="1"/>
  <c r="E322" i="1"/>
  <c r="I322" i="1" s="1"/>
  <c r="G321" i="1"/>
  <c r="F321" i="1"/>
  <c r="E321" i="1"/>
  <c r="I321" i="1" s="1"/>
  <c r="G320" i="1"/>
  <c r="F320" i="1"/>
  <c r="E320" i="1"/>
  <c r="I320" i="1" s="1"/>
  <c r="G319" i="1"/>
  <c r="F319" i="1"/>
  <c r="E319" i="1"/>
  <c r="I319" i="1" s="1"/>
  <c r="G318" i="1"/>
  <c r="F318" i="1"/>
  <c r="E318" i="1"/>
  <c r="I318" i="1" s="1"/>
  <c r="G317" i="1"/>
  <c r="F317" i="1"/>
  <c r="E317" i="1"/>
  <c r="I317" i="1" s="1"/>
  <c r="G316" i="1"/>
  <c r="F316" i="1"/>
  <c r="E316" i="1"/>
  <c r="I316" i="1" s="1"/>
  <c r="G315" i="1"/>
  <c r="F315" i="1"/>
  <c r="E315" i="1"/>
  <c r="I315" i="1" s="1"/>
  <c r="G314" i="1"/>
  <c r="F314" i="1"/>
  <c r="E314" i="1"/>
  <c r="I314" i="1" s="1"/>
  <c r="G313" i="1"/>
  <c r="F313" i="1"/>
  <c r="E313" i="1"/>
  <c r="I313" i="1" s="1"/>
  <c r="G312" i="1"/>
  <c r="F312" i="1"/>
  <c r="E312" i="1"/>
  <c r="I312" i="1" s="1"/>
  <c r="G311" i="1"/>
  <c r="F311" i="1"/>
  <c r="E311" i="1"/>
  <c r="I311" i="1" s="1"/>
  <c r="G310" i="1"/>
  <c r="F310" i="1"/>
  <c r="E310" i="1"/>
  <c r="I310" i="1" s="1"/>
  <c r="G309" i="1"/>
  <c r="F309" i="1"/>
  <c r="E309" i="1"/>
  <c r="I309" i="1" s="1"/>
  <c r="G308" i="1"/>
  <c r="F308" i="1"/>
  <c r="E308" i="1"/>
  <c r="I308" i="1" s="1"/>
  <c r="G307" i="1"/>
  <c r="F307" i="1"/>
  <c r="E307" i="1"/>
  <c r="I307" i="1" s="1"/>
  <c r="G306" i="1"/>
  <c r="F306" i="1"/>
  <c r="E306" i="1"/>
  <c r="I306" i="1" s="1"/>
  <c r="G305" i="1"/>
  <c r="F305" i="1"/>
  <c r="E305" i="1"/>
  <c r="I305" i="1" s="1"/>
  <c r="G304" i="1"/>
  <c r="F304" i="1"/>
  <c r="E304" i="1"/>
  <c r="I304" i="1" s="1"/>
  <c r="G303" i="1"/>
  <c r="F303" i="1"/>
  <c r="E303" i="1"/>
  <c r="I303" i="1" s="1"/>
  <c r="G302" i="1"/>
  <c r="F302" i="1"/>
  <c r="E302" i="1"/>
  <c r="I302" i="1" s="1"/>
  <c r="G301" i="1"/>
  <c r="F301" i="1"/>
  <c r="E301" i="1"/>
  <c r="I301" i="1" s="1"/>
  <c r="I300" i="1"/>
  <c r="I299" i="1"/>
  <c r="I298" i="1"/>
  <c r="G298" i="1"/>
  <c r="F298" i="1"/>
  <c r="E298" i="1"/>
  <c r="G297" i="1"/>
  <c r="F297" i="1"/>
  <c r="E297" i="1"/>
  <c r="I297" i="1" s="1"/>
  <c r="I296" i="1"/>
  <c r="G296" i="1"/>
  <c r="F296" i="1"/>
  <c r="E296" i="1"/>
  <c r="G295" i="1"/>
  <c r="F295" i="1"/>
  <c r="E295" i="1"/>
  <c r="I295" i="1" s="1"/>
  <c r="I294" i="1"/>
  <c r="G294" i="1"/>
  <c r="F294" i="1"/>
  <c r="E294" i="1"/>
  <c r="G293" i="1"/>
  <c r="F293" i="1"/>
  <c r="E293" i="1"/>
  <c r="I293" i="1" s="1"/>
  <c r="I292" i="1"/>
  <c r="G292" i="1"/>
  <c r="F292" i="1"/>
  <c r="E292" i="1"/>
  <c r="G291" i="1"/>
  <c r="F291" i="1"/>
  <c r="E291" i="1"/>
  <c r="I291" i="1" s="1"/>
  <c r="I290" i="1"/>
  <c r="I289" i="1"/>
  <c r="I288" i="1"/>
  <c r="I287" i="1"/>
  <c r="I286" i="1"/>
  <c r="G285" i="1"/>
  <c r="F285" i="1"/>
  <c r="E285" i="1"/>
  <c r="I285" i="1" s="1"/>
  <c r="G284" i="1"/>
  <c r="F284" i="1"/>
  <c r="I284" i="1" s="1"/>
  <c r="E284" i="1"/>
  <c r="G283" i="1"/>
  <c r="F283" i="1"/>
  <c r="E283" i="1"/>
  <c r="I283" i="1" s="1"/>
  <c r="G282" i="1"/>
  <c r="F282" i="1"/>
  <c r="I282" i="1" s="1"/>
  <c r="E282" i="1"/>
  <c r="G281" i="1"/>
  <c r="F281" i="1"/>
  <c r="E281" i="1"/>
  <c r="I281" i="1" s="1"/>
  <c r="G280" i="1"/>
  <c r="F280" i="1"/>
  <c r="I280" i="1" s="1"/>
  <c r="E280" i="1"/>
  <c r="G279" i="1"/>
  <c r="F279" i="1"/>
  <c r="E279" i="1"/>
  <c r="I279" i="1" s="1"/>
  <c r="I278" i="1"/>
  <c r="G277" i="1"/>
  <c r="F277" i="1"/>
  <c r="E277" i="1"/>
  <c r="I277" i="1" s="1"/>
  <c r="G276" i="1"/>
  <c r="F276" i="1"/>
  <c r="E276" i="1"/>
  <c r="I276" i="1" s="1"/>
  <c r="G275" i="1"/>
  <c r="F275" i="1"/>
  <c r="E275" i="1"/>
  <c r="I275" i="1" s="1"/>
  <c r="G274" i="1"/>
  <c r="F274" i="1"/>
  <c r="E274" i="1"/>
  <c r="I274" i="1" s="1"/>
  <c r="G273" i="1"/>
  <c r="F273" i="1"/>
  <c r="E273" i="1"/>
  <c r="I273" i="1" s="1"/>
  <c r="G272" i="1"/>
  <c r="F272" i="1"/>
  <c r="E272" i="1"/>
  <c r="I272" i="1" s="1"/>
  <c r="G271" i="1"/>
  <c r="F271" i="1"/>
  <c r="E271" i="1"/>
  <c r="I271" i="1" s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G252" i="1"/>
  <c r="F252" i="1"/>
  <c r="E252" i="1"/>
  <c r="G251" i="1"/>
  <c r="F251" i="1"/>
  <c r="E251" i="1"/>
  <c r="I251" i="1" s="1"/>
  <c r="I250" i="1"/>
  <c r="G250" i="1"/>
  <c r="F250" i="1"/>
  <c r="E250" i="1"/>
  <c r="G249" i="1"/>
  <c r="F249" i="1"/>
  <c r="E249" i="1"/>
  <c r="I249" i="1" s="1"/>
  <c r="I248" i="1"/>
  <c r="G248" i="1"/>
  <c r="F248" i="1"/>
  <c r="E248" i="1"/>
  <c r="G247" i="1"/>
  <c r="F247" i="1"/>
  <c r="E247" i="1"/>
  <c r="I247" i="1" s="1"/>
  <c r="I246" i="1"/>
  <c r="G246" i="1"/>
  <c r="F246" i="1"/>
  <c r="E246" i="1"/>
  <c r="I245" i="1"/>
  <c r="I244" i="1"/>
  <c r="I1059" i="1" s="1"/>
  <c r="G243" i="1"/>
  <c r="F243" i="1"/>
  <c r="E243" i="1"/>
  <c r="I243" i="1" s="1"/>
  <c r="G242" i="1"/>
  <c r="F242" i="1"/>
  <c r="E242" i="1"/>
  <c r="I242" i="1" s="1"/>
  <c r="G241" i="1"/>
  <c r="F241" i="1"/>
  <c r="E241" i="1"/>
  <c r="I241" i="1" s="1"/>
  <c r="G240" i="1"/>
  <c r="F240" i="1"/>
  <c r="E240" i="1"/>
  <c r="I240" i="1" s="1"/>
  <c r="G239" i="1"/>
  <c r="F239" i="1"/>
  <c r="E239" i="1"/>
  <c r="I239" i="1" s="1"/>
  <c r="G238" i="1"/>
  <c r="F238" i="1"/>
  <c r="E238" i="1"/>
  <c r="I238" i="1" s="1"/>
  <c r="G237" i="1"/>
  <c r="F237" i="1"/>
  <c r="E237" i="1"/>
  <c r="I237" i="1" s="1"/>
  <c r="G236" i="1"/>
  <c r="F236" i="1"/>
  <c r="E236" i="1"/>
  <c r="I236" i="1" s="1"/>
  <c r="G235" i="1"/>
  <c r="F235" i="1"/>
  <c r="E235" i="1"/>
  <c r="I235" i="1" s="1"/>
  <c r="G234" i="1"/>
  <c r="F234" i="1"/>
  <c r="E234" i="1"/>
  <c r="I234" i="1" s="1"/>
  <c r="G233" i="1"/>
  <c r="F233" i="1"/>
  <c r="D233" i="1"/>
  <c r="H233" i="1" s="1"/>
  <c r="G232" i="1"/>
  <c r="F232" i="1"/>
  <c r="D232" i="1"/>
  <c r="H232" i="1" s="1"/>
  <c r="G231" i="1"/>
  <c r="F231" i="1"/>
  <c r="D231" i="1"/>
  <c r="H231" i="1" s="1"/>
  <c r="G230" i="1"/>
  <c r="F230" i="1"/>
  <c r="E230" i="1"/>
  <c r="I230" i="1" s="1"/>
  <c r="G229" i="1"/>
  <c r="F229" i="1"/>
  <c r="D229" i="1"/>
  <c r="H229" i="1" s="1"/>
  <c r="H228" i="1"/>
  <c r="H227" i="1"/>
  <c r="H226" i="1"/>
  <c r="G225" i="1"/>
  <c r="F225" i="1"/>
  <c r="D225" i="1"/>
  <c r="H225" i="1" s="1"/>
  <c r="H224" i="1"/>
  <c r="G224" i="1"/>
  <c r="F224" i="1"/>
  <c r="D224" i="1"/>
  <c r="G223" i="1"/>
  <c r="F223" i="1"/>
  <c r="D223" i="1"/>
  <c r="H223" i="1" s="1"/>
  <c r="G222" i="1"/>
  <c r="F222" i="1"/>
  <c r="H222" i="1" s="1"/>
  <c r="D222" i="1"/>
  <c r="H221" i="1"/>
  <c r="G220" i="1"/>
  <c r="F220" i="1"/>
  <c r="D220" i="1"/>
  <c r="H220" i="1" s="1"/>
  <c r="G219" i="1"/>
  <c r="F219" i="1"/>
  <c r="D219" i="1"/>
  <c r="H219" i="1" s="1"/>
  <c r="G218" i="1"/>
  <c r="F218" i="1"/>
  <c r="D218" i="1"/>
  <c r="H218" i="1" s="1"/>
  <c r="G217" i="1"/>
  <c r="F217" i="1"/>
  <c r="D217" i="1"/>
  <c r="H217" i="1" s="1"/>
  <c r="G216" i="1"/>
  <c r="F216" i="1"/>
  <c r="D216" i="1"/>
  <c r="H216" i="1" s="1"/>
  <c r="G215" i="1"/>
  <c r="F215" i="1"/>
  <c r="D215" i="1"/>
  <c r="H215" i="1" s="1"/>
  <c r="G214" i="1"/>
  <c r="F214" i="1"/>
  <c r="D214" i="1"/>
  <c r="H214" i="1" s="1"/>
  <c r="G213" i="1"/>
  <c r="F213" i="1"/>
  <c r="D213" i="1"/>
  <c r="H213" i="1" s="1"/>
  <c r="G212" i="1"/>
  <c r="F212" i="1"/>
  <c r="D212" i="1"/>
  <c r="H212" i="1" s="1"/>
  <c r="G211" i="1"/>
  <c r="F211" i="1"/>
  <c r="D211" i="1"/>
  <c r="H211" i="1" s="1"/>
  <c r="G210" i="1"/>
  <c r="F210" i="1"/>
  <c r="D210" i="1"/>
  <c r="H210" i="1" s="1"/>
  <c r="H209" i="1"/>
  <c r="H208" i="1"/>
  <c r="H207" i="1"/>
  <c r="H206" i="1"/>
  <c r="H205" i="1"/>
  <c r="G204" i="1"/>
  <c r="F204" i="1"/>
  <c r="H204" i="1" s="1"/>
  <c r="D204" i="1"/>
  <c r="G203" i="1"/>
  <c r="F203" i="1"/>
  <c r="H203" i="1" s="1"/>
  <c r="D203" i="1"/>
  <c r="G202" i="1"/>
  <c r="H202" i="1" s="1"/>
  <c r="F202" i="1"/>
  <c r="D202" i="1"/>
  <c r="G201" i="1"/>
  <c r="F201" i="1"/>
  <c r="H201" i="1" s="1"/>
  <c r="D201" i="1"/>
  <c r="G200" i="1"/>
  <c r="F200" i="1"/>
  <c r="H200" i="1" s="1"/>
  <c r="D200" i="1"/>
  <c r="G199" i="1"/>
  <c r="F199" i="1"/>
  <c r="H199" i="1" s="1"/>
  <c r="D199" i="1"/>
  <c r="G198" i="1"/>
  <c r="F198" i="1"/>
  <c r="H198" i="1" s="1"/>
  <c r="D198" i="1"/>
  <c r="G197" i="1"/>
  <c r="F197" i="1"/>
  <c r="H197" i="1" s="1"/>
  <c r="D197" i="1"/>
  <c r="G196" i="1"/>
  <c r="F196" i="1"/>
  <c r="H196" i="1" s="1"/>
  <c r="D196" i="1"/>
  <c r="G195" i="1"/>
  <c r="F195" i="1"/>
  <c r="H195" i="1" s="1"/>
  <c r="D195" i="1"/>
  <c r="H194" i="1"/>
  <c r="H193" i="1"/>
  <c r="G193" i="1"/>
  <c r="F193" i="1"/>
  <c r="D193" i="1"/>
  <c r="G192" i="1"/>
  <c r="F192" i="1"/>
  <c r="D192" i="1"/>
  <c r="H192" i="1" s="1"/>
  <c r="H191" i="1"/>
  <c r="G191" i="1"/>
  <c r="F191" i="1"/>
  <c r="D191" i="1"/>
  <c r="G190" i="1"/>
  <c r="F190" i="1"/>
  <c r="D190" i="1"/>
  <c r="H190" i="1" s="1"/>
  <c r="H189" i="1"/>
  <c r="H188" i="1"/>
  <c r="G188" i="1"/>
  <c r="F188" i="1"/>
  <c r="D188" i="1"/>
  <c r="G187" i="1"/>
  <c r="F187" i="1"/>
  <c r="D187" i="1"/>
  <c r="H187" i="1" s="1"/>
  <c r="H186" i="1"/>
  <c r="G186" i="1"/>
  <c r="F186" i="1"/>
  <c r="D186" i="1"/>
  <c r="G185" i="1"/>
  <c r="F185" i="1"/>
  <c r="D185" i="1"/>
  <c r="H185" i="1" s="1"/>
  <c r="H184" i="1"/>
  <c r="G183" i="1"/>
  <c r="F183" i="1"/>
  <c r="D183" i="1"/>
  <c r="H183" i="1" s="1"/>
  <c r="G182" i="1"/>
  <c r="F182" i="1"/>
  <c r="D182" i="1"/>
  <c r="H182" i="1" s="1"/>
  <c r="G181" i="1"/>
  <c r="F181" i="1"/>
  <c r="D181" i="1"/>
  <c r="H181" i="1" s="1"/>
  <c r="G180" i="1"/>
  <c r="F180" i="1"/>
  <c r="D180" i="1"/>
  <c r="H180" i="1" s="1"/>
  <c r="H179" i="1"/>
  <c r="G178" i="1"/>
  <c r="F178" i="1"/>
  <c r="H178" i="1" s="1"/>
  <c r="D178" i="1"/>
  <c r="G177" i="1"/>
  <c r="F177" i="1"/>
  <c r="H177" i="1" s="1"/>
  <c r="D177" i="1"/>
  <c r="G176" i="1"/>
  <c r="F176" i="1"/>
  <c r="H176" i="1" s="1"/>
  <c r="D176" i="1"/>
  <c r="G175" i="1"/>
  <c r="F175" i="1"/>
  <c r="H175" i="1" s="1"/>
  <c r="D175" i="1"/>
  <c r="H174" i="1"/>
  <c r="G173" i="1"/>
  <c r="F173" i="1"/>
  <c r="D173" i="1"/>
  <c r="H173" i="1" s="1"/>
  <c r="H172" i="1"/>
  <c r="G172" i="1"/>
  <c r="F172" i="1"/>
  <c r="D172" i="1"/>
  <c r="G171" i="1"/>
  <c r="F171" i="1"/>
  <c r="D171" i="1"/>
  <c r="H171" i="1" s="1"/>
  <c r="H170" i="1"/>
  <c r="G170" i="1"/>
  <c r="F170" i="1"/>
  <c r="D170" i="1"/>
  <c r="G169" i="1"/>
  <c r="F169" i="1"/>
  <c r="D169" i="1"/>
  <c r="H169" i="1" s="1"/>
  <c r="H168" i="1"/>
  <c r="G168" i="1"/>
  <c r="F168" i="1"/>
  <c r="D168" i="1"/>
  <c r="G167" i="1"/>
  <c r="F167" i="1"/>
  <c r="D167" i="1"/>
  <c r="H167" i="1" s="1"/>
  <c r="H166" i="1"/>
  <c r="G166" i="1"/>
  <c r="F166" i="1"/>
  <c r="D166" i="1"/>
  <c r="G165" i="1"/>
  <c r="F165" i="1"/>
  <c r="D165" i="1"/>
  <c r="H165" i="1" s="1"/>
  <c r="H164" i="1"/>
  <c r="G164" i="1"/>
  <c r="F164" i="1"/>
  <c r="D164" i="1"/>
  <c r="G163" i="1"/>
  <c r="F163" i="1"/>
  <c r="D163" i="1"/>
  <c r="H163" i="1" s="1"/>
  <c r="H162" i="1"/>
  <c r="H161" i="1"/>
  <c r="G161" i="1"/>
  <c r="F161" i="1"/>
  <c r="D161" i="1"/>
  <c r="G160" i="1"/>
  <c r="F160" i="1"/>
  <c r="D160" i="1"/>
  <c r="H160" i="1" s="1"/>
  <c r="H159" i="1"/>
  <c r="H158" i="1"/>
  <c r="H157" i="1"/>
  <c r="G156" i="1"/>
  <c r="F156" i="1"/>
  <c r="D156" i="1"/>
  <c r="H156" i="1" s="1"/>
  <c r="H155" i="1"/>
  <c r="H154" i="1"/>
  <c r="H153" i="1"/>
  <c r="H152" i="1"/>
  <c r="H151" i="1"/>
  <c r="H150" i="1"/>
  <c r="H149" i="1"/>
  <c r="H148" i="1"/>
  <c r="H147" i="1"/>
  <c r="H146" i="1"/>
  <c r="G146" i="1"/>
  <c r="F146" i="1"/>
  <c r="D146" i="1"/>
  <c r="G145" i="1"/>
  <c r="F145" i="1"/>
  <c r="D145" i="1"/>
  <c r="H145" i="1" s="1"/>
  <c r="G144" i="1"/>
  <c r="F144" i="1"/>
  <c r="H144" i="1" s="1"/>
  <c r="D144" i="1"/>
  <c r="G143" i="1"/>
  <c r="F143" i="1"/>
  <c r="D143" i="1"/>
  <c r="H143" i="1" s="1"/>
  <c r="H142" i="1"/>
  <c r="G142" i="1"/>
  <c r="F142" i="1"/>
  <c r="D142" i="1"/>
  <c r="G141" i="1"/>
  <c r="F141" i="1"/>
  <c r="D141" i="1"/>
  <c r="H141" i="1" s="1"/>
  <c r="G140" i="1"/>
  <c r="F140" i="1"/>
  <c r="H140" i="1" s="1"/>
  <c r="D140" i="1"/>
  <c r="G139" i="1"/>
  <c r="F139" i="1"/>
  <c r="D139" i="1"/>
  <c r="H139" i="1" s="1"/>
  <c r="G138" i="1"/>
  <c r="F138" i="1"/>
  <c r="H138" i="1" s="1"/>
  <c r="D138" i="1"/>
  <c r="G137" i="1"/>
  <c r="F137" i="1"/>
  <c r="D137" i="1"/>
  <c r="H137" i="1" s="1"/>
  <c r="H136" i="1"/>
  <c r="G135" i="1"/>
  <c r="F135" i="1"/>
  <c r="D135" i="1"/>
  <c r="H135" i="1" s="1"/>
  <c r="G134" i="1"/>
  <c r="F134" i="1"/>
  <c r="D134" i="1"/>
  <c r="H134" i="1" s="1"/>
  <c r="G133" i="1"/>
  <c r="F133" i="1"/>
  <c r="D133" i="1"/>
  <c r="H133" i="1" s="1"/>
  <c r="G132" i="1"/>
  <c r="F132" i="1"/>
  <c r="D132" i="1"/>
  <c r="H132" i="1" s="1"/>
  <c r="G131" i="1"/>
  <c r="F131" i="1"/>
  <c r="D131" i="1"/>
  <c r="H131" i="1" s="1"/>
  <c r="G130" i="1"/>
  <c r="F130" i="1"/>
  <c r="D130" i="1"/>
  <c r="H130" i="1" s="1"/>
  <c r="G129" i="1"/>
  <c r="F129" i="1"/>
  <c r="D129" i="1"/>
  <c r="H129" i="1" s="1"/>
  <c r="G128" i="1"/>
  <c r="F128" i="1"/>
  <c r="D128" i="1"/>
  <c r="H128" i="1" s="1"/>
  <c r="G127" i="1"/>
  <c r="F127" i="1"/>
  <c r="D127" i="1"/>
  <c r="H127" i="1" s="1"/>
  <c r="H126" i="1"/>
  <c r="G125" i="1"/>
  <c r="F125" i="1"/>
  <c r="H125" i="1" s="1"/>
  <c r="D125" i="1"/>
  <c r="G124" i="1"/>
  <c r="F124" i="1"/>
  <c r="H124" i="1" s="1"/>
  <c r="D124" i="1"/>
  <c r="G123" i="1"/>
  <c r="H123" i="1" s="1"/>
  <c r="F123" i="1"/>
  <c r="D123" i="1"/>
  <c r="G122" i="1"/>
  <c r="F122" i="1"/>
  <c r="H122" i="1" s="1"/>
  <c r="D122" i="1"/>
  <c r="H121" i="1"/>
  <c r="H120" i="1"/>
  <c r="G120" i="1"/>
  <c r="F120" i="1"/>
  <c r="D120" i="1"/>
  <c r="G119" i="1"/>
  <c r="F119" i="1"/>
  <c r="D119" i="1"/>
  <c r="H119" i="1" s="1"/>
  <c r="H118" i="1"/>
  <c r="G118" i="1"/>
  <c r="F118" i="1"/>
  <c r="D118" i="1"/>
  <c r="G117" i="1"/>
  <c r="F117" i="1"/>
  <c r="D117" i="1"/>
  <c r="H117" i="1" s="1"/>
  <c r="H116" i="1"/>
  <c r="G116" i="1"/>
  <c r="F116" i="1"/>
  <c r="D116" i="1"/>
  <c r="G115" i="1"/>
  <c r="F115" i="1"/>
  <c r="D115" i="1"/>
  <c r="H115" i="1" s="1"/>
  <c r="H114" i="1"/>
  <c r="G114" i="1"/>
  <c r="F114" i="1"/>
  <c r="D114" i="1"/>
  <c r="G113" i="1"/>
  <c r="F113" i="1"/>
  <c r="D113" i="1"/>
  <c r="H113" i="1" s="1"/>
  <c r="H112" i="1"/>
  <c r="G112" i="1"/>
  <c r="F112" i="1"/>
  <c r="D112" i="1"/>
  <c r="G111" i="1"/>
  <c r="F111" i="1"/>
  <c r="D111" i="1"/>
  <c r="H111" i="1" s="1"/>
  <c r="H110" i="1"/>
  <c r="G110" i="1"/>
  <c r="F110" i="1"/>
  <c r="D110" i="1"/>
  <c r="H109" i="1"/>
  <c r="H108" i="1"/>
  <c r="H107" i="1"/>
  <c r="H106" i="1"/>
  <c r="H105" i="1"/>
  <c r="H104" i="1"/>
  <c r="H103" i="1"/>
  <c r="G102" i="1"/>
  <c r="F102" i="1"/>
  <c r="H102" i="1" s="1"/>
  <c r="D102" i="1"/>
  <c r="G101" i="1"/>
  <c r="H101" i="1" s="1"/>
  <c r="F101" i="1"/>
  <c r="D101" i="1"/>
  <c r="G100" i="1"/>
  <c r="F100" i="1"/>
  <c r="H100" i="1" s="1"/>
  <c r="D100" i="1"/>
  <c r="G99" i="1"/>
  <c r="F99" i="1"/>
  <c r="H99" i="1" s="1"/>
  <c r="D99" i="1"/>
  <c r="G98" i="1"/>
  <c r="F98" i="1"/>
  <c r="H98" i="1" s="1"/>
  <c r="D98" i="1"/>
  <c r="G97" i="1"/>
  <c r="H97" i="1" s="1"/>
  <c r="F97" i="1"/>
  <c r="D97" i="1"/>
  <c r="G96" i="1"/>
  <c r="F96" i="1"/>
  <c r="H96" i="1" s="1"/>
  <c r="D96" i="1"/>
  <c r="G95" i="1"/>
  <c r="F95" i="1"/>
  <c r="H95" i="1" s="1"/>
  <c r="D95" i="1"/>
  <c r="G94" i="1"/>
  <c r="F94" i="1"/>
  <c r="H94" i="1" s="1"/>
  <c r="D94" i="1"/>
  <c r="H93" i="1"/>
  <c r="H92" i="1"/>
  <c r="H91" i="1"/>
  <c r="G91" i="1"/>
  <c r="F91" i="1"/>
  <c r="D91" i="1"/>
  <c r="G90" i="1"/>
  <c r="F90" i="1"/>
  <c r="D90" i="1"/>
  <c r="H90" i="1" s="1"/>
  <c r="H89" i="1"/>
  <c r="G89" i="1"/>
  <c r="F89" i="1"/>
  <c r="D89" i="1"/>
  <c r="G88" i="1"/>
  <c r="F88" i="1"/>
  <c r="D88" i="1"/>
  <c r="H88" i="1" s="1"/>
  <c r="G87" i="1"/>
  <c r="F87" i="1"/>
  <c r="H87" i="1" s="1"/>
  <c r="D87" i="1"/>
  <c r="G86" i="1"/>
  <c r="F86" i="1"/>
  <c r="D86" i="1"/>
  <c r="H86" i="1" s="1"/>
  <c r="G85" i="1"/>
  <c r="F85" i="1"/>
  <c r="H85" i="1" s="1"/>
  <c r="D85" i="1"/>
  <c r="G84" i="1"/>
  <c r="F84" i="1"/>
  <c r="D84" i="1"/>
  <c r="H84" i="1" s="1"/>
  <c r="G83" i="1"/>
  <c r="F83" i="1"/>
  <c r="H83" i="1" s="1"/>
  <c r="D83" i="1"/>
  <c r="G82" i="1"/>
  <c r="F82" i="1"/>
  <c r="D82" i="1"/>
  <c r="H82" i="1" s="1"/>
  <c r="G81" i="1"/>
  <c r="F81" i="1"/>
  <c r="H81" i="1" s="1"/>
  <c r="D81" i="1"/>
  <c r="G80" i="1"/>
  <c r="F80" i="1"/>
  <c r="D80" i="1"/>
  <c r="H80" i="1" s="1"/>
  <c r="G79" i="1"/>
  <c r="F79" i="1"/>
  <c r="H79" i="1" s="1"/>
  <c r="D79" i="1"/>
  <c r="G78" i="1"/>
  <c r="F78" i="1"/>
  <c r="D78" i="1"/>
  <c r="H78" i="1" s="1"/>
  <c r="G77" i="1"/>
  <c r="F77" i="1"/>
  <c r="H77" i="1" s="1"/>
  <c r="D77" i="1"/>
  <c r="G76" i="1"/>
  <c r="F76" i="1"/>
  <c r="D76" i="1"/>
  <c r="H76" i="1" s="1"/>
  <c r="G75" i="1"/>
  <c r="F75" i="1"/>
  <c r="H75" i="1" s="1"/>
  <c r="D75" i="1"/>
  <c r="G74" i="1"/>
  <c r="F74" i="1"/>
  <c r="D74" i="1"/>
  <c r="H74" i="1" s="1"/>
  <c r="G73" i="1"/>
  <c r="F73" i="1"/>
  <c r="H73" i="1" s="1"/>
  <c r="D73" i="1"/>
  <c r="H72" i="1"/>
  <c r="G71" i="1"/>
  <c r="F71" i="1"/>
  <c r="D71" i="1"/>
  <c r="H71" i="1" s="1"/>
  <c r="G70" i="1"/>
  <c r="F70" i="1"/>
  <c r="D70" i="1"/>
  <c r="H70" i="1" s="1"/>
  <c r="G69" i="1"/>
  <c r="F69" i="1"/>
  <c r="D69" i="1"/>
  <c r="H69" i="1" s="1"/>
  <c r="G68" i="1"/>
  <c r="F68" i="1"/>
  <c r="D68" i="1"/>
  <c r="H68" i="1" s="1"/>
  <c r="G67" i="1"/>
  <c r="F67" i="1"/>
  <c r="D67" i="1"/>
  <c r="H67" i="1" s="1"/>
  <c r="G66" i="1"/>
  <c r="F66" i="1"/>
  <c r="D66" i="1"/>
  <c r="H66" i="1" s="1"/>
  <c r="G65" i="1"/>
  <c r="F65" i="1"/>
  <c r="D65" i="1"/>
  <c r="H65" i="1" s="1"/>
  <c r="G64" i="1"/>
  <c r="F64" i="1"/>
  <c r="D64" i="1"/>
  <c r="H64" i="1" s="1"/>
  <c r="G63" i="1"/>
  <c r="F63" i="1"/>
  <c r="D63" i="1"/>
  <c r="H63" i="1" s="1"/>
  <c r="H62" i="1"/>
  <c r="G61" i="1"/>
  <c r="F61" i="1"/>
  <c r="H61" i="1" s="1"/>
  <c r="D61" i="1"/>
  <c r="G60" i="1"/>
  <c r="F60" i="1"/>
  <c r="H60" i="1" s="1"/>
  <c r="D60" i="1"/>
  <c r="G59" i="1"/>
  <c r="F59" i="1"/>
  <c r="H59" i="1" s="1"/>
  <c r="D59" i="1"/>
  <c r="G58" i="1"/>
  <c r="H58" i="1" s="1"/>
  <c r="F58" i="1"/>
  <c r="D58" i="1"/>
  <c r="G57" i="1"/>
  <c r="F57" i="1"/>
  <c r="H57" i="1" s="1"/>
  <c r="D57" i="1"/>
  <c r="G56" i="1"/>
  <c r="F56" i="1"/>
  <c r="H56" i="1" s="1"/>
  <c r="D56" i="1"/>
  <c r="G55" i="1"/>
  <c r="F55" i="1"/>
  <c r="H55" i="1" s="1"/>
  <c r="D55" i="1"/>
  <c r="G54" i="1"/>
  <c r="H54" i="1" s="1"/>
  <c r="F54" i="1"/>
  <c r="D54" i="1"/>
  <c r="H53" i="1"/>
  <c r="H52" i="1"/>
  <c r="H51" i="1"/>
  <c r="H50" i="1"/>
  <c r="H49" i="1"/>
  <c r="H48" i="1"/>
  <c r="G48" i="1"/>
  <c r="F48" i="1"/>
  <c r="D48" i="1"/>
  <c r="G47" i="1"/>
  <c r="F47" i="1"/>
  <c r="D47" i="1"/>
  <c r="H47" i="1" s="1"/>
  <c r="H46" i="1"/>
  <c r="G46" i="1"/>
  <c r="F46" i="1"/>
  <c r="D46" i="1"/>
  <c r="G45" i="1"/>
  <c r="H45" i="1" s="1"/>
  <c r="F45" i="1"/>
  <c r="D45" i="1"/>
  <c r="H44" i="1"/>
  <c r="G44" i="1"/>
  <c r="F44" i="1"/>
  <c r="D44" i="1"/>
  <c r="G43" i="1"/>
  <c r="F43" i="1"/>
  <c r="D43" i="1"/>
  <c r="H43" i="1" s="1"/>
  <c r="H42" i="1"/>
  <c r="G42" i="1"/>
  <c r="F42" i="1"/>
  <c r="D42" i="1"/>
  <c r="G41" i="1"/>
  <c r="H41" i="1" s="1"/>
  <c r="F41" i="1"/>
  <c r="D41" i="1"/>
  <c r="H40" i="1"/>
  <c r="H39" i="1"/>
  <c r="H38" i="1"/>
  <c r="H37" i="1"/>
  <c r="G36" i="1"/>
  <c r="F36" i="1"/>
  <c r="D36" i="1"/>
  <c r="H36" i="1" s="1"/>
  <c r="H35" i="1"/>
  <c r="G35" i="1"/>
  <c r="F35" i="1"/>
  <c r="D35" i="1"/>
  <c r="G34" i="1"/>
  <c r="F34" i="1"/>
  <c r="D34" i="1"/>
  <c r="H34" i="1" s="1"/>
  <c r="H33" i="1"/>
  <c r="G33" i="1"/>
  <c r="F33" i="1"/>
  <c r="D33" i="1"/>
  <c r="G32" i="1"/>
  <c r="F32" i="1"/>
  <c r="D32" i="1"/>
  <c r="H32" i="1" s="1"/>
  <c r="H31" i="1"/>
  <c r="G31" i="1"/>
  <c r="F31" i="1"/>
  <c r="D31" i="1"/>
  <c r="G30" i="1"/>
  <c r="F30" i="1"/>
  <c r="D30" i="1"/>
  <c r="H30" i="1" s="1"/>
  <c r="G29" i="1"/>
  <c r="H29" i="1" s="1"/>
  <c r="F29" i="1"/>
  <c r="D29" i="1"/>
  <c r="G28" i="1"/>
  <c r="F28" i="1"/>
  <c r="D28" i="1"/>
  <c r="H28" i="1" s="1"/>
  <c r="H27" i="1"/>
  <c r="H26" i="1"/>
  <c r="H25" i="1"/>
  <c r="H24" i="1"/>
  <c r="H23" i="1"/>
  <c r="H1059" i="1" s="1"/>
  <c r="G22" i="1"/>
  <c r="F22" i="1"/>
  <c r="D22" i="1"/>
  <c r="H22" i="1" s="1"/>
  <c r="H21" i="1"/>
  <c r="G21" i="1"/>
  <c r="F21" i="1"/>
  <c r="D21" i="1"/>
  <c r="G20" i="1"/>
  <c r="F20" i="1"/>
  <c r="D20" i="1"/>
  <c r="H20" i="1" s="1"/>
  <c r="H19" i="1"/>
  <c r="G19" i="1"/>
  <c r="F19" i="1"/>
  <c r="D19" i="1"/>
  <c r="G18" i="1"/>
  <c r="F18" i="1"/>
  <c r="D18" i="1"/>
  <c r="H18" i="1" s="1"/>
  <c r="H17" i="1"/>
  <c r="G17" i="1"/>
  <c r="F17" i="1"/>
  <c r="D17" i="1"/>
  <c r="G16" i="1"/>
  <c r="F16" i="1"/>
  <c r="D16" i="1"/>
  <c r="H16" i="1" s="1"/>
  <c r="H15" i="1"/>
  <c r="G15" i="1"/>
  <c r="F15" i="1"/>
  <c r="D15" i="1"/>
  <c r="G14" i="1"/>
  <c r="F14" i="1"/>
  <c r="D14" i="1"/>
  <c r="H14" i="1" s="1"/>
  <c r="H13" i="1"/>
  <c r="G13" i="1"/>
  <c r="F13" i="1"/>
  <c r="D13" i="1"/>
  <c r="G12" i="1"/>
  <c r="F12" i="1"/>
  <c r="D12" i="1"/>
  <c r="H12" i="1" s="1"/>
  <c r="B1063" i="1" l="1"/>
</calcChain>
</file>

<file path=xl/sharedStrings.xml><?xml version="1.0" encoding="utf-8"?>
<sst xmlns="http://schemas.openxmlformats.org/spreadsheetml/2006/main" count="3157" uniqueCount="1473">
  <si>
    <t>DEBE</t>
  </si>
  <si>
    <t>HABER</t>
  </si>
  <si>
    <t>C U E N T A</t>
  </si>
  <si>
    <t>C O N C E P T O</t>
  </si>
  <si>
    <t>SALDOS ACUMULADOS</t>
  </si>
  <si>
    <t>M O V I M I E N T O S</t>
  </si>
  <si>
    <t>SALDOS INICIALES</t>
  </si>
  <si>
    <t>H. AYUNTAMIENTO MUNICIPAL DE JOSE JOAQUIN DE HERRERA, GRO.</t>
  </si>
  <si>
    <t>TESORERIA MUNICIPAL</t>
  </si>
  <si>
    <t>SEGURIDAD PUBLICA</t>
  </si>
  <si>
    <t/>
  </si>
  <si>
    <t>AL 1 DE ENERO DE 2024</t>
  </si>
  <si>
    <t>ENERO - SEPTIEMBRE 2024</t>
  </si>
  <si>
    <t>AL 30 DE SEPTIEMBRE DE 2024</t>
  </si>
  <si>
    <t>1</t>
  </si>
  <si>
    <t>ACTIVO</t>
  </si>
  <si>
    <t>1 1</t>
  </si>
  <si>
    <t>ACTIVO CIRCULANTE</t>
  </si>
  <si>
    <t>1 1 1</t>
  </si>
  <si>
    <t>EFECTIVO Y EQUIVALENTES</t>
  </si>
  <si>
    <t>1 1 1 2</t>
  </si>
  <si>
    <t>BANCOS/TESORERÍA</t>
  </si>
  <si>
    <t>1 1 1 2 1</t>
  </si>
  <si>
    <t>BANCOS MONEDA NACIONAL</t>
  </si>
  <si>
    <t>1 1 1 2 1 12</t>
  </si>
  <si>
    <t>GUERRERO</t>
  </si>
  <si>
    <t>1 1 1 2 1 12 31111</t>
  </si>
  <si>
    <t>ORGANO EJECUTIVO MUNICIPAL (AYUNTAMIENTO)</t>
  </si>
  <si>
    <t>1 1 1 2 1 12 31111 6</t>
  </si>
  <si>
    <t>SECTOR PÚBLICO MUNICIPAL</t>
  </si>
  <si>
    <t>1 1 1 2 1 12 31111 6 M78</t>
  </si>
  <si>
    <t>JOSÉ JOAQUÍN DE HERRERA</t>
  </si>
  <si>
    <t>1 1 1 2 1 12 31111 6 M78 00003</t>
  </si>
  <si>
    <t>FONDO DE APORTACIONES P/EL FORTALECIMENTO DE LOS MUNICIPIOS</t>
  </si>
  <si>
    <t>1 1 1 2 1 12 31111 6 M78 00003 002</t>
  </si>
  <si>
    <t>ADMINISTRACION 2018-2021</t>
  </si>
  <si>
    <t>1 1 1 2 1 12 31111 6 M78 00003 002 005</t>
  </si>
  <si>
    <t>BANAMEX 7011 3762010 FORTAMUN 2021</t>
  </si>
  <si>
    <t>0</t>
  </si>
  <si>
    <t>1 1 1 2 1 12 31111 6 M78 00003 002 006</t>
  </si>
  <si>
    <t>BANAMEX 7012-5209244-3  FORTAMUN 2022</t>
  </si>
  <si>
    <t>1 1 1 2 1 12 31111 6 M78 00003 002 007</t>
  </si>
  <si>
    <t>BANAMEX 9940185972  INVERSIONES FORTAMUN 2022</t>
  </si>
  <si>
    <t>1 1 1 2 1 12 31111 6 M78 00003 002 008</t>
  </si>
  <si>
    <t>BANAMEX 7014 4640061 8 FORTAMUN 2023</t>
  </si>
  <si>
    <t>1 1 1 2 1 12 31111 6 M78 00003 002 009</t>
  </si>
  <si>
    <t>BANAMEX 7014 4640118 3 FORTAMUN 2024</t>
  </si>
  <si>
    <t>1 1 2</t>
  </si>
  <si>
    <t>DERECHOS A RECIBIR EFECTIVO O EQUIVALENTES</t>
  </si>
  <si>
    <t>1 1 2 2</t>
  </si>
  <si>
    <t>CUENTAS POR COBRAR A CORTO PLAZO</t>
  </si>
  <si>
    <t>1 1 2 2 5</t>
  </si>
  <si>
    <t>CUENTAS POR COBRAR A LA FEDERACIÓN</t>
  </si>
  <si>
    <t>1 1 2 2 5 12</t>
  </si>
  <si>
    <t>1 1 2 2 5 12 31111</t>
  </si>
  <si>
    <t>1 1 2 2 5 12 31111 6</t>
  </si>
  <si>
    <t>1 1 2 2 5 12 31111 6 M78</t>
  </si>
  <si>
    <t>1 1 2 2 5 12 31111 6 M78 00003</t>
  </si>
  <si>
    <t>1 1 2 2 5 12 31111 6 M78 00003 002</t>
  </si>
  <si>
    <t>1 1 2 2 5 12 31111 6 M78 00003 002 001</t>
  </si>
  <si>
    <t>1 1 2 2 5 12 31111 6 M78 00003 002 003</t>
  </si>
  <si>
    <t>SUBSIDIO PARA EL EMPLEO</t>
  </si>
  <si>
    <t>1 1 2 2 5 12 31111 6 M78 00003 002 004</t>
  </si>
  <si>
    <t>SUBSIDIO PARA EL EMPLEO 2023</t>
  </si>
  <si>
    <t>1 1 2 2 5 12 31111 6 M78 00003 002 005</t>
  </si>
  <si>
    <t>SUBSIDIO PARA EL EMPLEO 2024</t>
  </si>
  <si>
    <t>1 1 2 3</t>
  </si>
  <si>
    <t>DEUDORES DIVERSOS POR COBRAR A CORTO PLAZO</t>
  </si>
  <si>
    <t>1 1 2 3 1</t>
  </si>
  <si>
    <t>DEUDORES DIVERSOS POR COBRAR A CP</t>
  </si>
  <si>
    <t>1 1 2 3 1 12</t>
  </si>
  <si>
    <t>1 1 2 3 1 12 31111</t>
  </si>
  <si>
    <t>1 1 2 3 1 12 31111 6</t>
  </si>
  <si>
    <t>1 1 2 3 1 12 31111 6 M78</t>
  </si>
  <si>
    <t>1 1 2 3 1 12 31111 6 M78 00003</t>
  </si>
  <si>
    <t>1 1 2 3 1 12 31111 6 M78 00003 002</t>
  </si>
  <si>
    <t>ADMINISTRACION  2018-2021</t>
  </si>
  <si>
    <t>1 1 2 3 1 12 31111 6 M78 00003 002 001</t>
  </si>
  <si>
    <t>ALBERTO CASTRO FLORES</t>
  </si>
  <si>
    <t>1 1 2 3 1 12 31111 6 M78 00003 002 011</t>
  </si>
  <si>
    <t>COMISION FEDERAL DE ELECTRICIDAD</t>
  </si>
  <si>
    <t>1 1 2 3 1 12 31111 6 M78 00003 002 012</t>
  </si>
  <si>
    <t>GASTO CORRIENTE 2023</t>
  </si>
  <si>
    <t>1 1 2 3 1 12 31111 6 M78 00003 002 013</t>
  </si>
  <si>
    <t>INGRESOS FISCALES 2023</t>
  </si>
  <si>
    <t>1 1 2 3 1 12 31111 6 M78 00003 002 014</t>
  </si>
  <si>
    <t>GASTO CORRIENTE 2024</t>
  </si>
  <si>
    <t>1 1 2 4</t>
  </si>
  <si>
    <t>INGRESOS POR RECUPERAR A CORTO PLAZO</t>
  </si>
  <si>
    <t>1 1 2 4 4</t>
  </si>
  <si>
    <t>PRODUCTOS POR COBRAR</t>
  </si>
  <si>
    <t>1 1 2 4 4 12</t>
  </si>
  <si>
    <t>1 1 2 4 4 12 31111</t>
  </si>
  <si>
    <t>1 1 2 4 4 12 31111 6</t>
  </si>
  <si>
    <t>1 1 2 4 4 12 31111 6 M78</t>
  </si>
  <si>
    <t>1 1 2 4 4 12 31111 6 M78 00003</t>
  </si>
  <si>
    <t>1 1 2 4 4 12 31111 6 M78 00003 002</t>
  </si>
  <si>
    <t>1 1 2 4 4 12 31111 6 M78 00003 002 001</t>
  </si>
  <si>
    <t>PRODUCTOS</t>
  </si>
  <si>
    <t>1 1 3</t>
  </si>
  <si>
    <t>DERECHOS A RECIBIR BIENES O SERVICIOS</t>
  </si>
  <si>
    <t>1 1 3 1</t>
  </si>
  <si>
    <t>ANTICIPO A PROVEEDORES POR ADQUISICIÓN DE BIENES Y PRESTACIÓN DE SERVICIOS A CORTO PLAZO</t>
  </si>
  <si>
    <t>1 1 3 1 1</t>
  </si>
  <si>
    <t>1 1 3 1 1 12</t>
  </si>
  <si>
    <t>1 1 3 1 1 12 31111</t>
  </si>
  <si>
    <t>1 1 3 1 1 12 31111 6</t>
  </si>
  <si>
    <t>1 1 3 1 1 12 31111 6 M78</t>
  </si>
  <si>
    <t>JOSE JOAQUIN DE HERRERA</t>
  </si>
  <si>
    <t>1 1 3 1 1 12 31111 6 M78 00003</t>
  </si>
  <si>
    <t>FONDO DE APORTACIONES PARA EL FORTALECIMIENTO DE LOS MUNICIPIOS</t>
  </si>
  <si>
    <t>1 1 3 1 1 12 31111 6 M78 00003 002</t>
  </si>
  <si>
    <t>ADMINISTRACIÓN 2018-2021</t>
  </si>
  <si>
    <t>1 1 3 1 1 12 31111 6 M78 00003 002 005</t>
  </si>
  <si>
    <t>SECRETARÍA DE SEGURIDAD PÚBLICA DEL ESTADO DE GUERRERO</t>
  </si>
  <si>
    <t>1 1 4</t>
  </si>
  <si>
    <t>INVENTARIOS</t>
  </si>
  <si>
    <t>1 1 5</t>
  </si>
  <si>
    <t>ALMACENES</t>
  </si>
  <si>
    <t>1 1 6</t>
  </si>
  <si>
    <t>ESTIMACIÓN POR PÉRDIDA O DETERIORO DE ACTIVOS CIRCULANTES</t>
  </si>
  <si>
    <t>1 1 9</t>
  </si>
  <si>
    <t>OTROS ACTIVOS CIRCULANTES</t>
  </si>
  <si>
    <t>1 2</t>
  </si>
  <si>
    <t>ACTIVO NO CIRCULANTE</t>
  </si>
  <si>
    <t>1 2 1</t>
  </si>
  <si>
    <t>INVERSIONES FINANCIERAS A LARGO PLAZO</t>
  </si>
  <si>
    <t>1 2 2</t>
  </si>
  <si>
    <t>DERECHOS A RECIBIR EFECTIVO O EQUIVALENTES A LARGO PLAZO</t>
  </si>
  <si>
    <t>1 2 3</t>
  </si>
  <si>
    <t>BIENES INMUEBLES, INFRAESTRUCTURA Y CONSTRUCCIONES EN PROCESO</t>
  </si>
  <si>
    <t>1 2 4</t>
  </si>
  <si>
    <t>BIENES MUEBLES</t>
  </si>
  <si>
    <t>1 2 4 1</t>
  </si>
  <si>
    <t>MOBILIARIO Y EQUIPO DE ADMINISTRACIÓN</t>
  </si>
  <si>
    <t>1 2 4 1 1</t>
  </si>
  <si>
    <t>MUEBLES DE OFICINA Y ESTANTERÍA</t>
  </si>
  <si>
    <t>1 2 4 1 1 12</t>
  </si>
  <si>
    <t>1 2 4 1 1 12 31111</t>
  </si>
  <si>
    <t>1 2 4 1 1 12 31111 6</t>
  </si>
  <si>
    <t>1 2 4 1 1 12 31111 6 M78</t>
  </si>
  <si>
    <t>1 2 4 1 1 12 31111 6 M78 00000</t>
  </si>
  <si>
    <t>SIN ETIQUETA - 0 - 000</t>
  </si>
  <si>
    <t>1 2 4 1 1 12 31111 6 M78 00000 003</t>
  </si>
  <si>
    <t>1 2 4 1 1 12 31111 6 M78 00000 003 001</t>
  </si>
  <si>
    <t>ADMINISTRACION ANTERIOR</t>
  </si>
  <si>
    <t>1 2 4 1 1 12 31111 6 M78 00000 003 001 001</t>
  </si>
  <si>
    <t>1 2 4 1 1 12 31111 6 M78 00000 003 001 001 00001</t>
  </si>
  <si>
    <t>ESCRITORIO METALICO DE 2 CAJONES CON CERRADURAS</t>
  </si>
  <si>
    <t>1 2 4 1 1 12 31111 6 M78 00000 003 001 001 00002</t>
  </si>
  <si>
    <t>EQUIPO DE ESCRITORIO ENSAMBLADO</t>
  </si>
  <si>
    <t>1 2 4 1 3</t>
  </si>
  <si>
    <t>EQUIPO DE CÓMPUTO Y DE TECNOLOGÍAS DE LA INFORMACIÓN</t>
  </si>
  <si>
    <t>1 2 4 1 3 12</t>
  </si>
  <si>
    <t>1 2 4 1 3 12 31111</t>
  </si>
  <si>
    <t>1 2 4 1 3 12 31111 6</t>
  </si>
  <si>
    <t>1 2 4 1 3 12 31111 6 M78</t>
  </si>
  <si>
    <t>1 2 4 1 3 12 31111 6 M78 00000</t>
  </si>
  <si>
    <t>1 2 4 1 3 12 31111 6 M78 00000 003</t>
  </si>
  <si>
    <t>1 2 4 1 3 12 31111 6 M78 00000 003 001</t>
  </si>
  <si>
    <t>ADMON. ANTERIOR</t>
  </si>
  <si>
    <t>1 2 4 1 3 12 31111 6 M78 00000 003 001 001</t>
  </si>
  <si>
    <t>1 2 4 1 3 12 31111 6 M78 00000 003 001 001 00001</t>
  </si>
  <si>
    <t>IMPRESORA ZEBRA</t>
  </si>
  <si>
    <t>1 2 4 1 3 12 31111 6 M78 00000 003 001 001 00002</t>
  </si>
  <si>
    <t>LAPTOP MODELO 245</t>
  </si>
  <si>
    <t>1 2 4 1 3 12 31111 6 M78 00000 003 001 001 00003</t>
  </si>
  <si>
    <t>1 2 4 1 3 12 31111 6 M78 00000 003 001 001 00004</t>
  </si>
  <si>
    <t>LAPTOP MP PAWNON</t>
  </si>
  <si>
    <t>1 2 4 1 3 12 31111 6 M78 00000 003 001 001 00005</t>
  </si>
  <si>
    <t>PROYECTOR PANASONIC</t>
  </si>
  <si>
    <t>1 2 4 1 3 12 31111 6 M78 00000 003 001 001 00006</t>
  </si>
  <si>
    <t>FUENTE DE PODER REGULADOR ASTRO</t>
  </si>
  <si>
    <t>1 2 4 1 3 12 31111 6 M78 00000 003 001 001 00007</t>
  </si>
  <si>
    <t>IMPRESORA EPSON L310</t>
  </si>
  <si>
    <t>1 2 4 1 3 12 31111 6 M78 15000</t>
  </si>
  <si>
    <t>DIRECCION DE SEGURIDAD PUBLICA</t>
  </si>
  <si>
    <t>1 2 4 1 3 12 31111 6 M78 15000 171</t>
  </si>
  <si>
    <t>POLICÍA</t>
  </si>
  <si>
    <t>1 2 4 1 3 12 31111 6 M78 15000 171 00I</t>
  </si>
  <si>
    <t>GASTO FEDERALIZADO</t>
  </si>
  <si>
    <t>1 2 4 1 3 12 31111 6 M78 15000 171 00I 002</t>
  </si>
  <si>
    <t>GASTO DE CAPITAL</t>
  </si>
  <si>
    <t>1 2 4 1 3 12 31111 6 M78 15000 171 00I 002 51501</t>
  </si>
  <si>
    <t>BIENES INFORMATICOS.</t>
  </si>
  <si>
    <t>1 2 4 1 3 12 31111 6 M78 15000 171 00I 002 51501 025</t>
  </si>
  <si>
    <t>25 - RECURSOS FEDERALES</t>
  </si>
  <si>
    <t>1 2 4 1 3 12 31111 6 M78 15000 171 00I 002 51501 025 2112000</t>
  </si>
  <si>
    <t>COMPRA DE BIENES Y SERVICIOS</t>
  </si>
  <si>
    <t>1 2 4 1 3 12 31111 6 M78 15000 171 00I 002 51501 025 2112000 2019</t>
  </si>
  <si>
    <t>EJERCICIO 2019</t>
  </si>
  <si>
    <t>1 2 4 1 3 12 31111 6 M78 15000 171 00I 002 51501 025 2112000 2019 00000000</t>
  </si>
  <si>
    <t>SIN PRIORIDAD</t>
  </si>
  <si>
    <t>1 2 4 1 3 12 31111 6 M78 15000 171 00I 002 51501 025 2112000 2019 00000000 003</t>
  </si>
  <si>
    <t>1 2 4 1 3 12 31111 6 M78 15000 171 00I 002 51501 025 2112000 2019 00000000 003 015</t>
  </si>
  <si>
    <t>1 2 4 1 3 12 31111 6 M78 15000 171 00I 002 51501 025 2112000 2019 00000000 003 015 001</t>
  </si>
  <si>
    <t>IMPRESORA MULTIFUNCIONAL EPSON L575</t>
  </si>
  <si>
    <t>1 2 4 1 3 12 31111 6 M78 15000 171 00I 002 51501 025 2112000 2023</t>
  </si>
  <si>
    <t>EJERCICIO 2023</t>
  </si>
  <si>
    <t>1 2 4 1 3 12 31111 6 M78 15000 171 00I 002 51501 025 2112000 2023 00000000</t>
  </si>
  <si>
    <t>1 2 4 1 3 12 31111 6 M78 15000 171 00I 002 51501 025 2112000 2023 00000000 003</t>
  </si>
  <si>
    <t>1 2 4 1 3 12 31111 6 M78 15000 171 00I 002 51501 025 2112000 2023 00000000 003 015</t>
  </si>
  <si>
    <t>1 2 4 1 3 12 31111 6 M78 15000 171 00I 002 51501 025 2112000 2023 00000000 003 015 002</t>
  </si>
  <si>
    <t>COMPUTDORA DELL INSPIRON 24 ALL IN ONE, MODELO 5410, WHITE PANTALLA DE 23.8" TCOUCH DISPLAY INTEL CORE I5-1235U´PROCESSOR 12 GB DE MEMORIA RAM 256 GB SSD + 1TB HDD, WINDOWS 11 HOME</t>
  </si>
  <si>
    <t>1 2 4 1 9</t>
  </si>
  <si>
    <t>OTROS MOBILIARIOS Y EQUIPOS DE ADMINISTRACIÓN</t>
  </si>
  <si>
    <t>1 2 4 1 9 12</t>
  </si>
  <si>
    <t>1 2 4 1 9 12 31111</t>
  </si>
  <si>
    <t>1 2 4 1 9 12 31111 6</t>
  </si>
  <si>
    <t>1 2 4 1 9 12 31111 6 M78</t>
  </si>
  <si>
    <t>1 2 4 1 9 12 31111 6 M78 00000</t>
  </si>
  <si>
    <t>1 2 4 1 9 12 31111 6 M78 00000 003</t>
  </si>
  <si>
    <t>1 2 4 1 9 12 31111 6 M78 00000 003 001</t>
  </si>
  <si>
    <t>1 2 4 1 9 12 31111 6 M78 00000 003 001 001</t>
  </si>
  <si>
    <t>1 2 4 1 9 12 31111 6 M78 00000 003 001 001 00001</t>
  </si>
  <si>
    <t>ENFRIADOR DE DOS TEMPERATURAS</t>
  </si>
  <si>
    <t>1 2 4 4</t>
  </si>
  <si>
    <t>VEHÍCULOS Y EQUIPO DE TRANSPORTE</t>
  </si>
  <si>
    <t>1 2 4 4 1</t>
  </si>
  <si>
    <t>AUTOMÓVILES Y EQUIPO TERRESTRE</t>
  </si>
  <si>
    <t>1 2 4 4 1 12</t>
  </si>
  <si>
    <t>1 2 4 4 1 12 31111</t>
  </si>
  <si>
    <t>1 2 4 4 1 12 31111 6</t>
  </si>
  <si>
    <t>1 2 4 4 1 12 31111 6 M78</t>
  </si>
  <si>
    <t>1 2 4 4 1 12 31111 6 M78 00000</t>
  </si>
  <si>
    <t>1 2 4 4 1 12 31111 6 M78 00000 003</t>
  </si>
  <si>
    <t>1 2 4 4 1 12 31111 6 M78 00000 003 001</t>
  </si>
  <si>
    <t>1 2 4 4 1 12 31111 6 M78 00000 003 001 001</t>
  </si>
  <si>
    <t>1 2 4 4 1 12 31111 6 M78 00000 003 001 001 00001</t>
  </si>
  <si>
    <t>CAMIONETA F-150XLXA BLANCA 2013</t>
  </si>
  <si>
    <t>1 2 4 4 1 12 31111 6 M78 00000 003 001 001 00002</t>
  </si>
  <si>
    <t>MOTOCICLETA AMARILLA ITALIKA 2014</t>
  </si>
  <si>
    <t>1 2 4 4 1 12 31111 6 M78 00000 003 001 001 00003</t>
  </si>
  <si>
    <t>1 2 4 4 1 12 31111 6 M78 00000 003 001 001 00004</t>
  </si>
  <si>
    <t>CAMIONETA HILUX DC 4X2 TOYOTA GRIS</t>
  </si>
  <si>
    <t>1 2 4 4 1 12 31111 6 M78 00000 003 001 001 00006</t>
  </si>
  <si>
    <t>1 2 4 4 1 12 31111 6 M78 00000 003 001 001 00007</t>
  </si>
  <si>
    <t>MOTOCICLETA AMARILLA/NEGRO ITALIKA 2014</t>
  </si>
  <si>
    <t>1 2 4 4 1 12 31111 6 M78 00000 003 001 001 00008</t>
  </si>
  <si>
    <t>MOTOCICLETA NUEVA SERIE LZSK4FKK0NF051368, CILINDRAJE 250CC, MARCA ITALIKA MODELO DM250, AÑO 2022, COLOR NARANJA-NEGRO, NO. MOTOR  ZS167FMM5N123662</t>
  </si>
  <si>
    <t>1 2 4 4 1 12 31111 6 M78 00000 003 001 001 00009</t>
  </si>
  <si>
    <t>MOTOCICLETA NUEVA SERIE 35CKZAER3P1002870, CILINDRAJE 150CC, MARCA ITALIKA MODELO FT150, AÑO 2023, COLOR GRIS-NEGRO, NO. MOTOR  LC162FMJVQ194108</t>
  </si>
  <si>
    <t>1 2 4 4 1 12 31111 6 M78 00000 003 001 001 00010</t>
  </si>
  <si>
    <t>MOTOCICLETA NUEVA SERIE 35CK2DEU1N1014213, CILINDRAJE 180CC, MARCA ITALIKA MODELO FT180, AÑO 2023, COLOR NEGRO-AZUL, NO. MOTOR  RW162FMK2200015088</t>
  </si>
  <si>
    <t>1 2 4 4 1 12 31111 6 M78 00000 003 001 002</t>
  </si>
  <si>
    <t>PATRULLAS</t>
  </si>
  <si>
    <t>1 2 4 4 1 12 31111 6 M78 00000 003 001 002 00001</t>
  </si>
  <si>
    <t>FORD F-150 XL REG CAB 4X2 3 7L V6 BLANCA 2013</t>
  </si>
  <si>
    <t>1 2 4 4 1 12 31111 6 M78 00000 003 001 002 00002</t>
  </si>
  <si>
    <t>CAMIONETA RAM 1500 DODGE BLANCA 2013</t>
  </si>
  <si>
    <t>1 2 4 4 1 12 31111 6 M78 00000 003 001 002 00003</t>
  </si>
  <si>
    <t>TOYOTA MODELO 2017 HILUX BLANCA</t>
  </si>
  <si>
    <t>1 2 4 4 1 12 31111 6 M78 00000 003 002</t>
  </si>
  <si>
    <t>1 2 4 4 1 12 31111 6 M78 00000 003 002 001</t>
  </si>
  <si>
    <t>PROTECCION CIVIL</t>
  </si>
  <si>
    <t>1 2 4 4 1 12 31111 6 M78 00000 003 002 001 00001</t>
  </si>
  <si>
    <t>AMBULANCIA CHEVROLET BLANCA 2009</t>
  </si>
  <si>
    <t>1 2 4 4 1 12 31111 6 M78 15000</t>
  </si>
  <si>
    <t>1 2 4 4 1 12 31111 6 M78 15000 171</t>
  </si>
  <si>
    <t>1 2 4 4 1 12 31111 6 M78 15000 171 00I</t>
  </si>
  <si>
    <t>1 2 4 4 1 12 31111 6 M78 15000 171 00I 002</t>
  </si>
  <si>
    <t>1 2 4 4 1 12 31111 6 M78 15000 171 00I 002 54105</t>
  </si>
  <si>
    <t>VEHICULOS Y EQUIPO TERRESTRES DESTINADOS A SERVIDORES PUBLICOS.</t>
  </si>
  <si>
    <t>1 2 4 4 1 12 31111 6 M78 15000 171 00I 002 54105 025</t>
  </si>
  <si>
    <t>1 2 4 4 1 12 31111 6 M78 15000 171 00I 002 54105 025 2222100</t>
  </si>
  <si>
    <t>EQUIPO DE TRANSPORTE</t>
  </si>
  <si>
    <t>1 2 4 4 1 12 31111 6 M78 15000 171 00I 002 54105 025 2222100 2020</t>
  </si>
  <si>
    <t>EJERCICIO 2020</t>
  </si>
  <si>
    <t>1 2 4 4 1 12 31111 6 M78 15000 171 00I 002 54105 025 2222100 2020 00000000</t>
  </si>
  <si>
    <t>1 2 4 4 1 12 31111 6 M78 15000 171 00I 002 54105 025 2222100 2020 00000000 003</t>
  </si>
  <si>
    <t>1 2 4 4 1 12 31111 6 M78 15000 171 00I 002 54105 025 2222100 2020 00000000 003 002</t>
  </si>
  <si>
    <t>SINDICATURA</t>
  </si>
  <si>
    <t>1 2 4 4 1 12 31111 6 M78 15000 171 00I 002 54105 025 2222100 2020 00000000 003 002 001</t>
  </si>
  <si>
    <t>VEHICULO NUEVO MARCA TOYOTA MODELO 2020 HILUX DC BASE 4X2. COLOR EXTERIOR PLATA METALICO, TRANSMISION, No. PUERTAS 4 No. MOTOR 2TR-A33543. No. SERIE MR0EX3DD7L0005881.</t>
  </si>
  <si>
    <t>1 2 4 4 1 12 31111 6 M78 15000 171 00I 002 54105 025 2222100 2021</t>
  </si>
  <si>
    <t>EJERCICIO 2021</t>
  </si>
  <si>
    <t>1 2 4 4 1 12 31111 6 M78 15000 171 00I 002 54105 025 2222100 2021 00000000</t>
  </si>
  <si>
    <t>1 2 4 4 1 12 31111 6 M78 15000 171 00I 002 54105 025 2222100 2021 00000000 003</t>
  </si>
  <si>
    <t>1 2 4 4 1 12 31111 6 M78 15000 171 00I 002 54105 025 2222100 2021 00000000 003 002</t>
  </si>
  <si>
    <t>1 2 4 4 1 12 31111 6 M78 15000 171 00I 002 54105 025 2222100 2021 00000000 003 002 001</t>
  </si>
  <si>
    <t>VEHICULO NUEVO MARCA TOYOTA MODELO 2020 HILUX DC BASE 4X2. COLOR EXTERIOR BLANCO, TRANSMISION, No. PUERTAS 4 No. MOTOR 2TR-A733161. No. SERIE MR0EX3DD7L0005884.</t>
  </si>
  <si>
    <t>1 2 4 4 1 12 31111 6 M78 15000 171 00I 002 54105 025 2222100 2022</t>
  </si>
  <si>
    <t>EJERCICIO 2022</t>
  </si>
  <si>
    <t>1 2 4 4 1 12 31111 6 M78 15000 171 00I 002 54105 025 2222100 2022 00000000</t>
  </si>
  <si>
    <t>1 2 4 4 1 12 31111 6 M78 15000 171 00I 002 54105 025 2222100 2022 00000000 003</t>
  </si>
  <si>
    <t>1 2 4 4 1 12 31111 6 M78 15000 171 00I 002 54105 025 2222100 2022 00000000 003 002</t>
  </si>
  <si>
    <t>1 2 4 4 1 12 31111 6 M78 15000 171 00I 002 54105 025 2222100 2022 00000000 003 002 003</t>
  </si>
  <si>
    <t>VEHICULO NUEVO MARCA TOYOTA MODELO 2022</t>
  </si>
  <si>
    <t>1 2 4 4 1 12 31111 6 M78 15000 171 00I 002 54105 025 2222100 2023</t>
  </si>
  <si>
    <t>1 2 4 4 1 12 31111 6 M78 15000 171 00I 002 54105 025 2222100 2023 00000000</t>
  </si>
  <si>
    <t>1 2 4 4 1 12 31111 6 M78 15000 171 00I 002 54105 025 2222100 2023 00000000 003</t>
  </si>
  <si>
    <t>1 2 4 4 1 12 31111 6 M78 15000 171 00I 002 54105 025 2222100 2023 00000000 003 002</t>
  </si>
  <si>
    <t>1 2 4 4 1 12 31111 6 M78 15000 171 00I 002 54105 025 2222100 2023 00000000 003 002 003</t>
  </si>
  <si>
    <t>1 2 4 4 1 12 31111 6 M78 15000 171 00I 002 54105 025 2222100 2024</t>
  </si>
  <si>
    <t>EJERCICIO 2024</t>
  </si>
  <si>
    <t>1 2 4 4 1 12 31111 6 M78 15000 171 00I 002 54105 025 2222100 2024 00000000</t>
  </si>
  <si>
    <t>1 2 4 4 1 12 31111 6 M78 15000 171 00I 002 54105 025 2222100 2024 00000000 003</t>
  </si>
  <si>
    <t>1 2 4 4 1 12 31111 6 M78 15000 171 00I 002 54105 025 2222100 2024 00000000 003 002</t>
  </si>
  <si>
    <t>1 2 4 4 1 12 31111 6 M78 15000 171 00I 002 54105 025 2222100 2024 00000000 003 002 004</t>
  </si>
  <si>
    <t>VEHICULO NUEVO MARCA DODGE RAM 700 LARAMIE CREW CAB, TRASNMISION MANUAL, COLOR  ROJO COLORADO MODELO 2023 }, SERIE 9BD281H72PYY72683, 4 PUERTAS</t>
  </si>
  <si>
    <t>1 2 4 6</t>
  </si>
  <si>
    <t>MAQUINARIA, OTROS EQUIPOS Y HERRAMIENTAS</t>
  </si>
  <si>
    <t>1 2 4 6 5</t>
  </si>
  <si>
    <t>EQUIPO DE COMUNICACIÓN Y TELECOMUNICACIÓN</t>
  </si>
  <si>
    <t>1 2 4 6 5 12</t>
  </si>
  <si>
    <t>1 2 4 6 5 12 31111</t>
  </si>
  <si>
    <t>1 2 4 6 5 12 31111 6</t>
  </si>
  <si>
    <t>1 2 4 6 5 12 31111 6 M78</t>
  </si>
  <si>
    <t>1 2 4 6 5 12 31111 6 M78 00000</t>
  </si>
  <si>
    <t>1 2 4 6 5 12 31111 6 M78 00000 003</t>
  </si>
  <si>
    <t>1 2 4 6 5 12 31111 6 M78 00000 003 001</t>
  </si>
  <si>
    <t>1 2 4 6 5 12 31111 6 M78 00000 003 001 001</t>
  </si>
  <si>
    <t>1 2 4 6 5 12 31111 6 M78 00000 003 001 001 00001</t>
  </si>
  <si>
    <t>RADIO TRANCEPTOR PORTATIL EN BANDA VHF 16 CANALES</t>
  </si>
  <si>
    <t>1 2 4 6 5 12 31111 6 M78 00000 003 001 001 00002</t>
  </si>
  <si>
    <t>5 RADIOS PORTATIL KEWWOOD16 CANALES</t>
  </si>
  <si>
    <t>1 2 4 6 5 12 31111 6 M78 00000 003 001 001 00003</t>
  </si>
  <si>
    <t>6 RADIOS PORTATIL ICOM16 CANALES</t>
  </si>
  <si>
    <t>1 2 4 6 5 12 31111 6 M78 00000 003 001 001 00004</t>
  </si>
  <si>
    <t>REPETIDOR KEWWOD</t>
  </si>
  <si>
    <t>1 2 4 6 5 12 31111 6 M78 00000 003 001 001 00005</t>
  </si>
  <si>
    <t>2 RADIOS PORTATIL KEWWOOD</t>
  </si>
  <si>
    <t>1 2 4 6 5 12 31111 6 M78 15000</t>
  </si>
  <si>
    <t>1 2 4 6 5 12 31111 6 M78 15000 171</t>
  </si>
  <si>
    <t>1 2 4 6 5 12 31111 6 M78 15000 171 00I</t>
  </si>
  <si>
    <t>1 2 4 6 5 12 31111 6 M78 15000 171 00I 002</t>
  </si>
  <si>
    <t>1 2 4 6 5 12 31111 6 M78 15000 171 00I 002 56501</t>
  </si>
  <si>
    <t>EQUIPOS Y APARATOS DE COMUNICACIONES Y TELECOMUNICACIONES.</t>
  </si>
  <si>
    <t>1 2 4 6 5 12 31111 6 M78 15000 171 00I 002 56501 025</t>
  </si>
  <si>
    <t>1 2 4 6 5 12 31111 6 M78 15000 171 00I 002 56501 025 2112000</t>
  </si>
  <si>
    <t>1 2 4 6 5 12 31111 6 M78 15000 171 00I 002 56501 025 2112000 2019</t>
  </si>
  <si>
    <t>1 2 4 6 5 12 31111 6 M78 15000 171 00I 002 56501 025 2112000 2019 00000000</t>
  </si>
  <si>
    <t>1 2 4 6 5 12 31111 6 M78 15000 171 00I 002 56501 025 2112000 2019 00000000 003</t>
  </si>
  <si>
    <t>1 2 4 6 5 12 31111 6 M78 15000 171 00I 002 56501 025 2112000 2019 00000000 003 015</t>
  </si>
  <si>
    <t>DIRECION SEGURIDAD PUBLICA</t>
  </si>
  <si>
    <t>1 2 4 6 5 12 31111 6 M78 15000 171 00I 002 56501 025 2112000 2019 00000000 003 015 001</t>
  </si>
  <si>
    <t>10 RADIOS PORTATIL ICOM, ANTENA,BATERIA Y CARGADOR.</t>
  </si>
  <si>
    <t>1 2 4 6 5 12 31111 6 M78 15000 171 00I 002 56501 025 2112000 2024</t>
  </si>
  <si>
    <t>1 2 4 6 5 12 31111 6 M78 15000 171 00I 002 56501 025 2112000 2024 00000000</t>
  </si>
  <si>
    <t>1 2 4 6 5 12 31111 6 M78 15000 171 00I 002 56501 025 2112000 2024 00000000 003</t>
  </si>
  <si>
    <t>1 2 4 6 5 12 31111 6 M78 15000 171 00I 002 56501 025 2112000 2024 00000000 003 015</t>
  </si>
  <si>
    <t>1 2 4 6 5 12 31111 6 M78 15000 171 00I 002 56501 025 2112000 2024 00000000 003 015 002</t>
  </si>
  <si>
    <t>2 RADIOS PORTATIL ICOM, ICF 3003 5 WATTS, 16 CANALES, SERIE58019761 58020042</t>
  </si>
  <si>
    <t>1 2 4 6 5 12 31111 6 M78 15000 171 00I 002 56501 025 2112000 2024 00000000 003 015 003</t>
  </si>
  <si>
    <t>1 RADIOS PORTATIL ICOM, MODELO ICF 30215 S 5 WATTS, 126 CANALES, SERIE 4120654</t>
  </si>
  <si>
    <t>1 2 4 6 5 12 31111 6 M78 15000 171 00I 002 56501 025 2112000 2024 00000000 003 015 004</t>
  </si>
  <si>
    <t>1 RADIOS PORTATIL ICOM, MODELO ICF 3103D DIGITAL 5 WATTS, 16 CANALES, SERIE 13004960-1</t>
  </si>
  <si>
    <t>1 2 5</t>
  </si>
  <si>
    <t>ACTIVOS INTANGIBLES</t>
  </si>
  <si>
    <t>1 2 6</t>
  </si>
  <si>
    <t>DEPRECIACIÓN, DETERIORO Y AMORTIZACIÓN ACUMULADA DE BIENES</t>
  </si>
  <si>
    <t>1 2 7</t>
  </si>
  <si>
    <t>ACTIVOS DIFERIDOS</t>
  </si>
  <si>
    <t>1 2 8</t>
  </si>
  <si>
    <t>ESTIMACIÓN POR PÉRDIDA O DETERIORO DE ACTIVOS NO CIRCULANTES</t>
  </si>
  <si>
    <t>1 2 9</t>
  </si>
  <si>
    <t>OTROS ACTIVOS NO CIRCULANTES</t>
  </si>
  <si>
    <t>2</t>
  </si>
  <si>
    <t>PASIVO</t>
  </si>
  <si>
    <t>2 1</t>
  </si>
  <si>
    <t>PASIVO CIRCULANTE</t>
  </si>
  <si>
    <t>2 1 1</t>
  </si>
  <si>
    <t>CUENTAS POR PAGAR A CORTO PLAZO</t>
  </si>
  <si>
    <t>2 1 1 1</t>
  </si>
  <si>
    <t>SERVICIOS PERSONALES POR PAGAR A CORTO PLAZO</t>
  </si>
  <si>
    <t>2 1 1 1 1</t>
  </si>
  <si>
    <t>REMUNERACIÓN POR PAGAR AL PERSONAL DE CARÁCTER PERMANENTE A CP</t>
  </si>
  <si>
    <t>2 1 1 1 1 12</t>
  </si>
  <si>
    <t>2 1 1 1 1 12 31111</t>
  </si>
  <si>
    <t>2 1 1 1 1 12 31111 6</t>
  </si>
  <si>
    <t>2 1 1 1 1 12 31111 6 M78</t>
  </si>
  <si>
    <t>2 1 1 1 1 12 31111 6 M78 00003</t>
  </si>
  <si>
    <t>FONDO PARA EL FORTALECIMIENTO DE LOS MUNICIPIOS</t>
  </si>
  <si>
    <t>2 1 1 1 1 12 31111 6 M78 00003 002</t>
  </si>
  <si>
    <t>COMISARIOS MUNICIPALES</t>
  </si>
  <si>
    <t>2 1 1 1 1 12 31111 6 M78 00003 006</t>
  </si>
  <si>
    <t>SUELDOS POR PAGAR</t>
  </si>
  <si>
    <t>2 1 1 2</t>
  </si>
  <si>
    <t>PROVEEDORES POR PAGAR A CORTO PLAZO</t>
  </si>
  <si>
    <t>2 1 1 2 1</t>
  </si>
  <si>
    <t>DEUDAS POR ADQUISICIÓN DE BIENES Y CONTRATACIÓN DE SERVICIOS POR PAGAR A CP</t>
  </si>
  <si>
    <t>2 1 1 2 1 12</t>
  </si>
  <si>
    <t>2 1 1 2 1 12 31111</t>
  </si>
  <si>
    <t>2 1 1 2 1 12 31111 6</t>
  </si>
  <si>
    <t>2 1 1 2 1 12 31111 6 M78</t>
  </si>
  <si>
    <t>2 1 1 2 1 12 31111 6 M78 00003</t>
  </si>
  <si>
    <t>2 1 1 2 1 12 31111 6 M78 00003 001</t>
  </si>
  <si>
    <t>2 1 1 2 1 12 31111 6 M78 00003 002</t>
  </si>
  <si>
    <t>C.F.E SUMINISTRADOR DE SERVICOS BASICOS.</t>
  </si>
  <si>
    <t>2 1 1 2 1 12 31111 6 M78 00003 003</t>
  </si>
  <si>
    <t>SERVICIOS MONTAÑAS DEL SUR S.A. DE C.V.</t>
  </si>
  <si>
    <t>2 1 1 2 1 12 31111 6 M78 00003 038</t>
  </si>
  <si>
    <t>JUAN CARLOS MORALES MENESES</t>
  </si>
  <si>
    <t>2 1 1 2 1 12 31111 6 M78 00003 048</t>
  </si>
  <si>
    <t>JOSE CARLOS BELLO SILVA</t>
  </si>
  <si>
    <t>2 1 1 2 1 12 31111 6 M78 00003 053</t>
  </si>
  <si>
    <t>JOSE ALBERTO SANCHEZ CRESPO</t>
  </si>
  <si>
    <t>2 1 1 2 1 12 31111 6 M78 00003 054</t>
  </si>
  <si>
    <t>JESUS SAIDT HERNANDEZ RIVERA</t>
  </si>
  <si>
    <t>2 1 1 2 1 12 31111 6 M78 00003 056</t>
  </si>
  <si>
    <t>COMERCIALIZADORA BEROM, S.A. DE C.V.</t>
  </si>
  <si>
    <t>2 1 1 2 1 12 31111 6 M78 00003 062</t>
  </si>
  <si>
    <t>DISEÑO RENTA Y CONSTRUCCION S.A. DE C.V.</t>
  </si>
  <si>
    <t>2 1 1 2 1 12 31111 6 M78 00003 063</t>
  </si>
  <si>
    <t>JONATHAN RICARDO GONZALEZ GARDUÑO</t>
  </si>
  <si>
    <t>2 1 1 2 1 12 31111 6 M78 00003 066</t>
  </si>
  <si>
    <t>CHRISTIAN GREGORIO ADAME TEOFILO</t>
  </si>
  <si>
    <t>2 1 1 2 1 12 31111 6 M78 00003 073</t>
  </si>
  <si>
    <t>ULISES HERNÁNDEZ TEPEC</t>
  </si>
  <si>
    <t>2 1 1 2 1 12 31111 6 M78 00003 074</t>
  </si>
  <si>
    <t>GRUPO EMPRESARIAL LA LOMA DE GUERRERO</t>
  </si>
  <si>
    <t>2 1 1 2 1 12 31111 6 M78 00003 075</t>
  </si>
  <si>
    <t>SANDRA IVETTEVILLALVA BARCA</t>
  </si>
  <si>
    <t>2 1 1 2 1 12 31111 6 M78 00003 076</t>
  </si>
  <si>
    <t>CINTHYA GUADALUPE SANCHEZ CARRILLO</t>
  </si>
  <si>
    <t>2 1 1 2 1 12 31111 6 M78 00003 077</t>
  </si>
  <si>
    <t>BERTA BARRERA GUTIERREZ</t>
  </si>
  <si>
    <t>2 1 1 2 1 12 31111 6 M78 00003 078</t>
  </si>
  <si>
    <t>ABIGAIL SALGADO SANDOVAL</t>
  </si>
  <si>
    <t>2 1 1 2 1 12 31111 6 M78 00003 079</t>
  </si>
  <si>
    <t>ALEJANDRO SOTO SANCHEZ</t>
  </si>
  <si>
    <t>2 1 1 5</t>
  </si>
  <si>
    <t>TRANSFERENCIAS OTORGADAS POR PAGAR A CORTO PLAZO</t>
  </si>
  <si>
    <t>2 1 1 5 6</t>
  </si>
  <si>
    <t>AYUDAS SOCIALES</t>
  </si>
  <si>
    <t>2 1 1 5 6 12</t>
  </si>
  <si>
    <t>2 1 1 5 6 12 31111</t>
  </si>
  <si>
    <t>2 1 1 5 6 12 31111 6</t>
  </si>
  <si>
    <t>2 1 1 5 6 12 31111 6 M78</t>
  </si>
  <si>
    <t>2 1 1 5 6 12 31111 6 M78 00003</t>
  </si>
  <si>
    <t>FONDO DE APORTACIONES PARA LOS MUNICIPIOS</t>
  </si>
  <si>
    <t>2 1 1 5 6 12 31111 6 M78 00003 001</t>
  </si>
  <si>
    <t>AYUDAS SOCIALES A PERSONAS</t>
  </si>
  <si>
    <t>2 1 1 7</t>
  </si>
  <si>
    <t>RETENCIONES Y CONTRIBUCIONES POR PAGAR A CORTO PLAZO</t>
  </si>
  <si>
    <t>2 1 1 7 1</t>
  </si>
  <si>
    <t>RETENCIONES DE IMPUESTOS POR PAGAR A CP</t>
  </si>
  <si>
    <t>2 1 1 7 1 12</t>
  </si>
  <si>
    <t>2 1 1 7 1 12 31111</t>
  </si>
  <si>
    <t>2 1 1 7 1 12 31111 6</t>
  </si>
  <si>
    <t>2 1 1 7 1 12 31111 6 M78</t>
  </si>
  <si>
    <t>2 1 1 7 1 12 31111 6 M78 00003</t>
  </si>
  <si>
    <t>2 1 1 7 1 12 31111 6 M78 00003 003</t>
  </si>
  <si>
    <t>ISR 2020</t>
  </si>
  <si>
    <t>2 1 1 7 1 12 31111 6 M78 00003 004</t>
  </si>
  <si>
    <t>ISR 2021</t>
  </si>
  <si>
    <t>2 1 1 7 1 12 31111 6 M78 00003 005</t>
  </si>
  <si>
    <t>ISR 2022</t>
  </si>
  <si>
    <t>2 1 1 7 1 12 31111 6 M78 00003 006</t>
  </si>
  <si>
    <t>ISR 2023</t>
  </si>
  <si>
    <t>2 1 1 7 1 12 31111 6 M78 00003 007</t>
  </si>
  <si>
    <t>ISR 2024</t>
  </si>
  <si>
    <t>2 1 1 9</t>
  </si>
  <si>
    <t>OTRAS CUENTAS POR PAGAR A CORTO PLAZO</t>
  </si>
  <si>
    <t>2 1 1 9 9</t>
  </si>
  <si>
    <t>OTRAS CUENTAS POR PAGAR A CP</t>
  </si>
  <si>
    <t>2 1 1 9 9 12</t>
  </si>
  <si>
    <t>2 1 1 9 9 12 31111</t>
  </si>
  <si>
    <t>2 1 1 9 9 12 31111 6</t>
  </si>
  <si>
    <t>2 1 1 9 9 12 31111 6 M78</t>
  </si>
  <si>
    <t>2 1 1 9 9 12 31111 6 M78 00003</t>
  </si>
  <si>
    <t>FORTAMUN</t>
  </si>
  <si>
    <t>2 1 1 9 9 12 31111 6 M78 00003 001</t>
  </si>
  <si>
    <t>2 1 1 9 9 12 31111 6 M78 00003 001 002</t>
  </si>
  <si>
    <t>GASTO CORRIENTRE 2022</t>
  </si>
  <si>
    <t>2 1 1 9 9 12 31111 6 M78 00003 001 004</t>
  </si>
  <si>
    <t>GASTO CORRIENTRE 2024</t>
  </si>
  <si>
    <t>2 1 2</t>
  </si>
  <si>
    <t>DOCUMENTOS POR PAGAR A CORTO PLAZO</t>
  </si>
  <si>
    <t>2 1 3</t>
  </si>
  <si>
    <t>PORCIÓN A CORTO PLAZO DE LA DEUDA PÚBLICA A LARGO PLAZO</t>
  </si>
  <si>
    <t>2 1 4</t>
  </si>
  <si>
    <t>TÍTULOS Y VALORES A CORTO PLAZO</t>
  </si>
  <si>
    <t>2 1 5</t>
  </si>
  <si>
    <t>PASIVOS DIFERIDOS A CORTO PLAZO</t>
  </si>
  <si>
    <t>2 1 6</t>
  </si>
  <si>
    <t>FONDOS Y BIENES DE TERCEROS EN GARANTÍA Y/O ADMINISTRACIÓN A CORTO PLAZO</t>
  </si>
  <si>
    <t>2 1 7</t>
  </si>
  <si>
    <t>PROVISIONES A CORTO PLAZO</t>
  </si>
  <si>
    <t>2 1 9</t>
  </si>
  <si>
    <t>OTROS PASIVOS A CORTO PLAZO</t>
  </si>
  <si>
    <t>2 2</t>
  </si>
  <si>
    <t>PASIVO NO CIRCULANTE</t>
  </si>
  <si>
    <t>2 2 1</t>
  </si>
  <si>
    <t>CUENTAS POR PAGAR A LARGO PLAZO</t>
  </si>
  <si>
    <t>2 2 2</t>
  </si>
  <si>
    <t>DOCUMENTOS POR PAGAR A LARGO PLAZO</t>
  </si>
  <si>
    <t>2 2 3</t>
  </si>
  <si>
    <t>DEUDA PÚBLICA A LARGO PLAZO</t>
  </si>
  <si>
    <t>2 2 4</t>
  </si>
  <si>
    <t>PASIVOS DIFERIDOS A LARGO PLAZO</t>
  </si>
  <si>
    <t>2 2 5</t>
  </si>
  <si>
    <t>FONDOS Y BIENES DE TERCEROS EN GARANTÍA Y/O EN ADMINISTRACIÓN A LARGO PLAZO</t>
  </si>
  <si>
    <t>2 2 6</t>
  </si>
  <si>
    <t>PROVISIONES A LARGO PLAZO</t>
  </si>
  <si>
    <t>3</t>
  </si>
  <si>
    <t>HACIENDA PÚBLICA/ PATRIMONIO</t>
  </si>
  <si>
    <t>3 1</t>
  </si>
  <si>
    <t>HACIENDA PÚBLICA/PATRIMONIO CONTRIBUIDO</t>
  </si>
  <si>
    <t>3 1 1</t>
  </si>
  <si>
    <t>APORTACIONES</t>
  </si>
  <si>
    <t>3 1 1 1</t>
  </si>
  <si>
    <t>3 1 1 1 1</t>
  </si>
  <si>
    <t>3 1 1 1 1 12</t>
  </si>
  <si>
    <t>3 1 1 1 1 12 31111</t>
  </si>
  <si>
    <t>3 1 1 1 1 12 31111 6</t>
  </si>
  <si>
    <t>3 1 1 1 1 12 31111 6 M78</t>
  </si>
  <si>
    <t>3 1 1 1 1 12 31111 6 M78 00003</t>
  </si>
  <si>
    <t>3 1 2</t>
  </si>
  <si>
    <t>DONACIONES DE CAPITAL</t>
  </si>
  <si>
    <t>3 1 3</t>
  </si>
  <si>
    <t>ACTUALIZACIÓN DE LA HACIENDA PÚBLICA/PATRIMONIO</t>
  </si>
  <si>
    <t>3 2</t>
  </si>
  <si>
    <t>HACIENDA PÚBLICA /PATRIMONIO GENERADO</t>
  </si>
  <si>
    <t>3 2 1</t>
  </si>
  <si>
    <t>RESULTADOS DEL EJERCICIO (AHORRO/ DESAHORRO)</t>
  </si>
  <si>
    <t>3 2 2</t>
  </si>
  <si>
    <t>RESULTADOS DE EJERCICIOS ANTERIORES</t>
  </si>
  <si>
    <t>3 2 2 1</t>
  </si>
  <si>
    <t>3 2 2 1 1</t>
  </si>
  <si>
    <t>RESULTADOS DEL EJERCICIO ANTERIOR</t>
  </si>
  <si>
    <t>3 2 2 1 1 12</t>
  </si>
  <si>
    <t>3 2 2 1 1 12 31111</t>
  </si>
  <si>
    <t>3 2 2 1 1 12 31111 6</t>
  </si>
  <si>
    <t>3 2 2 1 1 12 31111 6 M78</t>
  </si>
  <si>
    <t>3 2 2 1 1 12 31111 6 M78 00003</t>
  </si>
  <si>
    <t>3 2 3</t>
  </si>
  <si>
    <t>REVALÚOS</t>
  </si>
  <si>
    <t>3 2 4</t>
  </si>
  <si>
    <t>RESERVAS</t>
  </si>
  <si>
    <t>3 2 5</t>
  </si>
  <si>
    <t>RECTIFICACIONES DE RESULTADOS DE EJERCICIOS ANTERIORES</t>
  </si>
  <si>
    <t>3 3</t>
  </si>
  <si>
    <t>EXCESO O INSUFICIENCIA EN LA ACTUALIZACIÓN DE LA HACIENDA PÚBLICA/</t>
  </si>
  <si>
    <t>3 3 1</t>
  </si>
  <si>
    <t>RESULTADO POR POSICIÓN MONETARIA</t>
  </si>
  <si>
    <t>3 3 2</t>
  </si>
  <si>
    <t>RESULTADO POR TENENCIA DE ACTIVOS NO MONETARIOS</t>
  </si>
  <si>
    <t>4</t>
  </si>
  <si>
    <t>INGRESOS Y OTROS BENEFICIOS</t>
  </si>
  <si>
    <t>4 1</t>
  </si>
  <si>
    <t>INGRESOS DE GESTIÓN</t>
  </si>
  <si>
    <t>4 1 1</t>
  </si>
  <si>
    <t>IMPUESTOS</t>
  </si>
  <si>
    <t>4 1 2</t>
  </si>
  <si>
    <t>CUOTAS Y APORTACIONES DE SEGURIDAD SOCIAL</t>
  </si>
  <si>
    <t>4 1 3</t>
  </si>
  <si>
    <t>CONTRIBUCIONES DE MEJORAS</t>
  </si>
  <si>
    <t>4 1 4</t>
  </si>
  <si>
    <t>DERECHOS</t>
  </si>
  <si>
    <t>4 1 5</t>
  </si>
  <si>
    <t>4 1 5 1</t>
  </si>
  <si>
    <t>4 1 5 1 1</t>
  </si>
  <si>
    <t>PRODUCTOS DERIVADOS DEL USO Y APROVACHAMIENTO DE BIENES NO SUJETOS A REGIMEN DE DOMINIO PUBLICO</t>
  </si>
  <si>
    <t>4 1 5 1 1 12</t>
  </si>
  <si>
    <t>4 1 5 1 1 12 31111</t>
  </si>
  <si>
    <t>4 1 5 1 1 12 31111 6</t>
  </si>
  <si>
    <t>4 1 5 1 1 12 31111 6 M78</t>
  </si>
  <si>
    <t>4 1 5 1 1 12 31111 6 M78 15000</t>
  </si>
  <si>
    <t>4 1 5 1 1 12 31111 6 M78 15000 171</t>
  </si>
  <si>
    <t>4 1 5 1 1 12 31111 6 M78 15000 171 00I</t>
  </si>
  <si>
    <t>4 1 5 1 1 12 31111 6 M78 15000 171 00I 001</t>
  </si>
  <si>
    <t>GASTO CORRIENTE</t>
  </si>
  <si>
    <t>4 1 5 1 1 12 31111 6 M78 15000 171 00I 001 00051</t>
  </si>
  <si>
    <t>4 1 5 1 1 12 31111 6 M78 15000 171 00I 001 00051 025</t>
  </si>
  <si>
    <t>4 1 5 1 1 12 31111 6 M78 15000 171 00I 001 00051 025 1151100</t>
  </si>
  <si>
    <t>INTERNOS</t>
  </si>
  <si>
    <t>4 1 5 1 1 12 31111 6 M78 15000 171 00I 001 00051 025 1151100 2024</t>
  </si>
  <si>
    <t>4 1 5 1 1 12 31111 6 M78 15000 171 00I 001 00051 025 1151100 2024 00000000</t>
  </si>
  <si>
    <t>4 1 5 1 1 12 31111 6 M78 15000 171 00I 001 00051 025 1151100 2024 00000000 003</t>
  </si>
  <si>
    <t>4 1 5 1 1 12 31111 6 M78 15000 171 00I 001 00051 025 1151100 2024 00000000 003 001</t>
  </si>
  <si>
    <t>INTERESES POR PRODUCTOS FINANCIEROS</t>
  </si>
  <si>
    <t>4 1 6</t>
  </si>
  <si>
    <t>APROVECHAMIENTOS</t>
  </si>
  <si>
    <t>4 1 7</t>
  </si>
  <si>
    <t>INGRESOS POR VENTA DE BIENES Y PRESTACION DE SERVICIOS</t>
  </si>
  <si>
    <t>4 1 9</t>
  </si>
  <si>
    <t>PARTIDA DEROGADA (20180927) INGRESOS NO COMPRENDIDOS EN LAS FRACCIONES DE LA LEY DE INGRESOS CAUSADOS EN EJERCICIOS_x000D_FISCALES ANTERIORES PENDIENTES DE LIQUIDACIÓN O PAGO</t>
  </si>
  <si>
    <t>4 2</t>
  </si>
  <si>
    <t>PARTICIPACIONES, APORTACIONES, CONVENIOS, INCENTIVOS DERIVADOS DE LA COLABORACIÓN FISCAL, FONDOS DISTINTOS DE APORTACIONES, TRANSFERENCIAS, ASIGNACIONES, SUBSIDIOS Y SUBVENCIONES, Y PENSIONES Y JUBILACIONES</t>
  </si>
  <si>
    <t>4 2 1</t>
  </si>
  <si>
    <t>PARTICIPACIONES, APORTACIONES, CONVENIOS, INCENTIVOS DERIVADOS DE LA COLABORACIÓN FISCAL Y FONDOS DISTINTOS DE APORTACIONES</t>
  </si>
  <si>
    <t>4 2 1 2</t>
  </si>
  <si>
    <t>4 2 1 2 1</t>
  </si>
  <si>
    <t>4 2 1 2 1 12</t>
  </si>
  <si>
    <t>4 2 1 2 1 12 31111</t>
  </si>
  <si>
    <t>4 2 1 2 1 12 31111 6</t>
  </si>
  <si>
    <t>4 2 1 2 1 12 31111 6 M78</t>
  </si>
  <si>
    <t>4 2 1 2 1 12 31111 6 M78 15000</t>
  </si>
  <si>
    <t>4 2 1 2 1 12 31111 6 M78 15000 171</t>
  </si>
  <si>
    <t>4 2 1 2 1 12 31111 6 M78 15000 171 00I</t>
  </si>
  <si>
    <t>4 2 1 2 1 12 31111 6 M78 15000 171 00I 001</t>
  </si>
  <si>
    <t>4 2 1 2 1 12 31111 6 M78 15000 171 00I 001 00082</t>
  </si>
  <si>
    <t>4 2 1 2 1 12 31111 6 M78 15000 171 00I 001 00082 025</t>
  </si>
  <si>
    <t>4 2 1 2 1 12 31111 6 M78 15000 171 00I 001 00082 025 1182200</t>
  </si>
  <si>
    <t>DE ENTIDADES FEDERATIVAS</t>
  </si>
  <si>
    <t>4 2 1 2 1 12 31111 6 M78 15000 171 00I 001 00082 025 1182200 2024</t>
  </si>
  <si>
    <t>4 2 1 2 1 12 31111 6 M78 15000 171 00I 001 00082 025 1182200 2024 00000000</t>
  </si>
  <si>
    <t>4 2 1 2 1 12 31111 6 M78 15000 171 00I 001 00082 025 1182200 2024 00000000 003</t>
  </si>
  <si>
    <t>4 2 1 2 1 12 31111 6 M78 15000 171 00I 001 00082 025 1182200 2024 00000000 003 001</t>
  </si>
  <si>
    <t>APORTACIONES P/FORT DE LOS MPIOS</t>
  </si>
  <si>
    <t>4 2 2</t>
  </si>
  <si>
    <t>TRANSFERENCIAS, ASIGNACIONES, SUBSIDIOS Y SUBVENCIONES, Y PENSIONES Y JUBILACIONES</t>
  </si>
  <si>
    <t>4 3</t>
  </si>
  <si>
    <t>OTROS INGRESOS  Y BENEFICIOS</t>
  </si>
  <si>
    <t>4 3 1</t>
  </si>
  <si>
    <t>INGRESOS FINANCIEROS</t>
  </si>
  <si>
    <t>4 3 2</t>
  </si>
  <si>
    <t>INCREMENTO POR VARIACIÓN DE INVENTARIOS</t>
  </si>
  <si>
    <t>4 3 3</t>
  </si>
  <si>
    <t>DISMINUCIÓN DEL EXCESO DE ESTIMACIONES POR PÉRDIDA O DETERIORO U OBSOLESCENCIA</t>
  </si>
  <si>
    <t>4 3 4</t>
  </si>
  <si>
    <t>DISMINUCIÓN DEL EXCESO DE PROVISIONES</t>
  </si>
  <si>
    <t>4 3 9</t>
  </si>
  <si>
    <t>OTROS INGRESOS Y BENEFICIOS VARIOS</t>
  </si>
  <si>
    <t>5</t>
  </si>
  <si>
    <t>GASTOS Y OTRAS PÉRDIDAS</t>
  </si>
  <si>
    <t>5 1</t>
  </si>
  <si>
    <t>GASTOS DE FUNCIONAMIENTO</t>
  </si>
  <si>
    <t>5 1 1</t>
  </si>
  <si>
    <t>SERVICIOS PERSONALES</t>
  </si>
  <si>
    <t>5 1 1 1</t>
  </si>
  <si>
    <t>REMUNERACIONES AL PERSONAL DE CARÁCTER PERMANENTE</t>
  </si>
  <si>
    <t>5 1 1 1 3</t>
  </si>
  <si>
    <t>SUELDOS BASE AL PERSONAL PERMANENTE</t>
  </si>
  <si>
    <t>5 1 1 1 3 12</t>
  </si>
  <si>
    <t>5 1 1 1 3 12 31111</t>
  </si>
  <si>
    <t>5 1 1 1 3 12 31111 6</t>
  </si>
  <si>
    <t>5 1 1 1 3 12 31111 6 M78</t>
  </si>
  <si>
    <t>XXX CAMBIO DE ETIQUETA PRESUPUESTAL XXX</t>
  </si>
  <si>
    <t>5 1 1 1 3 12 31111 6 M78 03000</t>
  </si>
  <si>
    <t>COORDINACION JURIDICA</t>
  </si>
  <si>
    <t>5 1 1 1 3 12 31111 6 M78 03000 135</t>
  </si>
  <si>
    <t>ASUNTOS JURÍDICOS</t>
  </si>
  <si>
    <t>5 1 1 1 3 12 31111 6 M78 03000 135 00I</t>
  </si>
  <si>
    <t>5 1 1 1 3 12 31111 6 M78 03000 135 00I 001</t>
  </si>
  <si>
    <t>5 1 1 1 3 12 31111 6 M78 03000 135 00I 001 11301</t>
  </si>
  <si>
    <t>SUELDOS BASE.</t>
  </si>
  <si>
    <t>5 1 1 1 3 12 31111 6 M78 03000 135 00I 001 11301 025</t>
  </si>
  <si>
    <t>5 1 1 1 3 12 31111 6 M78 03000 135 00I 001 11301 025 2111100</t>
  </si>
  <si>
    <t>SUELDOS Y SALARIOS</t>
  </si>
  <si>
    <t>5 1 1 1 3 12 31111 6 M78 03000 135 00I 001 11301 025 2111100 2024</t>
  </si>
  <si>
    <t>5 1 1 1 3 12 31111 6 M78 03000 135 00I 001 11301 025 2111100 2024 00000000</t>
  </si>
  <si>
    <t>5 1 1 1 3 12 31111 6 M78 03000 135 00I 001 11301 025 2111100 2024 00000000 003</t>
  </si>
  <si>
    <t>5 1 1 1 3 12 31111 6 M78 03000 135 00I 001 11301 025 2111100 2024 00000000 003 001</t>
  </si>
  <si>
    <t>EMPLEADOS DE COORDINACION JURIDICA</t>
  </si>
  <si>
    <t>5 1 1 1 3 12 31111 6 M78 03000 135 00I 001 11301 025 2111100 2024 00000000 003 001 003</t>
  </si>
  <si>
    <t>SUELDO BASE</t>
  </si>
  <si>
    <t>5 1 1 1 3 12 31111 6 M78 04000</t>
  </si>
  <si>
    <t>COORDINACION DE GOBERNACION, REGLAMENTOS Y ESPETACULOS</t>
  </si>
  <si>
    <t>5 1 1 1 3 12 31111 6 M78 04000 152</t>
  </si>
  <si>
    <t>ASUNTOS HACENDARIOS</t>
  </si>
  <si>
    <t>5 1 1 1 3 12 31111 6 M78 04000 152 00I</t>
  </si>
  <si>
    <t>5 1 1 1 3 12 31111 6 M78 04000 152 00I 001</t>
  </si>
  <si>
    <t>5 1 1 1 3 12 31111 6 M78 04000 152 00I 001 11301</t>
  </si>
  <si>
    <t>5 1 1 1 3 12 31111 6 M78 04000 152 00I 001 11301 025</t>
  </si>
  <si>
    <t>5 1 1 1 3 12 31111 6 M78 04000 152 00I 001 11301 025 2111100</t>
  </si>
  <si>
    <t>5 1 1 1 3 12 31111 6 M78 04000 152 00I 001 11301 025 2111100 2024</t>
  </si>
  <si>
    <t>5 1 1 1 3 12 31111 6 M78 04000 152 00I 001 11301 025 2111100 2024 00000000</t>
  </si>
  <si>
    <t>5 1 1 1 3 12 31111 6 M78 04000 152 00I 001 11301 025 2111100 2024 00000000 003</t>
  </si>
  <si>
    <t>5 1 1 1 3 12 31111 6 M78 04000 152 00I 001 11301 025 2111100 2024 00000000 003 001</t>
  </si>
  <si>
    <t>EMPLEADOS DE GOBERNACION, REGLAMENTOS Y ESPETACULOS</t>
  </si>
  <si>
    <t>5 1 1 1 3 12 31111 6 M78 04000 152 00I 001 11301 025 2111100 2024 00000000 003 001 004</t>
  </si>
  <si>
    <t>SUELDOS BASE</t>
  </si>
  <si>
    <t>5 1 1 1 3 12 31111 6 M78 15000</t>
  </si>
  <si>
    <t>5 1 1 1 3 12 31111 6 M78 15000 171</t>
  </si>
  <si>
    <t>5 1 1 1 3 12 31111 6 M78 15000 171 00I</t>
  </si>
  <si>
    <t>5 1 1 1 3 12 31111 6 M78 15000 171 00I 001</t>
  </si>
  <si>
    <t>5 1 1 1 3 12 31111 6 M78 15000 171 00I 001 11301</t>
  </si>
  <si>
    <t>5 1 1 1 3 12 31111 6 M78 15000 171 00I 001 11301 025</t>
  </si>
  <si>
    <t>5 1 1 1 3 12 31111 6 M78 15000 171 00I 001 11301 025 2111100</t>
  </si>
  <si>
    <t>5 1 1 1 3 12 31111 6 M78 15000 171 00I 001 11301 025 2111100 2024</t>
  </si>
  <si>
    <t>5 1 1 1 3 12 31111 6 M78 15000 171 00I 001 11301 025 2111100 2024 00000000</t>
  </si>
  <si>
    <t>5 1 1 1 3 12 31111 6 M78 15000 171 00I 001 11301 025 2111100 2024 00000000 003</t>
  </si>
  <si>
    <t>5 1 1 1 3 12 31111 6 M78 15000 171 00I 001 11301 025 2111100 2024 00000000 003 001</t>
  </si>
  <si>
    <t>EMPLEADOS DE SEGURIDAD PUBLICA</t>
  </si>
  <si>
    <t>5 1 1 1 3 12 31111 6 M78 15000 171 00I 001 11301 025 2111100 2024 00000000 003 001 015</t>
  </si>
  <si>
    <t>5 1 1 1 3 12 31111 6 M78 16000</t>
  </si>
  <si>
    <t>DIRECCION DE TRANSITO MUNICIPAL</t>
  </si>
  <si>
    <t>5 1 1 1 3 12 31111 6 M78 16000 173</t>
  </si>
  <si>
    <t>OTROS ASUNTOS DE ORDEN PÚBLICO Y SEGURIDAD</t>
  </si>
  <si>
    <t>5 1 1 1 3 12 31111 6 M78 16000 173 00I</t>
  </si>
  <si>
    <t>5 1 1 1 3 12 31111 6 M78 16000 173 00I 001</t>
  </si>
  <si>
    <t>5 1 1 1 3 12 31111 6 M78 16000 173 00I 001 11301</t>
  </si>
  <si>
    <t>5 1 1 1 3 12 31111 6 M78 16000 173 00I 001 11301 025</t>
  </si>
  <si>
    <t>5 1 1 1 3 12 31111 6 M78 16000 173 00I 001 11301 025 2111100</t>
  </si>
  <si>
    <t>5 1 1 1 3 12 31111 6 M78 16000 173 00I 001 11301 025 2111100 2024</t>
  </si>
  <si>
    <t>5 1 1 1 3 12 31111 6 M78 16000 173 00I 001 11301 025 2111100 2024 00000000</t>
  </si>
  <si>
    <t>5 1 1 1 3 12 31111 6 M78 16000 173 00I 001 11301 025 2111100 2024 00000000 003</t>
  </si>
  <si>
    <t>5 1 1 1 3 12 31111 6 M78 16000 173 00I 001 11301 025 2111100 2024 00000000 003 001</t>
  </si>
  <si>
    <t>EMPLEADOS DE TRANSITO MUNICIPAL</t>
  </si>
  <si>
    <t>5 1 1 1 3 12 31111 6 M78 16000 173 00I 001 11301 025 2111100 2024 00000000 003 001 016</t>
  </si>
  <si>
    <t>5 1 1 1 3 12 31111 6 M78 17000</t>
  </si>
  <si>
    <t>DIRECCION DE PROTECCION CIVIL</t>
  </si>
  <si>
    <t>5 1 1 1 3 12 31111 6 M78 17000 172</t>
  </si>
  <si>
    <t>PROTECCIÓN CIVIL</t>
  </si>
  <si>
    <t>5 1 1 1 3 12 31111 6 M78 17000 172 00I</t>
  </si>
  <si>
    <t>5 1 1 1 3 12 31111 6 M78 17000 172 00I 001</t>
  </si>
  <si>
    <t>5 1 1 1 3 12 31111 6 M78 17000 172 00I 001 11301</t>
  </si>
  <si>
    <t>5 1 1 1 3 12 31111 6 M78 17000 172 00I 001 11301 025</t>
  </si>
  <si>
    <t>5 1 1 1 3 12 31111 6 M78 17000 172 00I 001 11301 025 2111100</t>
  </si>
  <si>
    <t>5 1 1 1 3 12 31111 6 M78 17000 172 00I 001 11301 025 2111100 2024</t>
  </si>
  <si>
    <t>5 1 1 1 3 12 31111 6 M78 17000 172 00I 001 11301 025 2111100 2024 00000000</t>
  </si>
  <si>
    <t>5 1 1 1 3 12 31111 6 M78 17000 172 00I 001 11301 025 2111100 2024 00000000 003</t>
  </si>
  <si>
    <t>5 1 1 1 3 12 31111 6 M78 17000 172 00I 001 11301 025 2111100 2024 00000000 003 001</t>
  </si>
  <si>
    <t>EMPLEADOS DE PROTECCIÓN CIVIL</t>
  </si>
  <si>
    <t>5 1 1 1 3 12 31111 6 M78 17000 172 00I 001 11301 025 2111100 2024 00000000 003 001 017</t>
  </si>
  <si>
    <t>5 1 1 3</t>
  </si>
  <si>
    <t>REMUNERACIONES ADICIONALES Y ESPECIALES</t>
  </si>
  <si>
    <t>5 1 1 3 2</t>
  </si>
  <si>
    <t>PRIMAS DE VACACIONES, DOMINICAL Y GRATIFICACIÓN DE FIN DE AÑO</t>
  </si>
  <si>
    <t>5 1 1 3 2 12</t>
  </si>
  <si>
    <t>5 1 1 3 2 12 31111</t>
  </si>
  <si>
    <t>5 1 1 3 2 12 31111 6</t>
  </si>
  <si>
    <t>5 1 1 3 2 12 31111 6 M78</t>
  </si>
  <si>
    <t>5 1 1 3 2 12 31111 6 M78 03000</t>
  </si>
  <si>
    <t>5 1 1 3 2 12 31111 6 M78 03000 135</t>
  </si>
  <si>
    <t>5 1 1 3 2 12 31111 6 M78 03000 135 00I</t>
  </si>
  <si>
    <t>5 1 1 3 2 12 31111 6 M78 03000 135 00I 001</t>
  </si>
  <si>
    <t>5 1 1 3 2 12 31111 6 M78 03000 135 00I 001 13202</t>
  </si>
  <si>
    <t>AGUINALDO O GRATIFICACION DE FIN DE AÑO.</t>
  </si>
  <si>
    <t>5 1 1 3 2 12 31111 6 M78 03000 135 00I 001 13202 025</t>
  </si>
  <si>
    <t>5 1 1 3 2 12 31111 6 M78 03000 135 00I 001 13202 025 2111100</t>
  </si>
  <si>
    <t>5 1 1 3 2 12 31111 6 M78 03000 135 00I 001 13202 025 2111100 2024</t>
  </si>
  <si>
    <t>5 1 1 3 2 12 31111 6 M78 03000 135 00I 001 13202 025 2111100 2024 00000000</t>
  </si>
  <si>
    <t>5 1 1 3 2 12 31111 6 M78 03000 135 00I 001 13202 025 2111100 2024 00000000 003</t>
  </si>
  <si>
    <t>5 1 1 3 2 12 31111 6 M78 03000 135 00I 001 13202 025 2111100 2024 00000000 003 001</t>
  </si>
  <si>
    <t>5 1 1 3 2 12 31111 6 M78 03000 135 00I 001 13202 025 2111100 2024 00000000 003 001 003</t>
  </si>
  <si>
    <t>AGUINALDO</t>
  </si>
  <si>
    <t>5 1 1 3 2 12 31111 6 M78 04000</t>
  </si>
  <si>
    <t>5 1 1 3 2 12 31111 6 M78 04000 152</t>
  </si>
  <si>
    <t>5 1 1 3 2 12 31111 6 M78 04000 152 00I</t>
  </si>
  <si>
    <t>5 1 1 3 2 12 31111 6 M78 04000 152 00I 001</t>
  </si>
  <si>
    <t>5 1 1 3 2 12 31111 6 M78 04000 152 00I 001 13202</t>
  </si>
  <si>
    <t>5 1 1 3 2 12 31111 6 M78 04000 152 00I 001 13202 025</t>
  </si>
  <si>
    <t>5 1 1 3 2 12 31111 6 M78 04000 152 00I 001 13202 025 2111100</t>
  </si>
  <si>
    <t>5 1 1 3 2 12 31111 6 M78 04000 152 00I 001 13202 025 2111100 2024</t>
  </si>
  <si>
    <t>5 1 1 3 2 12 31111 6 M78 04000 152 00I 001 13202 025 2111100 2024 00000000</t>
  </si>
  <si>
    <t>5 1 1 3 2 12 31111 6 M78 04000 152 00I 001 13202 025 2111100 2024 00000000 003</t>
  </si>
  <si>
    <t>5 1 1 3 2 12 31111 6 M78 04000 152 00I 001 13202 025 2111100 2024 00000000 003 001</t>
  </si>
  <si>
    <t>5 1 1 3 2 12 31111 6 M78 04000 152 00I 001 13202 025 2111100 2024 00000000 003 001 004</t>
  </si>
  <si>
    <t>5 1 1 3 2 12 31111 6 M78 15000</t>
  </si>
  <si>
    <t>5 1 1 3 2 12 31111 6 M78 15000 171</t>
  </si>
  <si>
    <t>5 1 1 3 2 12 31111 6 M78 15000 171 00I</t>
  </si>
  <si>
    <t>5 1 1 3 2 12 31111 6 M78 15000 171 00I 001</t>
  </si>
  <si>
    <t>5 1 1 3 2 12 31111 6 M78 15000 171 00I 001 13202</t>
  </si>
  <si>
    <t>5 1 1 3 2 12 31111 6 M78 15000 171 00I 001 13202 025</t>
  </si>
  <si>
    <t>5 1 1 3 2 12 31111 6 M78 15000 171 00I 001 13202 025 2111100</t>
  </si>
  <si>
    <t>5 1 1 3 2 12 31111 6 M78 15000 171 00I 001 13202 025 2111100 2024</t>
  </si>
  <si>
    <t>5 1 1 3 2 12 31111 6 M78 15000 171 00I 001 13202 025 2111100 2024 00000000</t>
  </si>
  <si>
    <t>5 1 1 3 2 12 31111 6 M78 15000 171 00I 001 13202 025 2111100 2024 00000000 003</t>
  </si>
  <si>
    <t>5 1 1 3 2 12 31111 6 M78 15000 171 00I 001 13202 025 2111100 2024 00000000 003 001</t>
  </si>
  <si>
    <t>5 1 1 3 2 12 31111 6 M78 15000 171 00I 001 13202 025 2111100 2024 00000000 003 001 015</t>
  </si>
  <si>
    <t>5 1 1 3 2 12 31111 6 M78 16000</t>
  </si>
  <si>
    <t>5 1 1 3 2 12 31111 6 M78 16000 173</t>
  </si>
  <si>
    <t>5 1 1 3 2 12 31111 6 M78 16000 173 00I</t>
  </si>
  <si>
    <t>5 1 1 3 2 12 31111 6 M78 16000 173 00I 001</t>
  </si>
  <si>
    <t>5 1 1 3 2 12 31111 6 M78 16000 173 00I 001 13202</t>
  </si>
  <si>
    <t>5 1 1 3 2 12 31111 6 M78 16000 173 00I 001 13202 025</t>
  </si>
  <si>
    <t>5 1 1 3 2 12 31111 6 M78 16000 173 00I 001 13202 025 2111100</t>
  </si>
  <si>
    <t>5 1 1 3 2 12 31111 6 M78 16000 173 00I 001 13202 025 2111100 2024</t>
  </si>
  <si>
    <t>5 1 1 3 2 12 31111 6 M78 16000 173 00I 001 13202 025 2111100 2024 00000000</t>
  </si>
  <si>
    <t>5 1 1 3 2 12 31111 6 M78 16000 173 00I 001 13202 025 2111100 2024 00000000 003</t>
  </si>
  <si>
    <t>5 1 1 3 2 12 31111 6 M78 16000 173 00I 001 13202 025 2111100 2024 00000000 003 001</t>
  </si>
  <si>
    <t>5 1 1 3 2 12 31111 6 M78 16000 173 00I 001 13202 025 2111100 2024 00000000 003 001 016</t>
  </si>
  <si>
    <t>5 1 1 3 2 12 31111 6 M78 17000</t>
  </si>
  <si>
    <t>5 1 1 3 2 12 31111 6 M78 17000 172</t>
  </si>
  <si>
    <t>5 1 1 3 2 12 31111 6 M78 17000 172 00I</t>
  </si>
  <si>
    <t>5 1 1 3 2 12 31111 6 M78 17000 172 00I 001</t>
  </si>
  <si>
    <t>5 1 1 3 2 12 31111 6 M78 17000 172 00I 001 13202</t>
  </si>
  <si>
    <t>5 1 1 3 2 12 31111 6 M78 17000 172 00I 001 13202 025</t>
  </si>
  <si>
    <t>5 1 1 3 2 12 31111 6 M78 17000 172 00I 001 13202 025 2111100</t>
  </si>
  <si>
    <t>5 1 1 3 2 12 31111 6 M78 17000 172 00I 001 13202 025 2111100 2024</t>
  </si>
  <si>
    <t>5 1 1 3 2 12 31111 6 M78 17000 172 00I 001 13202 025 2111100 2024 00000000</t>
  </si>
  <si>
    <t>5 1 1 3 2 12 31111 6 M78 17000 172 00I 001 13202 025 2111100 2024 00000000 003</t>
  </si>
  <si>
    <t>5 1 1 3 2 12 31111 6 M78 17000 172 00I 001 13202 025 2111100 2024 00000000 003 001</t>
  </si>
  <si>
    <t>5 1 1 3 2 12 31111 6 M78 17000 172 00I 001 13202 025 2111100 2024 00000000 003 001 017</t>
  </si>
  <si>
    <t>5 1 1 3 4</t>
  </si>
  <si>
    <t>COMPENSACIONES</t>
  </si>
  <si>
    <t>5 1 1 3 4 12</t>
  </si>
  <si>
    <t>5 1 1 3 4 12 31111</t>
  </si>
  <si>
    <t>5 1 1 3 4 12 31111 6</t>
  </si>
  <si>
    <t>5 1 1 3 4 12 31111 6 M78</t>
  </si>
  <si>
    <t>5 1 1 3 4 12 31111 6 M78 03000</t>
  </si>
  <si>
    <t>5 1 1 3 4 12 31111 6 M78 03000 135</t>
  </si>
  <si>
    <t>5 1 1 3 4 12 31111 6 M78 03000 135 00I</t>
  </si>
  <si>
    <t>5 1 1 3 4 12 31111 6 M78 03000 135 00I 001</t>
  </si>
  <si>
    <t>5 1 1 3 4 12 31111 6 M78 03000 135 00I 001 13406</t>
  </si>
  <si>
    <t>COMPENSACIONES DE SERVICIOS.</t>
  </si>
  <si>
    <t>5 1 1 3 4 12 31111 6 M78 03000 135 00I 001 13406 025</t>
  </si>
  <si>
    <t>5 1 1 3 4 12 31111 6 M78 03000 135 00I 001 13406 025 2111100</t>
  </si>
  <si>
    <t>5 1 1 3 4 12 31111 6 M78 03000 135 00I 001 13406 025 2111100 2024</t>
  </si>
  <si>
    <t>5 1 1 3 4 12 31111 6 M78 03000 135 00I 001 13406 025 2111100 2024 00000000</t>
  </si>
  <si>
    <t>5 1 1 3 4 12 31111 6 M78 03000 135 00I 001 13406 025 2111100 2024 00000000 003</t>
  </si>
  <si>
    <t>5 1 1 3 4 12 31111 6 M78 03000 135 00I 001 13406 025 2111100 2024 00000000 003 001</t>
  </si>
  <si>
    <t>5 1 1 3 4 12 31111 6 M78 03000 135 00I 001 13406 025 2111100 2024 00000000 003 001 003</t>
  </si>
  <si>
    <t>COMPENSACION DE SERVICIOS</t>
  </si>
  <si>
    <t>5 1 1 3 4 12 31111 6 M78 04000</t>
  </si>
  <si>
    <t>5 1 1 3 4 12 31111 6 M78 04000 152</t>
  </si>
  <si>
    <t>5 1 1 3 4 12 31111 6 M78 04000 152 00I</t>
  </si>
  <si>
    <t>5 1 1 3 4 12 31111 6 M78 04000 152 00I 001</t>
  </si>
  <si>
    <t>5 1 1 3 4 12 31111 6 M78 04000 152 00I 001 13406</t>
  </si>
  <si>
    <t>5 1 1 3 4 12 31111 6 M78 04000 152 00I 001 13406 025</t>
  </si>
  <si>
    <t>5 1 1 3 4 12 31111 6 M78 04000 152 00I 001 13406 025 2111100</t>
  </si>
  <si>
    <t>5 1 1 3 4 12 31111 6 M78 04000 152 00I 001 13406 025 2111100 2024</t>
  </si>
  <si>
    <t>5 1 1 3 4 12 31111 6 M78 04000 152 00I 001 13406 025 2111100 2024 00000000</t>
  </si>
  <si>
    <t>5 1 1 3 4 12 31111 6 M78 04000 152 00I 001 13406 025 2111100 2024 00000000 003</t>
  </si>
  <si>
    <t>5 1 1 3 4 12 31111 6 M78 04000 152 00I 001 13406 025 2111100 2024 00000000 003 001</t>
  </si>
  <si>
    <t>5 1 1 3 4 12 31111 6 M78 04000 152 00I 001 13406 025 2111100 2024 00000000 003 001 004</t>
  </si>
  <si>
    <t>COMPENSACIONES DE SERVICIOS</t>
  </si>
  <si>
    <t>5 1 1 3 4 12 31111 6 M78 15000</t>
  </si>
  <si>
    <t>5 1 1 3 4 12 31111 6 M78 15000 171</t>
  </si>
  <si>
    <t>5 1 1 3 4 12 31111 6 M78 15000 171 00I</t>
  </si>
  <si>
    <t>5 1 1 3 4 12 31111 6 M78 15000 171 00I 001</t>
  </si>
  <si>
    <t>5 1 1 3 4 12 31111 6 M78 15000 171 00I 001 13406</t>
  </si>
  <si>
    <t>5 1 1 3 4 12 31111 6 M78 15000 171 00I 001 13406 025</t>
  </si>
  <si>
    <t>5 1 1 3 4 12 31111 6 M78 15000 171 00I 001 13406 025 2111100</t>
  </si>
  <si>
    <t>5 1 1 3 4 12 31111 6 M78 15000 171 00I 001 13406 025 2111100 2024</t>
  </si>
  <si>
    <t>5 1 1 3 4 12 31111 6 M78 15000 171 00I 001 13406 025 2111100 2024 00000000</t>
  </si>
  <si>
    <t>5 1 1 3 4 12 31111 6 M78 15000 171 00I 001 13406 025 2111100 2024 00000000 003</t>
  </si>
  <si>
    <t>5 1 1 3 4 12 31111 6 M78 15000 171 00I 001 13406 025 2111100 2024 00000000 003 001</t>
  </si>
  <si>
    <t>5 1 1 3 4 12 31111 6 M78 15000 171 00I 001 13406 025 2111100 2024 00000000 003 001 015</t>
  </si>
  <si>
    <t>5 1 1 3 4 12 31111 6 M78 16000</t>
  </si>
  <si>
    <t>5 1 1 3 4 12 31111 6 M78 16000 173</t>
  </si>
  <si>
    <t>5 1 1 3 4 12 31111 6 M78 16000 173 00I</t>
  </si>
  <si>
    <t>5 1 1 3 4 12 31111 6 M78 16000 173 00I 001</t>
  </si>
  <si>
    <t>5 1 1 3 4 12 31111 6 M78 16000 173 00I 001 13406</t>
  </si>
  <si>
    <t>5 1 1 3 4 12 31111 6 M78 16000 173 00I 001 13406 025</t>
  </si>
  <si>
    <t>5 1 1 3 4 12 31111 6 M78 16000 173 00I 001 13406 025 2111100</t>
  </si>
  <si>
    <t>5 1 1 3 4 12 31111 6 M78 16000 173 00I 001 13406 025 2111100 2024</t>
  </si>
  <si>
    <t>5 1 1 3 4 12 31111 6 M78 16000 173 00I 001 13406 025 2111100 2024 00000000</t>
  </si>
  <si>
    <t>5 1 1 3 4 12 31111 6 M78 16000 173 00I 001 13406 025 2111100 2024 00000000 003</t>
  </si>
  <si>
    <t>5 1 1 3 4 12 31111 6 M78 16000 173 00I 001 13406 025 2111100 2024 00000000 003 001</t>
  </si>
  <si>
    <t>5 1 1 3 4 12 31111 6 M78 16000 173 00I 001 13406 025 2111100 2024 00000000 003 001 016</t>
  </si>
  <si>
    <t>5 1 1 3 4 12 31111 6 M78 17000</t>
  </si>
  <si>
    <t>5 1 1 3 4 12 31111 6 M78 17000 172</t>
  </si>
  <si>
    <t>5 1 1 3 4 12 31111 6 M78 17000 172 00I</t>
  </si>
  <si>
    <t>5 1 1 3 4 12 31111 6 M78 17000 172 00I 001</t>
  </si>
  <si>
    <t>5 1 1 3 4 12 31111 6 M78 17000 172 00I 001 13403</t>
  </si>
  <si>
    <t>COMPENSACIONES POR SERVICIOS ESPECIALES.</t>
  </si>
  <si>
    <t>5 1 1 3 4 12 31111 6 M78 17000 172 00I 001 13403 025</t>
  </si>
  <si>
    <t>5 1 1 3 4 12 31111 6 M78 17000 172 00I 001 13403 025 2111100</t>
  </si>
  <si>
    <t>5 1 1 3 4 12 31111 6 M78 17000 172 00I 001 13403 025 2111100 2024</t>
  </si>
  <si>
    <t>5 1 1 3 4 12 31111 6 M78 17000 172 00I 001 13403 025 2111100 2024 00000000</t>
  </si>
  <si>
    <t>5 1 1 3 4 12 31111 6 M78 17000 172 00I 001 13403 025 2111100 2024 00000000 003</t>
  </si>
  <si>
    <t>5 1 1 3 4 12 31111 6 M78 17000 172 00I 001 13403 025 2111100 2024 00000000 003 001</t>
  </si>
  <si>
    <t>5 1 1 3 4 12 31111 6 M78 17000 172 00I 001 13403 025 2111100 2024 00000000 003 001 017</t>
  </si>
  <si>
    <t>COMPENSACIONES POR SERVICIOS ESPECIALES</t>
  </si>
  <si>
    <t>5 1 1 3 4 12 31111 6 M78 17000 172 00I 001 13406</t>
  </si>
  <si>
    <t>5 1 1 3 4 12 31111 6 M78 17000 172 00I 001 13406 025</t>
  </si>
  <si>
    <t>5 1 1 3 4 12 31111 6 M78 17000 172 00I 001 13406 025 2111100</t>
  </si>
  <si>
    <t>5 1 1 3 4 12 31111 6 M78 17000 172 00I 001 13406 025 2111100 2024</t>
  </si>
  <si>
    <t>5 1 1 3 4 12 31111 6 M78 17000 172 00I 001 13406 025 2111100 2024 00000000</t>
  </si>
  <si>
    <t>5 1 1 3 4 12 31111 6 M78 17000 172 00I 001 13406 025 2111100 2024 00000000 003</t>
  </si>
  <si>
    <t>5 1 1 3 4 12 31111 6 M78 17000 172 00I 001 13406 025 2111100 2024 00000000 003 001</t>
  </si>
  <si>
    <t>5 1 1 3 4 12 31111 6 M78 17000 172 00I 001 13406 025 2111100 2024 00000000 003 001 017</t>
  </si>
  <si>
    <t>5 1 1 5</t>
  </si>
  <si>
    <t>OTRAS PRESTACIONES SOCIALES Y ECONÓMICAS</t>
  </si>
  <si>
    <t>5 1 1 5 2</t>
  </si>
  <si>
    <t>INDEMNIZACIONES</t>
  </si>
  <si>
    <t>5 1 1 5 2 12</t>
  </si>
  <si>
    <t>5 1 1 5 2 12 31111</t>
  </si>
  <si>
    <t>5 1 1 5 2 12 31111 6</t>
  </si>
  <si>
    <t>5 1 1 5 2 12 31111 6 M78</t>
  </si>
  <si>
    <t>5 1 1 5 2 12 31111 6 M78 15000</t>
  </si>
  <si>
    <t>5 1 1 5 2 12 31111 6 M78 15000 171</t>
  </si>
  <si>
    <t>5 1 1 5 2 12 31111 6 M78 15000 171 00I</t>
  </si>
  <si>
    <t>5 1 1 5 2 12 31111 6 M78 15000 171 00I 001</t>
  </si>
  <si>
    <t>5 1 1 5 2 12 31111 6 M78 15000 171 00I 001 15202</t>
  </si>
  <si>
    <t>PAGO DE LIQUIDACIONES.</t>
  </si>
  <si>
    <t>5 1 1 5 2 12 31111 6 M78 15000 171 00I 001 15202 025</t>
  </si>
  <si>
    <t>5 1 1 5 2 12 31111 6 M78 15000 171 00I 001 15202 025 2111100</t>
  </si>
  <si>
    <t>5 1 1 5 2 12 31111 6 M78 15000 171 00I 001 15202 025 2111100 2024</t>
  </si>
  <si>
    <t>5 1 1 5 2 12 31111 6 M78 15000 171 00I 001 15202 025 2111100 2024 00000000</t>
  </si>
  <si>
    <t>5 1 1 5 2 12 31111 6 M78 15000 171 00I 001 15202 025 2111100 2024 00000000 003</t>
  </si>
  <si>
    <t>5 1 1 5 2 12 31111 6 M78 15000 171 00I 001 15202 025 2111100 2024 00000000 003 001</t>
  </si>
  <si>
    <t>PAGO DE LIQUIDACIONES</t>
  </si>
  <si>
    <t>5 1 1 6</t>
  </si>
  <si>
    <t>PAGO DE ESTÍMULOS A SERVIDORES PÚBLICOS</t>
  </si>
  <si>
    <t>5 1 1 6 1</t>
  </si>
  <si>
    <t>PREVISIONES DE CARÁCTER LABORAL, ECONÓMICA Y DE SEGURIDAD SOCIAL</t>
  </si>
  <si>
    <t>5 1 1 6 1 12</t>
  </si>
  <si>
    <t>5 1 1 6 1 12 31111</t>
  </si>
  <si>
    <t>5 1 1 6 1 12 31111 6</t>
  </si>
  <si>
    <t>5 1 1 6 1 12 31111 6 M78</t>
  </si>
  <si>
    <t>5 1 1 6 1 12 31111 6 M78 15000</t>
  </si>
  <si>
    <t>5 1 1 6 1 12 31111 6 M78 15000 171</t>
  </si>
  <si>
    <t>5 1 1 6 1 12 31111 6 M78 15000 171 00I</t>
  </si>
  <si>
    <t>5 1 1 6 1 12 31111 6 M78 15000 171 00I 001</t>
  </si>
  <si>
    <t>5 1 1 6 1 12 31111 6 M78 15000 171 00I 001 17102</t>
  </si>
  <si>
    <t>ESTIMULOS AL PERSONAL OPERATIVO.</t>
  </si>
  <si>
    <t>5 1 1 6 1 12 31111 6 M78 15000 171 00I 001 17102 025</t>
  </si>
  <si>
    <t>5 1 1 6 1 12 31111 6 M78 15000 171 00I 001 17102 025 2111100</t>
  </si>
  <si>
    <t>5 1 1 6 1 12 31111 6 M78 15000 171 00I 001 17102 025 2111100 2024</t>
  </si>
  <si>
    <t>5 1 1 6 1 12 31111 6 M78 15000 171 00I 001 17102 025 2111100 2024 00000000</t>
  </si>
  <si>
    <t>5 1 1 6 1 12 31111 6 M78 15000 171 00I 001 17102 025 2111100 2024 00000000 003</t>
  </si>
  <si>
    <t>5 1 1 6 1 12 31111 6 M78 15000 171 00I 001 17102 025 2111100 2024 00000000 003 002</t>
  </si>
  <si>
    <t>GRATIFICACIONES A COMISARIOS Y DELEGADOS DEL MUNICIPIO</t>
  </si>
  <si>
    <t>5 1 2</t>
  </si>
  <si>
    <t>MATERIALES Y SUMINISTROS</t>
  </si>
  <si>
    <t>5 1 2 1</t>
  </si>
  <si>
    <t>MATERIALES DE ADMINISTRACIÓN, EMISIÓN DE DOCUMENTOS Y ARTÍCULOS OFICIALES</t>
  </si>
  <si>
    <t>5 1 2 1 1</t>
  </si>
  <si>
    <t>MATERIALES, ÚTILES Y EQUIPOS MENORES DE OFICINA</t>
  </si>
  <si>
    <t>5 1 2 1 1 12</t>
  </si>
  <si>
    <t>5 1 2 1 1 12 31111</t>
  </si>
  <si>
    <t>5 1 2 1 1 12 31111 6</t>
  </si>
  <si>
    <t>5 1 2 1 1 12 31111 6 M78</t>
  </si>
  <si>
    <t>5 1 2 1 1 12 31111 6 M78 15000</t>
  </si>
  <si>
    <t>5 1 2 1 1 12 31111 6 M78 15000 171</t>
  </si>
  <si>
    <t>5 1 2 1 1 12 31111 6 M78 15000 171 00I</t>
  </si>
  <si>
    <t>5 1 2 1 1 12 31111 6 M78 15000 171 00I 001</t>
  </si>
  <si>
    <t>5 1 2 1 1 12 31111 6 M78 15000 171 00I 001 21101</t>
  </si>
  <si>
    <t>MATERIALES Y UTILES DE OFICINA.</t>
  </si>
  <si>
    <t>5 1 2 1 1 12 31111 6 M78 15000 171 00I 001 21101 025</t>
  </si>
  <si>
    <t>5 1 2 1 1 12 31111 6 M78 15000 171 00I 001 21101 025 2112000</t>
  </si>
  <si>
    <t>5 1 2 1 1 12 31111 6 M78 15000 171 00I 001 21101 025 2112000 2024</t>
  </si>
  <si>
    <t>5 1 2 1 1 12 31111 6 M78 15000 171 00I 001 21101 025 2112000 2024 00000000</t>
  </si>
  <si>
    <t>5 1 2 1 1 12 31111 6 M78 15000 171 00I 001 21101 025 2112000 2024 00000000 003</t>
  </si>
  <si>
    <t>5 1 2 1 1 12 31111 6 M78 15000 171 00I 001 21101 025 2112000 2024 00000000 003 001</t>
  </si>
  <si>
    <t>MATERIALES Y UTILES DE OFICINA</t>
  </si>
  <si>
    <t>5 1 2 1 2</t>
  </si>
  <si>
    <t>MATERIALES Y ÚTILES DE IMPRESIÓN Y REPRODUCCIÓN</t>
  </si>
  <si>
    <t>5 1 2 1 2 12</t>
  </si>
  <si>
    <t>5 1 2 1 2 12 31111</t>
  </si>
  <si>
    <t>5 1 2 1 2 12 31111 6</t>
  </si>
  <si>
    <t>5 1 2 1 2 12 31111 6 M78</t>
  </si>
  <si>
    <t>5 1 2 1 2 12 31111 6 M78 15000</t>
  </si>
  <si>
    <t>5 1 2 1 2 12 31111 6 M78 15000 171</t>
  </si>
  <si>
    <t>5 1 2 1 2 12 31111 6 M78 15000 171 00I</t>
  </si>
  <si>
    <t>5 1 2 1 2 12 31111 6 M78 15000 171 00I 001</t>
  </si>
  <si>
    <t>5 1 2 1 2 12 31111 6 M78 15000 171 00I 001 21201</t>
  </si>
  <si>
    <t>MATERIALES Y UTILES DE IMPRESION Y REPRODUCCION.</t>
  </si>
  <si>
    <t>5 1 2 1 2 12 31111 6 M78 15000 171 00I 001 21201 025</t>
  </si>
  <si>
    <t>5 1 2 1 2 12 31111 6 M78 15000 171 00I 001 21201 025 2112000</t>
  </si>
  <si>
    <t>5 1 2 1 2 12 31111 6 M78 15000 171 00I 001 21201 025 2112000 2024</t>
  </si>
  <si>
    <t>5 1 2 1 2 12 31111 6 M78 15000 171 00I 001 21201 025 2112000 2024 00000000</t>
  </si>
  <si>
    <t>5 1 2 1 2 12 31111 6 M78 15000 171 00I 001 21201 025 2112000 2024 00000000 003</t>
  </si>
  <si>
    <t>5 1 2 1 2 12 31111 6 M78 15000 171 00I 001 21201 025 2112000 2024 00000000 003 001</t>
  </si>
  <si>
    <t>MATERIALES Y UTILES DE IMPRESION Y REPRODUCCION</t>
  </si>
  <si>
    <t>5 1 2 1 4</t>
  </si>
  <si>
    <t>MATERIALES, ÚTILES Y EQUIPOS MENORES DE TECNOLOGÍAS DE LA INFORMACIÓN Y COMUNICACIONES</t>
  </si>
  <si>
    <t>5 1 2 1 4 12</t>
  </si>
  <si>
    <t>5 1 2 1 4 12 31111</t>
  </si>
  <si>
    <t>5 1 2 1 4 12 31111 6</t>
  </si>
  <si>
    <t>5 1 2 1 4 12 31111 6 M78</t>
  </si>
  <si>
    <t>5 1 2 1 4 12 31111 6 M78 15000</t>
  </si>
  <si>
    <t>5 1 2 1 4 12 31111 6 M78 15000 171</t>
  </si>
  <si>
    <t>5 1 2 1 4 12 31111 6 M78 15000 171 00I</t>
  </si>
  <si>
    <t>5 1 2 1 4 12 31111 6 M78 15000 171 00I 001</t>
  </si>
  <si>
    <t>5 1 2 1 4 12 31111 6 M78 15000 171 00I 001 21401</t>
  </si>
  <si>
    <t>MATERIALES Y UTILES PARA EL PROCESAMIENTO EN EQUIPOS Y BIENES INFORMATICOS.</t>
  </si>
  <si>
    <t>5 1 2 1 4 12 31111 6 M78 15000 171 00I 001 21401 025</t>
  </si>
  <si>
    <t>5 1 2 1 4 12 31111 6 M78 15000 171 00I 001 21401 025 2112000</t>
  </si>
  <si>
    <t>5 1 2 1 4 12 31111 6 M78 15000 171 00I 001 21401 025 2112000 2024</t>
  </si>
  <si>
    <t>5 1 2 1 4 12 31111 6 M78 15000 171 00I 001 21401 025 2112000 2024 00000000</t>
  </si>
  <si>
    <t>5 1 2 1 4 12 31111 6 M78 15000 171 00I 001 21401 025 2112000 2024 00000000 003</t>
  </si>
  <si>
    <t>5 1 2 1 4 12 31111 6 M78 15000 171 00I 001 21401 025 2112000 2024 00000000 003 001</t>
  </si>
  <si>
    <t>MATERIALES Y ÚTILES PARA EL PROCESAMIENTO EN EQUIPOS Y BIENES INFORMÁTICOS</t>
  </si>
  <si>
    <t>5 1 2 1 6</t>
  </si>
  <si>
    <t>MATERIAL DE LIMPIEZA</t>
  </si>
  <si>
    <t>5 1 2 1 6 12</t>
  </si>
  <si>
    <t>5 1 2 1 6 12 31111</t>
  </si>
  <si>
    <t>5 1 2 1 6 12 31111 6</t>
  </si>
  <si>
    <t>5 1 2 1 6 12 31111 6 M78</t>
  </si>
  <si>
    <t>5 1 2 1 6 12 31111 6 M78 15000</t>
  </si>
  <si>
    <t>5 1 2 1 6 12 31111 6 M78 15000 171</t>
  </si>
  <si>
    <t>5 1 2 1 6 12 31111 6 M78 15000 171 00I</t>
  </si>
  <si>
    <t>5 1 2 1 6 12 31111 6 M78 15000 171 00I 001</t>
  </si>
  <si>
    <t>5 1 2 1 6 12 31111 6 M78 15000 171 00I 001 21601</t>
  </si>
  <si>
    <t>MATERIAL DE LIMPIEZA.</t>
  </si>
  <si>
    <t>5 1 2 1 6 12 31111 6 M78 15000 171 00I 001 21601 025</t>
  </si>
  <si>
    <t>5 1 2 1 6 12 31111 6 M78 15000 171 00I 001 21601 025 2112000</t>
  </si>
  <si>
    <t>5 1 2 1 6 12 31111 6 M78 15000 171 00I 001 21601 025 2112000 2024</t>
  </si>
  <si>
    <t>5 1 2 1 6 12 31111 6 M78 15000 171 00I 001 21601 025 2112000 2024 00000000</t>
  </si>
  <si>
    <t>5 1 2 1 6 12 31111 6 M78 15000 171 00I 001 21601 025 2112000 2024 00000000 003</t>
  </si>
  <si>
    <t>5 1 2 1 6 12 31111 6 M78 15000 171 00I 001 21601 025 2112000 2024 00000000 003 001</t>
  </si>
  <si>
    <t>DE ASEO Y LIMPIEZA.</t>
  </si>
  <si>
    <t>5 1 2 2</t>
  </si>
  <si>
    <t>ALIMENTOS Y UTENSILIOS</t>
  </si>
  <si>
    <t>5 1 2 2 1</t>
  </si>
  <si>
    <t>PRODUCTOS ALIMENTICIOS PARA PERSONAS</t>
  </si>
  <si>
    <t>5 1 2 2 1 12</t>
  </si>
  <si>
    <t>5 1 2 2 1 12 31111</t>
  </si>
  <si>
    <t>5 1 2 2 1 12 31111 6</t>
  </si>
  <si>
    <t>5 1 2 2 1 12 31111 6 M78</t>
  </si>
  <si>
    <t>5 1 2 2 1 12 31111 6 M78 15000</t>
  </si>
  <si>
    <t>5 1 2 2 1 12 31111 6 M78 15000 171</t>
  </si>
  <si>
    <t>5 1 2 2 1 12 31111 6 M78 15000 171 00I</t>
  </si>
  <si>
    <t>5 1 2 2 1 12 31111 6 M78 15000 171 00I 001</t>
  </si>
  <si>
    <t>5 1 2 2 1 12 31111 6 M78 15000 171 00I 001 22104</t>
  </si>
  <si>
    <t>PRODUCTOS ALIMENTICIOS PARA EL PERSONAL EN LAS INSTALACIONES DE LAS DEPENDENCIAS Y ENTIDADES.</t>
  </si>
  <si>
    <t>5 1 2 2 1 12 31111 6 M78 15000 171 00I 001 22104 025</t>
  </si>
  <si>
    <t>5 1 2 2 1 12 31111 6 M78 15000 171 00I 001 22104 025 2112000</t>
  </si>
  <si>
    <t>5 1 2 2 1 12 31111 6 M78 15000 171 00I 001 22104 025 2112000 2024</t>
  </si>
  <si>
    <t>5 1 2 2 1 12 31111 6 M78 15000 171 00I 001 22104 025 2112000 2024 00000000</t>
  </si>
  <si>
    <t>5 1 2 2 1 12 31111 6 M78 15000 171 00I 001 22104 025 2112000 2024 00000000 003</t>
  </si>
  <si>
    <t>5 1 2 2 1 12 31111 6 M78 15000 171 00I 001 22104 025 2112000 2024 00000000 003 001</t>
  </si>
  <si>
    <t>PRODUCTOS ALIMENTICIOS PARA EL PERSONAL EN LAS INSTALACIONES DE LAS DEPENDENCIAS Y ENTIDADES</t>
  </si>
  <si>
    <t>5 1 2 4</t>
  </si>
  <si>
    <t>MATERIALES Y ARTÍCULOS DE CONSTRUCCIÓN Y DE REPARACIÓN</t>
  </si>
  <si>
    <t>5 1 2 4 6</t>
  </si>
  <si>
    <t>MATERIAL ELÉCTRICO Y ELECTRÓNICO</t>
  </si>
  <si>
    <t>5 1 2 4 6 12</t>
  </si>
  <si>
    <t>5 1 2 4 6 12 31111</t>
  </si>
  <si>
    <t>5 1 2 4 6 12 31111 6</t>
  </si>
  <si>
    <t>5 1 2 4 6 12 31111 6 M78</t>
  </si>
  <si>
    <t>5 1 2 4 6 12 31111 6 M78 15000</t>
  </si>
  <si>
    <t>5 1 2 4 6 12 31111 6 M78 15000 171</t>
  </si>
  <si>
    <t>5 1 2 4 6 12 31111 6 M78 15000 171 00I</t>
  </si>
  <si>
    <t>5 1 2 4 6 12 31111 6 M78 15000 171 00I 001</t>
  </si>
  <si>
    <t>5 1 2 4 6 12 31111 6 M78 15000 171 00I 001 24601</t>
  </si>
  <si>
    <t>MATERIAL ELECTRICO Y ELECTRONICO.</t>
  </si>
  <si>
    <t>5 1 2 4 6 12 31111 6 M78 15000 171 00I 001 24601 025</t>
  </si>
  <si>
    <t>5 1 2 4 6 12 31111 6 M78 15000 171 00I 001 24601 025 2112000</t>
  </si>
  <si>
    <t>5 1 2 4 6 12 31111 6 M78 15000 171 00I 001 24601 025 2112000 2024</t>
  </si>
  <si>
    <t>5 1 2 4 6 12 31111 6 M78 15000 171 00I 001 24601 025 2112000 2024 00000000</t>
  </si>
  <si>
    <t>5 1 2 4 6 12 31111 6 M78 15000 171 00I 001 24601 025 2112000 2024 00000000 003</t>
  </si>
  <si>
    <t>5 1 2 4 6 12 31111 6 M78 15000 171 00I 001 24601 025 2112000 2024 00000000 003 001</t>
  </si>
  <si>
    <t>MATERIALES ELECTRICOS</t>
  </si>
  <si>
    <t>5 1 2 4 9</t>
  </si>
  <si>
    <t>OTROS MATERIALES Y ARTÍCULOS DE CONSTRUCCIÓN Y REPARACIÓN</t>
  </si>
  <si>
    <t>5 1 2 4 9 12</t>
  </si>
  <si>
    <t>5 1 2 4 9 12 31111</t>
  </si>
  <si>
    <t>5 1 2 4 9 12 31111 6</t>
  </si>
  <si>
    <t>5 1 2 4 9 12 31111 6 M78</t>
  </si>
  <si>
    <t>5 1 2 4 9 12 31111 6 M78 15000</t>
  </si>
  <si>
    <t>5 1 2 4 9 12 31111 6 M78 15000 171</t>
  </si>
  <si>
    <t>5 1 2 4 9 12 31111 6 M78 15000 171 00I</t>
  </si>
  <si>
    <t>5 1 2 4 9 12 31111 6 M78 15000 171 00I 001</t>
  </si>
  <si>
    <t>5 1 2 4 9 12 31111 6 M78 15000 171 00I 001 24901</t>
  </si>
  <si>
    <t>OTROS MATERIALES Y ARTICULOS DE CONSTRUCCION Y REPARACION.</t>
  </si>
  <si>
    <t>5 1 2 4 9 12 31111 6 M78 15000 171 00I 001 24901 025</t>
  </si>
  <si>
    <t>5 1 2 4 9 12 31111 6 M78 15000 171 00I 001 24901 025 2112000</t>
  </si>
  <si>
    <t>5 1 2 4 9 12 31111 6 M78 15000 171 00I 001 24901 025 2112000 2024</t>
  </si>
  <si>
    <t>5 1 2 4 9 12 31111 6 M78 15000 171 00I 001 24901 025 2112000 2024 00000000</t>
  </si>
  <si>
    <t>5 1 2 4 9 12 31111 6 M78 15000 171 00I 001 24901 025 2112000 2024 00000000 003</t>
  </si>
  <si>
    <t>5 1 2 4 9 12 31111 6 M78 15000 171 00I 001 24901 025 2112000 2024 00000000 003 001</t>
  </si>
  <si>
    <t>OTROS MATERIALES Y ARTICULOS DE CONSTRUCCIÓN Y REPARACIÓN</t>
  </si>
  <si>
    <t>5 1 2 5</t>
  </si>
  <si>
    <t>PRODUCTOS QUÍMICOS, FARMACÉUTICOS Y DE LABORATORIO</t>
  </si>
  <si>
    <t>5 1 2 5 4</t>
  </si>
  <si>
    <t>MATERIALES, ACCESORIOS Y SUMINISTROS MÉDICOS</t>
  </si>
  <si>
    <t>5 1 2 5 4 12</t>
  </si>
  <si>
    <t>5 1 2 5 4 12 31111</t>
  </si>
  <si>
    <t>5 1 2 5 4 12 31111 6</t>
  </si>
  <si>
    <t>5 1 2 5 4 12 31111 6 M78</t>
  </si>
  <si>
    <t>5 1 2 5 4 12 31111 6 M78 15000</t>
  </si>
  <si>
    <t>5 1 2 5 4 12 31111 6 M78 15000 171</t>
  </si>
  <si>
    <t>5 1 2 5 4 12 31111 6 M78 15000 171 00I</t>
  </si>
  <si>
    <t>5 1 2 5 4 12 31111 6 M78 15000 171 00I 001</t>
  </si>
  <si>
    <t>5 1 2 5 4 12 31111 6 M78 15000 171 00I 001 25401</t>
  </si>
  <si>
    <t>5 1 2 5 4 12 31111 6 M78 15000 171 00I 001 25401 025</t>
  </si>
  <si>
    <t>RECURSOS FEDERALES</t>
  </si>
  <si>
    <t>5 1 2 5 4 12 31111 6 M78 15000 171 00I 001 25401 025 2112000</t>
  </si>
  <si>
    <t>5 1 2 5 4 12 31111 6 M78 15000 171 00I 001 25401 025 2112000 2024</t>
  </si>
  <si>
    <t>5 1 2 5 4 12 31111 6 M78 15000 171 00I 001 25401 025 2112000 2024 00000000</t>
  </si>
  <si>
    <t>5 1 2 5 4 12 31111 6 M78 15000 171 00I 001 25401 025 2112000 2024 00000000 003</t>
  </si>
  <si>
    <t>SEGURIDAD PÚBLICA</t>
  </si>
  <si>
    <t>5 1 2 5 4 12 31111 6 M78 15000 171 00I 001 25401 025 2112000 2024 00000000 003 001</t>
  </si>
  <si>
    <t>5 1 2 5 9</t>
  </si>
  <si>
    <t>OTROS PRODUCTOS QUÍMICOS</t>
  </si>
  <si>
    <t>5 1 2 5 9 12</t>
  </si>
  <si>
    <t>5 1 2 5 9 12 31111</t>
  </si>
  <si>
    <t>5 1 2 5 9 12 31111 6</t>
  </si>
  <si>
    <t>5 1 2 5 9 12 31111 6 M78</t>
  </si>
  <si>
    <t>5 1 2 5 9 12 31111 6 M78 15000</t>
  </si>
  <si>
    <t>5 1 2 5 9 12 31111 6 M78 15000 171</t>
  </si>
  <si>
    <t>5 1 2 5 9 12 31111 6 M78 15000 171 00I</t>
  </si>
  <si>
    <t>5 1 2 5 9 12 31111 6 M78 15000 171 00I 001</t>
  </si>
  <si>
    <t>5 1 2 5 9 12 31111 6 M78 15000 171 00I 001 25901</t>
  </si>
  <si>
    <t>OTROS PRODUCTOS QUIMICOS.</t>
  </si>
  <si>
    <t>5 1 2 5 9 12 31111 6 M78 15000 171 00I 001 25901 025</t>
  </si>
  <si>
    <t>5 1 2 5 9 12 31111 6 M78 15000 171 00I 001 25901 025 2112000</t>
  </si>
  <si>
    <t>5 1 2 5 9 12 31111 6 M78 15000 171 00I 001 25901 025 2112000 2024</t>
  </si>
  <si>
    <t>5 1 2 5 9 12 31111 6 M78 15000 171 00I 001 25901 025 2112000 2024 00000000</t>
  </si>
  <si>
    <t>5 1 2 5 9 12 31111 6 M78 15000 171 00I 001 25901 025 2112000 2024 00000000 003</t>
  </si>
  <si>
    <t>5 1 2 5 9 12 31111 6 M78 15000 171 00I 001 25901 025 2112000 2024 00000000 003 001</t>
  </si>
  <si>
    <t>OTROS PRODUCTOS QUIMICOS</t>
  </si>
  <si>
    <t>5 1 2 6</t>
  </si>
  <si>
    <t>COMBUSTIBLES, LUBRICANTES Y ADITIVOS</t>
  </si>
  <si>
    <t>5 1 2 6 1</t>
  </si>
  <si>
    <t>5 1 2 6 1 12</t>
  </si>
  <si>
    <t>5 1 2 6 1 12 31111</t>
  </si>
  <si>
    <t>5 1 2 6 1 12 31111 6</t>
  </si>
  <si>
    <t>5 1 2 6 1 12 31111 6 M78</t>
  </si>
  <si>
    <t>5 1 2 6 1 12 31111 6 M78 15000</t>
  </si>
  <si>
    <t>5 1 2 6 1 12 31111 6 M78 15000 171</t>
  </si>
  <si>
    <t>5 1 2 6 1 12 31111 6 M78 15000 171 00I</t>
  </si>
  <si>
    <t>5 1 2 6 1 12 31111 6 M78 15000 171 00I 001</t>
  </si>
  <si>
    <t>5 1 2 6 1 12 31111 6 M78 15000 171 00I 001 26101</t>
  </si>
  <si>
    <t>COMBUSTIBLES, LUBRICANTES Y ADITIVOS PARA VEHICULOS TERRESTRES, AEREOS, MARITIMOS, LACUSTRES Y FLUVIALES DESTINADOS A LA EJECUCION DE PROGRAMAS DE SEGURIDAD PUBLICA Y NACIONAL.</t>
  </si>
  <si>
    <t>5 1 2 6 1 12 31111 6 M78 15000 171 00I 001 26101 025</t>
  </si>
  <si>
    <t>5 1 2 6 1 12 31111 6 M78 15000 171 00I 001 26101 025 2112000</t>
  </si>
  <si>
    <t>5 1 2 6 1 12 31111 6 M78 15000 171 00I 001 26101 025 2112000 2024</t>
  </si>
  <si>
    <t>5 1 2 6 1 12 31111 6 M78 15000 171 00I 001 26101 025 2112000 2024 00000000</t>
  </si>
  <si>
    <t>5 1 2 6 1 12 31111 6 M78 15000 171 00I 001 26101 025 2112000 2024 00000000 003</t>
  </si>
  <si>
    <t>5 1 2 6 1 12 31111 6 M78 15000 171 00I 001 26101 025 2112000 2024 00000000 003 001</t>
  </si>
  <si>
    <t>COMBUSTIBLE,  LUBRICANTES Y ADITIVOS DESTINADOS A PROGRAMAS DE SEGURIDAD PÚBLICA</t>
  </si>
  <si>
    <t>5 1 2 7</t>
  </si>
  <si>
    <t>VESTUARIO, BLANCOS, PRENDAS DE PROTECCIÓN Y ARTÍCULOS DEPORTIVOS</t>
  </si>
  <si>
    <t>5 1 2 7 1</t>
  </si>
  <si>
    <t>VESTUARIO Y UNIFORMES</t>
  </si>
  <si>
    <t>5 1 2 7 1 12</t>
  </si>
  <si>
    <t>5 1 2 7 1 12 31111</t>
  </si>
  <si>
    <t>5 1 2 7 1 12 31111 6</t>
  </si>
  <si>
    <t>5 1 2 7 1 12 31111 6 M78</t>
  </si>
  <si>
    <t>5 1 2 7 1 12 31111 6 M78 15000</t>
  </si>
  <si>
    <t>5 1 2 7 1 12 31111 6 M78 15000 171</t>
  </si>
  <si>
    <t>5 1 2 7 1 12 31111 6 M78 15000 171 00I</t>
  </si>
  <si>
    <t>5 1 2 7 1 12 31111 6 M78 15000 171 00I 001</t>
  </si>
  <si>
    <t>5 1 2 7 1 12 31111 6 M78 15000 171 00I 001 27101</t>
  </si>
  <si>
    <t>VESTUARIO Y UNIFORMES.</t>
  </si>
  <si>
    <t>5 1 2 7 1 12 31111 6 M78 15000 171 00I 001 27101 025</t>
  </si>
  <si>
    <t>5 1 2 7 1 12 31111 6 M78 15000 171 00I 001 27101 025 2112000</t>
  </si>
  <si>
    <t>5 1 2 7 1 12 31111 6 M78 15000 171 00I 001 27101 025 2112000 2024</t>
  </si>
  <si>
    <t>5 1 2 7 1 12 31111 6 M78 15000 171 00I 001 27101 025 2112000 2024 00000000</t>
  </si>
  <si>
    <t>5 1 2 7 1 12 31111 6 M78 15000 171 00I 001 27101 025 2112000 2024 00000000 003</t>
  </si>
  <si>
    <t>5 1 2 7 1 12 31111 6 M78 15000 171 00I 001 27101 025 2112000 2024 00000000 003 001</t>
  </si>
  <si>
    <t>5 1 2 7 2</t>
  </si>
  <si>
    <t>PRENDAS DE SEGURIDAD Y PROTECCIÓN PERSONAL</t>
  </si>
  <si>
    <t>5 1 2 7 2 12</t>
  </si>
  <si>
    <t>5 1 2 7 2 12 31111</t>
  </si>
  <si>
    <t>5 1 2 7 2 12 31111 6</t>
  </si>
  <si>
    <t>5 1 2 7 2 12 31111 6 M78</t>
  </si>
  <si>
    <t>5 1 2 7 2 12 31111 6 M78 15000</t>
  </si>
  <si>
    <t>5 1 2 7 2 12 31111 6 M78 15000 171</t>
  </si>
  <si>
    <t>5 1 2 7 2 12 31111 6 M78 15000 171 00I</t>
  </si>
  <si>
    <t>5 1 2 7 2 12 31111 6 M78 15000 171 00I 001</t>
  </si>
  <si>
    <t>5 1 2 7 2 12 31111 6 M78 15000 171 00I 001 27201</t>
  </si>
  <si>
    <t>PRENDAS DE PROTECCION PERSONAL.</t>
  </si>
  <si>
    <t>5 1 2 7 2 12 31111 6 M78 15000 171 00I 001 27201 025</t>
  </si>
  <si>
    <t>5 1 2 7 2 12 31111 6 M78 15000 171 00I 001 27201 025 2112000</t>
  </si>
  <si>
    <t>5 1 2 7 2 12 31111 6 M78 15000 171 00I 001 27201 025 2112000 2024</t>
  </si>
  <si>
    <t>5 1 2 7 2 12 31111 6 M78 15000 171 00I 001 27201 025 2112000 2024 00000000</t>
  </si>
  <si>
    <t>5 1 2 7 2 12 31111 6 M78 15000 171 00I 001 27201 025 2112000 2024 00000000 003</t>
  </si>
  <si>
    <t>5 1 2 7 2 12 31111 6 M78 15000 171 00I 001 27201 025 2112000 2024 00000000 003 001</t>
  </si>
  <si>
    <t>PRENDAS DE SEGURIDAD Y PROTECCION PERSONAL</t>
  </si>
  <si>
    <t>5 1 3</t>
  </si>
  <si>
    <t>SERVICIOS GENERALES</t>
  </si>
  <si>
    <t>5 1 3 1</t>
  </si>
  <si>
    <t>SERVICIOS BÁSICOS</t>
  </si>
  <si>
    <t>5 1 3 1 1</t>
  </si>
  <si>
    <t>ENERGÍA ELÉCTRICA</t>
  </si>
  <si>
    <t>5 1 3 1 1 12</t>
  </si>
  <si>
    <t>5 1 3 1 1 12 31111</t>
  </si>
  <si>
    <t>5 1 3 1 1 12 31111 6</t>
  </si>
  <si>
    <t>5 1 3 1 1 12 31111 6 M78</t>
  </si>
  <si>
    <t>5 1 3 1 1 12 31111 6 M78 15000</t>
  </si>
  <si>
    <t>5 1 3 1 1 12 31111 6 M78 15000 171</t>
  </si>
  <si>
    <t>5 1 3 1 1 12 31111 6 M78 15000 171 00I</t>
  </si>
  <si>
    <t>5 1 3 1 1 12 31111 6 M78 15000 171 00I 001</t>
  </si>
  <si>
    <t>5 1 3 1 1 12 31111 6 M78 15000 171 00I 001 31101</t>
  </si>
  <si>
    <t>SERVICIO DE ENERGIA ELECTRICA.</t>
  </si>
  <si>
    <t>5 1 3 1 1 12 31111 6 M78 15000 171 00I 001 31101 025</t>
  </si>
  <si>
    <t>5 1 3 1 1 12 31111 6 M78 15000 171 00I 001 31101 025 2112000</t>
  </si>
  <si>
    <t>5 1 3 1 1 12 31111 6 M78 15000 171 00I 001 31101 025 2112000 2024</t>
  </si>
  <si>
    <t>5 1 3 1 1 12 31111 6 M78 15000 171 00I 001 31101 025 2112000 2024 00000000</t>
  </si>
  <si>
    <t>5 1 3 1 1 12 31111 6 M78 15000 171 00I 001 31101 025 2112000 2024 00000000 003</t>
  </si>
  <si>
    <t>5 1 3 1 1 12 31111 6 M78 15000 171 00I 001 31101 025 2112000 2024 00000000 003 001</t>
  </si>
  <si>
    <t>ENERGIA ELECTRICA</t>
  </si>
  <si>
    <t>5 1 3 1 1 12 31111 6 M78 15000 171 00I 001 31101 025 2112000 2024 00000000 003 002</t>
  </si>
  <si>
    <t>ALUMBRADO PUBLICO</t>
  </si>
  <si>
    <t>5 1 3 1 7</t>
  </si>
  <si>
    <t>SERVICIOS DE ACCESO DE INTERNET, REDES Y PROCESAMIENTO DE INFORMACIÓN</t>
  </si>
  <si>
    <t>5 1 3 1 7 12</t>
  </si>
  <si>
    <t>5 1 3 1 7 12 31111</t>
  </si>
  <si>
    <t>5 1 3 1 7 12 31111 6</t>
  </si>
  <si>
    <t>5 1 3 1 7 12 31111 6 M78</t>
  </si>
  <si>
    <t>5 1 3 1 7 12 31111 6 M78 15000</t>
  </si>
  <si>
    <t>5 1 3 1 7 12 31111 6 M78 15000 171</t>
  </si>
  <si>
    <t>5 1 3 1 7 12 31111 6 M78 15000 171 00I</t>
  </si>
  <si>
    <t>5 1 3 1 7 12 31111 6 M78 15000 171 00I 001</t>
  </si>
  <si>
    <t>5 1 3 1 7 12 31111 6 M78 15000 171 00I 001 31701</t>
  </si>
  <si>
    <t>SERVICIOS DE CONDUCCION DE SEÑALES ANALOGICAS Y DIGITALES.</t>
  </si>
  <si>
    <t>5 1 3 1 7 12 31111 6 M78 15000 171 00I 001 31701 025</t>
  </si>
  <si>
    <t>5 1 3 1 7 12 31111 6 M78 15000 171 00I 001 31701 025 2112000</t>
  </si>
  <si>
    <t>5 1 3 1 7 12 31111 6 M78 15000 171 00I 001 31701 025 2112000 2024</t>
  </si>
  <si>
    <t>5 1 3 1 7 12 31111 6 M78 15000 171 00I 001 31701 025 2112000 2024 00000000</t>
  </si>
  <si>
    <t>5 1 3 1 7 12 31111 6 M78 15000 171 00I 001 31701 025 2112000 2024 00000000 003</t>
  </si>
  <si>
    <t>5 1 3 1 7 12 31111 6 M78 15000 171 00I 001 31701 025 2112000 2024 00000000 003 001</t>
  </si>
  <si>
    <t>SERVICIO DE ACCESO A INTERNET REDES Y PROCESAMIENTO DE INFORMACION</t>
  </si>
  <si>
    <t>5 1 3 3</t>
  </si>
  <si>
    <t>SERVICIOS PROFESIONALES, CIENTÍFICOS Y TÉCNICOS Y OTROS SERVICIOS</t>
  </si>
  <si>
    <t>5 1 3 3 4</t>
  </si>
  <si>
    <t>SERVICIOS DE CAPACITACIÓN</t>
  </si>
  <si>
    <t>5 1 3 3 4 12</t>
  </si>
  <si>
    <t>5 1 3 3 4 12 31111</t>
  </si>
  <si>
    <t>5 1 3 3 4 12 31111 6</t>
  </si>
  <si>
    <t>5 1 3 3 4 12 31111 6 M78</t>
  </si>
  <si>
    <t>5 1 3 3 4 12 31111 6 M78 15000</t>
  </si>
  <si>
    <t>5 1 3 3 4 12 31111 6 M78 15000 171</t>
  </si>
  <si>
    <t>5 1 3 3 4 12 31111 6 M78 15000 171 00I</t>
  </si>
  <si>
    <t>5 1 3 3 4 12 31111 6 M78 15000 171 00I 001</t>
  </si>
  <si>
    <t>5 1 3 3 4 12 31111 6 M78 15000 171 00I 001 33401</t>
  </si>
  <si>
    <t>SERVICIO PARA CAPACITACIÓN A SERVIDORES PÚBLICOS</t>
  </si>
  <si>
    <t>5 1 3 3 4 12 31111 6 M78 15000 171 00I 001 33401 025</t>
  </si>
  <si>
    <t>25.- RECURSOS FEDERALES</t>
  </si>
  <si>
    <t>5 1 3 3 4 12 31111 6 M78 15000 171 00I 001 33401 025 2112000</t>
  </si>
  <si>
    <t>5 1 3 3 4 12 31111 6 M78 15000 171 00I 001 33401 025 2112000 2024</t>
  </si>
  <si>
    <t>5 1 3 3 4 12 31111 6 M78 15000 171 00I 001 33401 025 2112000 2024 00000000</t>
  </si>
  <si>
    <t>5 1 3 3 4 12 31111 6 M78 15000 171 00I 001 33401 025 2112000 2024 00000000 003</t>
  </si>
  <si>
    <t>5 1 3 3 4 12 31111 6 M78 15000 171 00I 001 33401 025 2112000 2024 00000000 003 001</t>
  </si>
  <si>
    <t>SERVICIOS PARA CAPACITACIÓN A SERVIDORES PÚBLICOS</t>
  </si>
  <si>
    <t>5 1 3 3 6</t>
  </si>
  <si>
    <t>SERVICIOS DE APOYO ADMINISTRATIVO, TRADUCCIÓN, FOTOCOPIADO E IMPRESIÓN</t>
  </si>
  <si>
    <t>5 1 3 3 6 12</t>
  </si>
  <si>
    <t>5 1 3 3 6 12 31111</t>
  </si>
  <si>
    <t>5 1 3 3 6 12 31111 6</t>
  </si>
  <si>
    <t>5 1 3 3 6 12 31111 6 M78</t>
  </si>
  <si>
    <t>5 1 3 3 6 12 31111 6 M78 15000</t>
  </si>
  <si>
    <t>5 1 3 3 6 12 31111 6 M78 15000 171</t>
  </si>
  <si>
    <t>5 1 3 3 6 12 31111 6 M78 15000 171 00I</t>
  </si>
  <si>
    <t>5 1 3 3 6 12 31111 6 M78 15000 171 00I 001</t>
  </si>
  <si>
    <t>5 1 3 3 6 12 31111 6 M78 15000 171 00I 001 33604</t>
  </si>
  <si>
    <t>IMPRESION Y ELABORACION DE MATERIAL INFORMATIVO DERIVADO DE LA OPERACION Y ADMINISTRACION DE LAS DEPENDENCIAS Y ENTIDADES.</t>
  </si>
  <si>
    <t>5 1 3 3 6 12 31111 6 M78 15000 171 00I 001 33604 025</t>
  </si>
  <si>
    <t>5 1 3 3 6 12 31111 6 M78 15000 171 00I 001 33604 025 2112000</t>
  </si>
  <si>
    <t>5 1 3 3 6 12 31111 6 M78 15000 171 00I 001 33604 025 2112000 2024</t>
  </si>
  <si>
    <t>5 1 3 3 6 12 31111 6 M78 15000 171 00I 001 33604 025 2112000 2024 00000000</t>
  </si>
  <si>
    <t>5 1 3 3 6 12 31111 6 M78 15000 171 00I 001 33604 025 2112000 2024 00000000 003</t>
  </si>
  <si>
    <t>5 1 3 3 6 12 31111 6 M78 15000 171 00I 001 33604 025 2112000 2024 00000000 003 001</t>
  </si>
  <si>
    <t>IMPRESION Y ELABORACION DE MATERIAL INFORMATIVO DERIVADO DE LA OPERACION Y ADMINISTRACION DE LAS DEPENDENCIAS Y ENTIDADES</t>
  </si>
  <si>
    <t>5 1 3 4</t>
  </si>
  <si>
    <t>SERVICIOS FINANCIEROS, BANCARIOS Y COMERCIALES</t>
  </si>
  <si>
    <t>5 1 3 4 1</t>
  </si>
  <si>
    <t>SERVICIOS FINANCIEROS Y BANCARIOS</t>
  </si>
  <si>
    <t>5 1 3 4 1 12</t>
  </si>
  <si>
    <t>5 1 3 4 1 12 31111</t>
  </si>
  <si>
    <t>5 1 3 4 1 12 31111 6</t>
  </si>
  <si>
    <t>5 1 3 4 1 12 31111 6 M78</t>
  </si>
  <si>
    <t>5 1 3 4 1 12 31111 6 M78 15000</t>
  </si>
  <si>
    <t>5 1 3 4 1 12 31111 6 M78 15000 171</t>
  </si>
  <si>
    <t>5 1 3 4 1 12 31111 6 M78 15000 171 00I</t>
  </si>
  <si>
    <t>5 1 3 4 1 12 31111 6 M78 15000 171 00I 001</t>
  </si>
  <si>
    <t>5 1 3 4 1 12 31111 6 M78 15000 171 00I 001 34101</t>
  </si>
  <si>
    <t>SERVICIOS BANCARIOS Y FINANCIEROS.</t>
  </si>
  <si>
    <t>5 1 3 4 1 12 31111 6 M78 15000 171 00I 001 34101 025</t>
  </si>
  <si>
    <t>5 1 3 4 1 12 31111 6 M78 15000 171 00I 001 34101 025 2112000</t>
  </si>
  <si>
    <t>5 1 3 4 1 12 31111 6 M78 15000 171 00I 001 34101 025 2112000 2024</t>
  </si>
  <si>
    <t>5 1 3 4 1 12 31111 6 M78 15000 171 00I 001 34101 025 2112000 2024 00000000</t>
  </si>
  <si>
    <t>5 1 3 4 1 12 31111 6 M78 15000 171 00I 001 34101 025 2112000 2024 00000000 003</t>
  </si>
  <si>
    <t>5 1 3 4 1 12 31111 6 M78 15000 171 00I 001 34101 025 2112000 2024 00000000 003 001</t>
  </si>
  <si>
    <t>SERVICIOS BANCARIOS Y FINANCIEROS</t>
  </si>
  <si>
    <t>5 1 3 5</t>
  </si>
  <si>
    <t>SERVICIOS DE INSTALACIÓN, REPARACIÓN, MANTENIMIENTO Y CONSERVACIÓN</t>
  </si>
  <si>
    <t>5 1 3 5 3</t>
  </si>
  <si>
    <t>INSTALACIÓN, REPARACIÓN Y MANTENIMIENTO DE EQUIPO DE CÓMPUTO Y TECNOLOGÍA DE LA INFORMACIÓN</t>
  </si>
  <si>
    <t>5 1 3 5 3 12</t>
  </si>
  <si>
    <t>5 1 3 5 3 12 31111</t>
  </si>
  <si>
    <t>5 1 3 5 3 12 31111 6</t>
  </si>
  <si>
    <t>5 1 3 5 3 12 31111 6 M78</t>
  </si>
  <si>
    <t>5 1 3 5 3 12 31111 6 M78 15000</t>
  </si>
  <si>
    <t>5 1 3 5 3 12 31111 6 M78 15000 171</t>
  </si>
  <si>
    <t>5 1 3 5 3 12 31111 6 M78 15000 171 00I</t>
  </si>
  <si>
    <t>5 1 3 5 3 12 31111 6 M78 15000 171 00I 001</t>
  </si>
  <si>
    <t>5 1 3 5 3 12 31111 6 M78 15000 171 00I 001 35301</t>
  </si>
  <si>
    <t>MANTENIMIENTO Y CONSERVACION DE BIENES INFORMATICOS.</t>
  </si>
  <si>
    <t>5 1 3 5 3 12 31111 6 M78 15000 171 00I 001 35301 025</t>
  </si>
  <si>
    <t>5 1 3 5 3 12 31111 6 M78 15000 171 00I 001 35301 025 2112000</t>
  </si>
  <si>
    <t>5 1 3 5 3 12 31111 6 M78 15000 171 00I 001 35301 025 2112000 2024</t>
  </si>
  <si>
    <t>5 1 3 5 3 12 31111 6 M78 15000 171 00I 001 35301 025 2112000 2024 00000000</t>
  </si>
  <si>
    <t>5 1 3 5 3 12 31111 6 M78 15000 171 00I 001 35301 025 2112000 2024 00000000 003</t>
  </si>
  <si>
    <t>5 1 3 5 3 12 31111 6 M78 15000 171 00I 001 35301 025 2112000 2024 00000000 003 001</t>
  </si>
  <si>
    <t>DE EQUIPO DE COMPUTO Y ACCESORIOS.</t>
  </si>
  <si>
    <t>5 1 3 5 3 12 31111 6 M78 15000 171 00I 001 35301 025 2112000 2024 00000000 003 002</t>
  </si>
  <si>
    <t>DE EQUIPO DE RADIO Y COMUNICACION</t>
  </si>
  <si>
    <t>5 1 3 5 5</t>
  </si>
  <si>
    <t>REPARACIÓN Y MANTENIMIENTO DE EQUIPO DE TRANSPORTE</t>
  </si>
  <si>
    <t>5 1 3 5 5 12</t>
  </si>
  <si>
    <t>5 1 3 5 5 12 31111</t>
  </si>
  <si>
    <t>5 1 3 5 5 12 31111 6</t>
  </si>
  <si>
    <t>5 1 3 5 5 12 31111 6 M78</t>
  </si>
  <si>
    <t>5 1 3 5 5 12 31111 6 M78 15000</t>
  </si>
  <si>
    <t>5 1 3 5 5 12 31111 6 M78 15000 171</t>
  </si>
  <si>
    <t>5 1 3 5 5 12 31111 6 M78 15000 171 00I</t>
  </si>
  <si>
    <t>5 1 3 5 5 12 31111 6 M78 15000 171 00I 001</t>
  </si>
  <si>
    <t>5 1 3 5 5 12 31111 6 M78 15000 171 00I 001 35501</t>
  </si>
  <si>
    <t>MANTENIMIENTO Y CONSERVACION DE VEHICULOS TERRESTRES, AEREOS, MARITIMOS, LACUSTRES Y FLUVIALES.</t>
  </si>
  <si>
    <t>5 1 3 5 5 12 31111 6 M78 15000 171 00I 001 35501 025</t>
  </si>
  <si>
    <t>5 1 3 5 5 12 31111 6 M78 15000 171 00I 001 35501 025 2112000</t>
  </si>
  <si>
    <t>5 1 3 5 5 12 31111 6 M78 15000 171 00I 001 35501 025 2112000 2024</t>
  </si>
  <si>
    <t>5 1 3 5 5 12 31111 6 M78 15000 171 00I 001 35501 025 2112000 2024 00000000</t>
  </si>
  <si>
    <t>5 1 3 5 5 12 31111 6 M78 15000 171 00I 001 35501 025 2112000 2024 00000000 003</t>
  </si>
  <si>
    <t>5 1 3 5 5 12 31111 6 M78 15000 171 00I 001 35501 025 2112000 2024 00000000 003 001</t>
  </si>
  <si>
    <t>MANTENIMIENTO Y CONSERVACION DE VEHICULOS</t>
  </si>
  <si>
    <t>5 2</t>
  </si>
  <si>
    <t>TRANSFERENCIAS, ASIGNACIONES, SUBSIDIOS Y OTRAS AYUDAS</t>
  </si>
  <si>
    <t>5 2 1</t>
  </si>
  <si>
    <t>TRANSFERENCIAS INTERNAS Y ASIGNACIONES AL SECTOR PÚBLICO</t>
  </si>
  <si>
    <t>5 2 2</t>
  </si>
  <si>
    <t>TRANSFERENCIAS AL RESTO DEL SECTOR PÚBLICO</t>
  </si>
  <si>
    <t>5 2 3</t>
  </si>
  <si>
    <t>SUBSIDIOS Y SUBVENCIONES</t>
  </si>
  <si>
    <t>5 2 4</t>
  </si>
  <si>
    <t>5 2 4 1</t>
  </si>
  <si>
    <t>5 2 4 1 1</t>
  </si>
  <si>
    <t>5 2 4 1 1 12</t>
  </si>
  <si>
    <t>5 2 4 1 1 12 31111</t>
  </si>
  <si>
    <t>5 2 4 1 1 12 31111 6</t>
  </si>
  <si>
    <t>5 2 4 1 1 12 31111 6 M78</t>
  </si>
  <si>
    <t>5 2 4 1 1 12 31111 6 M78 15000</t>
  </si>
  <si>
    <t>5 2 4 1 1 12 31111 6 M78 15000 171</t>
  </si>
  <si>
    <t>5 2 4 1 1 12 31111 6 M78 15000 171 00I</t>
  </si>
  <si>
    <t>5 2 4 1 1 12 31111 6 M78 15000 171 00I 001</t>
  </si>
  <si>
    <t>5 2 4 1 1 12 31111 6 M78 15000 171 00I 001 52411</t>
  </si>
  <si>
    <t>5 2 4 1 1 12 31111 6 M78 15000 171 00I 001 52411 025</t>
  </si>
  <si>
    <t>5 2 4 1 1 12 31111 6 M78 15000 171 00I 001 52411 025 2151100</t>
  </si>
  <si>
    <t>AYUDAS A PERSONAS</t>
  </si>
  <si>
    <t>5 2 4 1 1 12 31111 6 M78 15000 171 00I 001 52411 025 2151100 2024</t>
  </si>
  <si>
    <t>5 2 4 1 1 12 31111 6 M78 15000 171 00I 001 52411 025 2151100 2024 00000000</t>
  </si>
  <si>
    <t>5 2 4 1 1 12 31111 6 M78 15000 171 00I 001 52411 025 2151100 2024 00000000 003</t>
  </si>
  <si>
    <t>5 2 4 1 1 12 31111 6 M78 15000 171 00I 001 52411 025 2151100 2024 00000000 003 001</t>
  </si>
  <si>
    <t>5 2 5</t>
  </si>
  <si>
    <t>PENSIONES Y JUBILACIONES</t>
  </si>
  <si>
    <t>5 2 6</t>
  </si>
  <si>
    <t>TRANSFERENCIAS A FIDEICOMISOS, MANDATOS Y CONTRATOS ANÁLOGOS</t>
  </si>
  <si>
    <t>5 2 7</t>
  </si>
  <si>
    <t>TRANSFERENCIAS A LA SEGURIDAD SOCIAL</t>
  </si>
  <si>
    <t>5 2 8</t>
  </si>
  <si>
    <t>DONATIVOS</t>
  </si>
  <si>
    <t>5 2 9</t>
  </si>
  <si>
    <t>TRANSFERENCIAS AL EXTERIOR</t>
  </si>
  <si>
    <t>5 3</t>
  </si>
  <si>
    <t>PARTICIPACIONES Y APORTACIONES</t>
  </si>
  <si>
    <t>5 3 1</t>
  </si>
  <si>
    <t>PARTICIPACIONES</t>
  </si>
  <si>
    <t>5 3 2</t>
  </si>
  <si>
    <t>5 3 3</t>
  </si>
  <si>
    <t>CONVENIOS</t>
  </si>
  <si>
    <t>5 4</t>
  </si>
  <si>
    <t>INTERESES, COMISIONES Y OTROS GASTOS DE LA DEUDA PÚBLICA</t>
  </si>
  <si>
    <t>5 4 1</t>
  </si>
  <si>
    <t>INTERESES DE LA DEUDA PÚBLICA</t>
  </si>
  <si>
    <t>5 4 2</t>
  </si>
  <si>
    <t>COMISIONES DE LA DEUDA PÚBLICA</t>
  </si>
  <si>
    <t>5 4 3</t>
  </si>
  <si>
    <t>GASTOS DE LA DEUDA PÚBLICA</t>
  </si>
  <si>
    <t>5 4 4</t>
  </si>
  <si>
    <t>COSTO POR COBERTURAS</t>
  </si>
  <si>
    <t>5 4 5</t>
  </si>
  <si>
    <t>APOYOS FINANCIEROS</t>
  </si>
  <si>
    <t>5 5</t>
  </si>
  <si>
    <t>OTROS GASTOS Y PÉRDIDAS EXTRAORDINARIAS</t>
  </si>
  <si>
    <t>5 5 1</t>
  </si>
  <si>
    <t>ESTIMACIONES, DEPRECIACIONES, DETERIOROS, OBSOLESCENCIA Y AMORTIZACIONES</t>
  </si>
  <si>
    <t>5 5 2</t>
  </si>
  <si>
    <t>PROVISIONES</t>
  </si>
  <si>
    <t>5 5 3</t>
  </si>
  <si>
    <t>DISMINUCIÓN DE INVENTARIOS</t>
  </si>
  <si>
    <t>5 5 4</t>
  </si>
  <si>
    <t>AUMENTO POR INSUFICIENCIA DE ESTIMACIONES POR PÉRDIDA O DETERIORO U OBSOLESCENCIA</t>
  </si>
  <si>
    <t>5 5 5</t>
  </si>
  <si>
    <t>AUMENTO POR INSUFICIENCIA DE PROVISIONES</t>
  </si>
  <si>
    <t>5 5 9</t>
  </si>
  <si>
    <t>OTROS GASTOS</t>
  </si>
  <si>
    <t>5 6</t>
  </si>
  <si>
    <t>INVERSION PUBLICA</t>
  </si>
  <si>
    <t>5 6 1</t>
  </si>
  <si>
    <t>INVERSION PUBLICA NO CAPITALIZABLE</t>
  </si>
  <si>
    <t>6</t>
  </si>
  <si>
    <t>CUENTAS DE CIERRE CONTABLE</t>
  </si>
  <si>
    <t>6 1</t>
  </si>
  <si>
    <t>RESUMEN DE INGRESOS Y GASTOS</t>
  </si>
  <si>
    <t>6 2</t>
  </si>
  <si>
    <t>AHORRO DE LA GESTIÓN</t>
  </si>
  <si>
    <t>6 3</t>
  </si>
  <si>
    <t>DESAHORRO DE LA GESTIÓN</t>
  </si>
  <si>
    <t>7</t>
  </si>
  <si>
    <t>CUENTAS DE ORDEN CONTABLES</t>
  </si>
  <si>
    <t>7 1</t>
  </si>
  <si>
    <t>VALORES</t>
  </si>
  <si>
    <t>7 1 1</t>
  </si>
  <si>
    <t>VALORES EN CUSTODIA</t>
  </si>
  <si>
    <t>7 1 2</t>
  </si>
  <si>
    <t>CUSTODIA DE VALORES</t>
  </si>
  <si>
    <t>7 1 3</t>
  </si>
  <si>
    <t>INSTRUMENTOS DE CRÉDITO PRESTADOS A FORMADORES DE MERCADO</t>
  </si>
  <si>
    <t>7 1 4</t>
  </si>
  <si>
    <t>PRÉSTAMO DE INSTRUMENTOS DE CRÉDITO A FORMADORES DE MERCADO Y SU GARANTÍA</t>
  </si>
  <si>
    <t>7 1 5</t>
  </si>
  <si>
    <t>INSTRUMENTOS DE CRÉDITO RECIBIDOS EN GARANTÍA DE LOS FORMADORES DE MERCADO</t>
  </si>
  <si>
    <t>7 1 6</t>
  </si>
  <si>
    <t>GARANTÍA DE CRÉDITOS RECIBIDOS DE LOS FORMADORES DE MERCADO</t>
  </si>
  <si>
    <t>7 2</t>
  </si>
  <si>
    <t>EMISION DE OBLIGACIONES</t>
  </si>
  <si>
    <t>7 2 1</t>
  </si>
  <si>
    <t>AUTORIZACIÓN PARA LA EMISIÓN DE BONOS, TÍTULOS Y VALORES DE LA DEUDA PÚBLICA INTERNA</t>
  </si>
  <si>
    <t>7 2 2</t>
  </si>
  <si>
    <t>AUTORIZACIÓN PARA LA EMISIÓN DE BONOS, TÍTULOS Y VALORES DE LA DEUDA PÚBLICA EXTERNA</t>
  </si>
  <si>
    <t>7 2 3</t>
  </si>
  <si>
    <t>EMISIONES AUTORIZADAS DE LA DEUDA PÚBLICA INTERNA Y EXTERNA</t>
  </si>
  <si>
    <t>7 2 4</t>
  </si>
  <si>
    <t>SUSCRIPCIÓN DE CONTRATOS DE PRÉSTAMOS Y OTRAS OBLIGACIONES DE LA DEUDA PÚBLICA INTERNA</t>
  </si>
  <si>
    <t>7 2 5</t>
  </si>
  <si>
    <t>SUSCRIPCIÓN DE CONTRATOS DE PRÉSTAMOS Y OTRAS OBLIGACIONES DE LA DEUDA PÚBLICA EXTERNA</t>
  </si>
  <si>
    <t>7 2 6</t>
  </si>
  <si>
    <t>CONTRATOS DE PRÉSTAMOS Y OTRAS OBLIGACIONES DE LA DEUDA PÚBLICA INTERNA Y EXTERNA</t>
  </si>
  <si>
    <t>7 3</t>
  </si>
  <si>
    <t>AVALES Y GARANTÍAS</t>
  </si>
  <si>
    <t>7 3 1</t>
  </si>
  <si>
    <t>AVALES AUTORIZADOS</t>
  </si>
  <si>
    <t>7 3 2</t>
  </si>
  <si>
    <t>AVALES FIRMADOS</t>
  </si>
  <si>
    <t>7 3 3</t>
  </si>
  <si>
    <t>FIANZAS Y GARANTÍAS RECIBIDAS POR DEUDAS A COBRAR</t>
  </si>
  <si>
    <t>7 3 4</t>
  </si>
  <si>
    <t>FIANZAS Y GARANTÍAS RECIBIDAS</t>
  </si>
  <si>
    <t>7 3 5</t>
  </si>
  <si>
    <t>FIANZAS OTORGADAS PARA RESPALDAR OBLIGACIONES NO FISCALES DEL GOBIERNO</t>
  </si>
  <si>
    <t>7 3 6</t>
  </si>
  <si>
    <t>FIANZAS OTORGADAS DEL GOBIERNO  PARA RESPALDAR OBLIGACIONES NO FISCALES</t>
  </si>
  <si>
    <t>7 4</t>
  </si>
  <si>
    <t>JUICIOS</t>
  </si>
  <si>
    <t>7 4 1</t>
  </si>
  <si>
    <t>DEMANDAS JUDICIAL EN PROCESO DE RESOLUCIÓN</t>
  </si>
  <si>
    <t>7 4 2</t>
  </si>
  <si>
    <t>RESOLUCIÓN DE DEMANDAS EN PROCESO JUDICIAL</t>
  </si>
  <si>
    <t>7 5</t>
  </si>
  <si>
    <t>INVERSIÓN PÚBLICA</t>
  </si>
  <si>
    <t>7 5 1</t>
  </si>
  <si>
    <t>CONTRATOS PARA INVERSIÓN PÚBLICA</t>
  </si>
  <si>
    <t>7 5 2</t>
  </si>
  <si>
    <t>INVERSIÓN PÚBLICA CONTRATADA</t>
  </si>
  <si>
    <t>7 6</t>
  </si>
  <si>
    <t>BIENES EN CONCESIONADOS O EN COMODATO</t>
  </si>
  <si>
    <t>7 6 1</t>
  </si>
  <si>
    <t>BIENES BAJO CONTRATO EN CONCESIÓN</t>
  </si>
  <si>
    <t>7 6 2</t>
  </si>
  <si>
    <t>CONTRATO DE CONCESIÓN POR BIENES</t>
  </si>
  <si>
    <t>7 6 3</t>
  </si>
  <si>
    <t>BIENES BAJO CONTRATO EN COMODATO</t>
  </si>
  <si>
    <t>7 6 4</t>
  </si>
  <si>
    <t>CONTRATO DE COMODATO POR BIENES</t>
  </si>
  <si>
    <t>8</t>
  </si>
  <si>
    <t>CUENTAS DE ORDEN PRESUPUESTARIAS</t>
  </si>
  <si>
    <t>8 1</t>
  </si>
  <si>
    <t>LEY DE INGRESOS</t>
  </si>
  <si>
    <t>8 1 1</t>
  </si>
  <si>
    <t>LEY DE INGRESOS ESTIMADA</t>
  </si>
  <si>
    <t>8 1 2</t>
  </si>
  <si>
    <t>LEY DE INGRESOS POR EJECUTAR</t>
  </si>
  <si>
    <t>8 1 3</t>
  </si>
  <si>
    <t>MODIFICACIONES A LA LEY DE INGRESOS ESTIMADA</t>
  </si>
  <si>
    <t>8 1 4</t>
  </si>
  <si>
    <t>LEY DE INGRESOS DEVENGADA</t>
  </si>
  <si>
    <t>8 1 5</t>
  </si>
  <si>
    <t>LEY DE INGRESOS RECAUDADA</t>
  </si>
  <si>
    <t>8 2</t>
  </si>
  <si>
    <t>PRESUPUESTO DE EGRESOS</t>
  </si>
  <si>
    <t>8 2 1</t>
  </si>
  <si>
    <t>PRESUPUESTO DE EGRESOS APROBADO</t>
  </si>
  <si>
    <t>8 2 2</t>
  </si>
  <si>
    <t>PRESUPUESTO DE EGRESOS POR EJERCER</t>
  </si>
  <si>
    <t>8 2 3</t>
  </si>
  <si>
    <t>MODIFICACIONES AL PRESUPUESTO DE EGRESOS APROBADO</t>
  </si>
  <si>
    <t>8 2 4</t>
  </si>
  <si>
    <t>PRESUPUESTO DE EGRESOS COMPROMETIDO</t>
  </si>
  <si>
    <t>8 2 5</t>
  </si>
  <si>
    <t>PRESUPUESTO DE EGRESOS DEVENGADO</t>
  </si>
  <si>
    <t>8 2 6</t>
  </si>
  <si>
    <t>PRESUPUESTO DE EGRESOS EJERCIDO</t>
  </si>
  <si>
    <t>8 2 7</t>
  </si>
  <si>
    <t>PRESUPUESTO DE EGRESOS PAGADO</t>
  </si>
  <si>
    <t>9</t>
  </si>
  <si>
    <t>CUENTAS DE CIERRE PRESUPUESTARIO</t>
  </si>
  <si>
    <t>9 1</t>
  </si>
  <si>
    <t>SUPERÁVIT FINANCIERO</t>
  </si>
  <si>
    <t>9 2</t>
  </si>
  <si>
    <t>DÉFICIT FINANCIERO</t>
  </si>
  <si>
    <t>9 3</t>
  </si>
  <si>
    <t>ADEUDOS DE EJERCICIOS FISCALES ANTERIORES</t>
  </si>
  <si>
    <t xml:space="preserve">BALANZA DE COMPROBACIÓN DEL 1 DE ENERO AL 29 DE SEPTIEMBRE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</si>
</sst>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  <fill>
      <patternFill patternType="solid">
        <fgColor rgb="FFE2E2E2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0" fillId="0" borderId="1" xfId="0" applyBorder="1"/>
    <xf numFmtId="0" fontId="0" fillId="0" borderId="4" xfId="0" applyBorder="1"/>
    <xf numFmtId="0" fontId="2" fillId="0" borderId="5" xfId="0" applyFont="1" applyBorder="1" applyAlignment="1">
      <alignment vertical="top"/>
    </xf>
    <xf numFmtId="0" fontId="3" fillId="0" borderId="3" xfId="0" applyFont="1" applyBorder="1"/>
    <xf numFmtId="0" fontId="3" fillId="0" borderId="6" xfId="0" applyFont="1" applyBorder="1" applyAlignment="1">
      <alignment vertical="top"/>
    </xf>
    <xf numFmtId="0" fontId="3" fillId="0" borderId="7" xfId="0" applyFont="1" applyBorder="1"/>
    <xf numFmtId="0" fontId="8" fillId="0" borderId="2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8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center"/>
    </xf>
    <xf numFmtId="4" fontId="9" fillId="0" borderId="6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9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vertical="center"/>
    </xf>
    <xf numFmtId="4" fontId="16" fillId="3" borderId="0" xfId="0" applyNumberFormat="1" applyFont="1" applyFill="1" applyAlignment="1">
      <alignment horizontal="righ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E2E2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885825</xdr:colOff>
      <xdr:row>4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0</xdr:colOff>
      <xdr:row>4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6</xdr:col>
      <xdr:colOff>467092</xdr:colOff>
      <xdr:row>1064</xdr:row>
      <xdr:rowOff>119062</xdr:rowOff>
    </xdr:from>
    <xdr:to>
      <xdr:col>8</xdr:col>
      <xdr:colOff>755772</xdr:colOff>
      <xdr:row>1070</xdr:row>
      <xdr:rowOff>119062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858126" y="294423245"/>
          <a:ext cx="2065459" cy="87923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REVISÓ
__________________________________
L.C. ERICK JOSUE RIOS GARCIA
TITULAR DEL ÓRGANO INTERNO DE CONTROL</a:t>
          </a:r>
        </a:p>
      </xdr:txBody>
    </xdr:sp>
    <xdr:clientData/>
  </xdr:twoCellAnchor>
  <xdr:twoCellAnchor>
    <xdr:from>
      <xdr:col>3</xdr:col>
      <xdr:colOff>703751</xdr:colOff>
      <xdr:row>1064</xdr:row>
      <xdr:rowOff>73269</xdr:rowOff>
    </xdr:from>
    <xdr:to>
      <xdr:col>6</xdr:col>
      <xdr:colOff>210649</xdr:colOff>
      <xdr:row>1070</xdr:row>
      <xdr:rowOff>73269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29616" y="294377452"/>
          <a:ext cx="2172067" cy="87923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ELABORÓ
__________________________________
LIC. ALBERTO CASTRO FLORES
TESORERO MUNICIPAL</a:t>
          </a:r>
        </a:p>
      </xdr:txBody>
    </xdr:sp>
    <xdr:clientData/>
  </xdr:twoCellAnchor>
  <xdr:twoCellAnchor>
    <xdr:from>
      <xdr:col>1</xdr:col>
      <xdr:colOff>146540</xdr:colOff>
      <xdr:row>1064</xdr:row>
      <xdr:rowOff>45794</xdr:rowOff>
    </xdr:from>
    <xdr:to>
      <xdr:col>2</xdr:col>
      <xdr:colOff>319090</xdr:colOff>
      <xdr:row>1070</xdr:row>
      <xdr:rowOff>45794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92333" y="294349977"/>
          <a:ext cx="2022598" cy="87923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AUTORIZÓ
__________________________________
LIC. ORQUÍDIA HERNÁNDEZ MENDOZA
PRESIDENTA MUNICIPAL</a:t>
          </a:r>
        </a:p>
      </xdr:txBody>
    </xdr:sp>
    <xdr:clientData/>
  </xdr:twoCellAnchor>
  <xdr:twoCellAnchor>
    <xdr:from>
      <xdr:col>2</xdr:col>
      <xdr:colOff>1218103</xdr:colOff>
      <xdr:row>1064</xdr:row>
      <xdr:rowOff>82428</xdr:rowOff>
    </xdr:from>
    <xdr:to>
      <xdr:col>3</xdr:col>
      <xdr:colOff>483945</xdr:colOff>
      <xdr:row>1070</xdr:row>
      <xdr:rowOff>82429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113944" y="294386611"/>
          <a:ext cx="2095866" cy="879231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 Bo.
__________________________________
ING. SALVADOR FLORES CASTILLO
SINDICO PROCURADOR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63"/>
  <sheetViews>
    <sheetView tabSelected="1" view="pageBreakPreview" zoomScale="104" zoomScaleNormal="100" zoomScaleSheetLayoutView="104" workbookViewId="0">
      <selection activeCell="B6" sqref="B6:I6"/>
    </sheetView>
  </sheetViews>
  <sheetFormatPr baseColWidth="10" defaultColWidth="9.1640625" defaultRowHeight="11" x14ac:dyDescent="0.15"/>
  <cols>
    <col min="1" max="1" width="0.6640625" style="2" customWidth="1" collapsed="1"/>
    <col min="2" max="2" width="27.6640625" style="2" customWidth="1" collapsed="1"/>
    <col min="3" max="3" width="42.5" style="5" customWidth="1" collapsed="1"/>
    <col min="4" max="6" width="13.33203125" style="4" customWidth="1" collapsed="1"/>
    <col min="7" max="7" width="13.33203125" style="2" customWidth="1" collapsed="1"/>
    <col min="8" max="8" width="13.33203125" style="5" customWidth="1" collapsed="1"/>
    <col min="9" max="9" width="13.33203125" style="4" customWidth="1" collapsed="1"/>
    <col min="10" max="10" width="0.6640625" style="2" customWidth="1" collapsed="1"/>
    <col min="11" max="11" width="13.6640625" style="2" hidden="1" customWidth="1" collapsed="1"/>
    <col min="12" max="13" width="0" style="2" hidden="1" customWidth="1" collapsed="1"/>
    <col min="14" max="16384" width="9.1640625" style="2" collapsed="1"/>
  </cols>
  <sheetData>
    <row r="1" spans="1:11" s="3" customFormat="1" ht="5.25" customHeight="1" x14ac:dyDescent="0.15">
      <c r="A1" s="20"/>
      <c r="B1" s="21"/>
      <c r="C1" s="22"/>
      <c r="D1" s="23"/>
      <c r="E1" s="23"/>
      <c r="F1" s="23"/>
      <c r="G1" s="21"/>
      <c r="H1" s="22"/>
      <c r="I1" s="23"/>
      <c r="J1" s="20"/>
    </row>
    <row r="2" spans="1:11" customFormat="1" ht="13.5" customHeight="1" x14ac:dyDescent="0.15">
      <c r="A2" s="24"/>
      <c r="B2" s="40" t="s">
        <v>7</v>
      </c>
      <c r="C2" s="40"/>
      <c r="D2" s="40"/>
      <c r="E2" s="40"/>
      <c r="F2" s="40"/>
      <c r="G2" s="40"/>
      <c r="H2" s="40"/>
      <c r="I2" s="40"/>
      <c r="J2" s="24"/>
    </row>
    <row r="3" spans="1:11" s="1" customFormat="1" ht="13.5" customHeight="1" x14ac:dyDescent="0.15">
      <c r="A3" s="25"/>
      <c r="B3" s="41" t="s">
        <v>8</v>
      </c>
      <c r="C3" s="41"/>
      <c r="D3" s="41"/>
      <c r="E3" s="41"/>
      <c r="F3" s="41"/>
      <c r="G3" s="41"/>
      <c r="H3" s="41"/>
      <c r="I3" s="41"/>
      <c r="J3" s="25"/>
    </row>
    <row r="4" spans="1:11" s="1" customFormat="1" ht="13.5" customHeight="1" x14ac:dyDescent="0.15">
      <c r="A4" s="25"/>
      <c r="B4" s="39" t="s">
        <v>9</v>
      </c>
      <c r="C4" s="39"/>
      <c r="D4" s="39"/>
      <c r="E4" s="39"/>
      <c r="F4" s="39"/>
      <c r="G4" s="39"/>
      <c r="H4" s="39"/>
      <c r="I4" s="39"/>
      <c r="J4" s="25"/>
    </row>
    <row r="5" spans="1:11" s="1" customFormat="1" ht="13.5" customHeight="1" x14ac:dyDescent="0.15">
      <c r="A5" s="25"/>
      <c r="B5" s="39" t="s">
        <v>10</v>
      </c>
      <c r="C5" s="39"/>
      <c r="D5" s="39"/>
      <c r="E5" s="39"/>
      <c r="F5" s="39"/>
      <c r="G5" s="39"/>
      <c r="H5" s="39"/>
      <c r="I5" s="39"/>
      <c r="J5" s="25"/>
    </row>
    <row r="6" spans="1:11" customFormat="1" ht="13.5" customHeight="1" x14ac:dyDescent="0.15">
      <c r="A6" s="24"/>
      <c r="B6" s="42" t="s">
        <v>1472</v>
      </c>
      <c r="C6" s="42"/>
      <c r="D6" s="42"/>
      <c r="E6" s="42"/>
      <c r="F6" s="42"/>
      <c r="G6" s="42"/>
      <c r="H6" s="42"/>
      <c r="I6" s="42"/>
      <c r="J6" s="24"/>
    </row>
    <row r="7" spans="1:11" customFormat="1" ht="13.5" customHeight="1" x14ac:dyDescent="0.15">
      <c r="A7" s="24"/>
      <c r="B7" s="39"/>
      <c r="C7" s="39"/>
      <c r="D7" s="39"/>
      <c r="E7" s="39"/>
      <c r="F7" s="39"/>
      <c r="G7" s="39"/>
      <c r="H7" s="39"/>
      <c r="I7" s="39"/>
      <c r="J7" s="24"/>
    </row>
    <row r="8" spans="1:11" customFormat="1" ht="8.25" customHeight="1" x14ac:dyDescent="0.15">
      <c r="B8" s="6"/>
      <c r="C8" s="6"/>
      <c r="D8" s="6"/>
      <c r="E8" s="6"/>
      <c r="F8" s="6"/>
      <c r="G8" s="6"/>
      <c r="H8" s="6"/>
      <c r="I8" s="6"/>
    </row>
    <row r="9" spans="1:11" customFormat="1" ht="13" x14ac:dyDescent="0.15">
      <c r="A9" s="7"/>
      <c r="B9" s="13"/>
      <c r="C9" s="13"/>
      <c r="D9" s="36" t="s">
        <v>6</v>
      </c>
      <c r="E9" s="37"/>
      <c r="F9" s="36" t="s">
        <v>5</v>
      </c>
      <c r="G9" s="37"/>
      <c r="H9" s="38" t="s">
        <v>4</v>
      </c>
      <c r="I9" s="38"/>
      <c r="J9" s="10"/>
    </row>
    <row r="10" spans="1:11" customFormat="1" ht="13" x14ac:dyDescent="0.15">
      <c r="A10" s="8"/>
      <c r="B10" s="14" t="s">
        <v>2</v>
      </c>
      <c r="C10" s="26" t="s">
        <v>3</v>
      </c>
      <c r="D10" s="33" t="s">
        <v>11</v>
      </c>
      <c r="E10" s="34"/>
      <c r="F10" s="33" t="s">
        <v>12</v>
      </c>
      <c r="G10" s="34"/>
      <c r="H10" s="35" t="s">
        <v>13</v>
      </c>
      <c r="I10" s="35"/>
      <c r="J10" s="12"/>
    </row>
    <row r="11" spans="1:11" x14ac:dyDescent="0.15">
      <c r="A11" s="9"/>
      <c r="B11" s="15"/>
      <c r="C11" s="16"/>
      <c r="D11" s="17" t="s">
        <v>0</v>
      </c>
      <c r="E11" s="18" t="s">
        <v>1</v>
      </c>
      <c r="F11" s="17" t="s">
        <v>0</v>
      </c>
      <c r="G11" s="18" t="s">
        <v>1</v>
      </c>
      <c r="H11" s="19" t="s">
        <v>0</v>
      </c>
      <c r="I11" s="19" t="s">
        <v>1</v>
      </c>
      <c r="J11" s="11"/>
    </row>
    <row r="12" spans="1:11" ht="13" x14ac:dyDescent="0.15">
      <c r="B12" s="29" t="s">
        <v>14</v>
      </c>
      <c r="C12" s="29" t="s">
        <v>15</v>
      </c>
      <c r="D12" s="31">
        <f>SUMIFS(D13:D1057,K13:K1057,"0",B13:B1057,"1*")-SUMIFS(E13:E1057,K13:K1057,"0",B13:B1057,"1*")</f>
        <v>3192579.13</v>
      </c>
      <c r="E12"/>
      <c r="F12" s="31">
        <f>SUMIFS(F13:F1057,K13:K1057,"0",B13:B1057,"1*")</f>
        <v>28628495.690000001</v>
      </c>
      <c r="G12" s="31">
        <f>SUMIFS(G13:G1057,K13:K1057,"0",B13:B1057,"1*")</f>
        <v>29719532.329999991</v>
      </c>
      <c r="H12" s="31">
        <f t="shared" ref="H12:H75" si="0">D12 + F12 - G12</f>
        <v>2101542.4900000095</v>
      </c>
      <c r="I12" s="31"/>
      <c r="K12" t="s">
        <v>14</v>
      </c>
    </row>
    <row r="13" spans="1:11" ht="13" x14ac:dyDescent="0.15">
      <c r="B13" s="29" t="s">
        <v>16</v>
      </c>
      <c r="C13" s="29" t="s">
        <v>17</v>
      </c>
      <c r="D13" s="31">
        <f>SUMIFS(D14:D1057,K14:K1057,"0",B14:B1057,"1 1*")-SUMIFS(E14:E1057,K14:K1057,"0",B14:B1057,"1 1*")</f>
        <v>391948.62</v>
      </c>
      <c r="E13"/>
      <c r="F13" s="31">
        <f>SUMIFS(F14:F1057,K14:K1057,"0",B14:B1057,"1 1*")</f>
        <v>28200995.690000001</v>
      </c>
      <c r="G13" s="31">
        <f>SUMIFS(G14:G1057,K14:K1057,"0",B14:B1057,"1 1*")</f>
        <v>28381066.809999995</v>
      </c>
      <c r="H13" s="31">
        <f t="shared" si="0"/>
        <v>211877.50000000745</v>
      </c>
      <c r="I13" s="31"/>
      <c r="K13" t="s">
        <v>14</v>
      </c>
    </row>
    <row r="14" spans="1:11" ht="13" x14ac:dyDescent="0.15">
      <c r="B14" s="29" t="s">
        <v>18</v>
      </c>
      <c r="C14" s="29" t="s">
        <v>19</v>
      </c>
      <c r="D14" s="31">
        <f>SUMIFS(D15:D1057,K15:K1057,"0",B15:B1057,"1 1 1*")-SUMIFS(E15:E1057,K15:K1057,"0",B15:B1057,"1 1 1*")</f>
        <v>635.36</v>
      </c>
      <c r="E14"/>
      <c r="F14" s="31">
        <f>SUMIFS(F15:F1057,K15:K1057,"0",B15:B1057,"1 1 1*")</f>
        <v>16619934.859999999</v>
      </c>
      <c r="G14" s="31">
        <f>SUMIFS(G15:G1057,K15:K1057,"0",B15:B1057,"1 1 1*")</f>
        <v>16601718.08</v>
      </c>
      <c r="H14" s="31">
        <f t="shared" si="0"/>
        <v>18852.139999998733</v>
      </c>
      <c r="I14" s="31"/>
      <c r="K14" t="s">
        <v>14</v>
      </c>
    </row>
    <row r="15" spans="1:11" ht="13" x14ac:dyDescent="0.15">
      <c r="B15" s="29" t="s">
        <v>20</v>
      </c>
      <c r="C15" s="29" t="s">
        <v>21</v>
      </c>
      <c r="D15" s="31">
        <f>SUMIFS(D16:D1057,K16:K1057,"0",B16:B1057,"1 1 1 2*")-SUMIFS(E16:E1057,K16:K1057,"0",B16:B1057,"1 1 1 2*")</f>
        <v>635.36</v>
      </c>
      <c r="E15"/>
      <c r="F15" s="31">
        <f>SUMIFS(F16:F1057,K16:K1057,"0",B16:B1057,"1 1 1 2*")</f>
        <v>16619934.859999999</v>
      </c>
      <c r="G15" s="31">
        <f>SUMIFS(G16:G1057,K16:K1057,"0",B16:B1057,"1 1 1 2*")</f>
        <v>16601718.08</v>
      </c>
      <c r="H15" s="31">
        <f t="shared" si="0"/>
        <v>18852.139999998733</v>
      </c>
      <c r="I15" s="31"/>
      <c r="K15" t="s">
        <v>14</v>
      </c>
    </row>
    <row r="16" spans="1:11" ht="13" x14ac:dyDescent="0.15">
      <c r="B16" s="29" t="s">
        <v>22</v>
      </c>
      <c r="C16" s="29" t="s">
        <v>23</v>
      </c>
      <c r="D16" s="31">
        <f>SUMIFS(D17:D1057,K17:K1057,"0",B17:B1057,"1 1 1 2 1*")-SUMIFS(E17:E1057,K17:K1057,"0",B17:B1057,"1 1 1 2 1*")</f>
        <v>635.36</v>
      </c>
      <c r="E16"/>
      <c r="F16" s="31">
        <f>SUMIFS(F17:F1057,K17:K1057,"0",B17:B1057,"1 1 1 2 1*")</f>
        <v>16619934.859999999</v>
      </c>
      <c r="G16" s="31">
        <f>SUMIFS(G17:G1057,K17:K1057,"0",B17:B1057,"1 1 1 2 1*")</f>
        <v>16601718.08</v>
      </c>
      <c r="H16" s="31">
        <f t="shared" si="0"/>
        <v>18852.139999998733</v>
      </c>
      <c r="I16" s="31"/>
      <c r="K16" t="s">
        <v>14</v>
      </c>
    </row>
    <row r="17" spans="2:11" ht="13" x14ac:dyDescent="0.15">
      <c r="B17" s="29" t="s">
        <v>24</v>
      </c>
      <c r="C17" s="29" t="s">
        <v>25</v>
      </c>
      <c r="D17" s="31">
        <f>SUMIFS(D18:D1057,K18:K1057,"0",B18:B1057,"1 1 1 2 1 12*")-SUMIFS(E18:E1057,K18:K1057,"0",B18:B1057,"1 1 1 2 1 12*")</f>
        <v>635.36</v>
      </c>
      <c r="E17"/>
      <c r="F17" s="31">
        <f>SUMIFS(F18:F1057,K18:K1057,"0",B18:B1057,"1 1 1 2 1 12*")</f>
        <v>16619934.859999999</v>
      </c>
      <c r="G17" s="31">
        <f>SUMIFS(G18:G1057,K18:K1057,"0",B18:B1057,"1 1 1 2 1 12*")</f>
        <v>16601718.08</v>
      </c>
      <c r="H17" s="31">
        <f t="shared" si="0"/>
        <v>18852.139999998733</v>
      </c>
      <c r="I17" s="31"/>
      <c r="K17" t="s">
        <v>14</v>
      </c>
    </row>
    <row r="18" spans="2:11" ht="13" x14ac:dyDescent="0.15">
      <c r="B18" s="29" t="s">
        <v>26</v>
      </c>
      <c r="C18" s="29" t="s">
        <v>27</v>
      </c>
      <c r="D18" s="31">
        <f>SUMIFS(D19:D1057,K19:K1057,"0",B19:B1057,"1 1 1 2 1 12 31111*")-SUMIFS(E19:E1057,K19:K1057,"0",B19:B1057,"1 1 1 2 1 12 31111*")</f>
        <v>635.36</v>
      </c>
      <c r="E18"/>
      <c r="F18" s="31">
        <f>SUMIFS(F19:F1057,K19:K1057,"0",B19:B1057,"1 1 1 2 1 12 31111*")</f>
        <v>16619934.859999999</v>
      </c>
      <c r="G18" s="31">
        <f>SUMIFS(G19:G1057,K19:K1057,"0",B19:B1057,"1 1 1 2 1 12 31111*")</f>
        <v>16601718.08</v>
      </c>
      <c r="H18" s="31">
        <f t="shared" si="0"/>
        <v>18852.139999998733</v>
      </c>
      <c r="I18" s="31"/>
      <c r="K18" t="s">
        <v>14</v>
      </c>
    </row>
    <row r="19" spans="2:11" ht="13" x14ac:dyDescent="0.15">
      <c r="B19" s="29" t="s">
        <v>28</v>
      </c>
      <c r="C19" s="29" t="s">
        <v>29</v>
      </c>
      <c r="D19" s="31">
        <f>SUMIFS(D20:D1057,K20:K1057,"0",B20:B1057,"1 1 1 2 1 12 31111 6*")-SUMIFS(E20:E1057,K20:K1057,"0",B20:B1057,"1 1 1 2 1 12 31111 6*")</f>
        <v>635.36</v>
      </c>
      <c r="E19"/>
      <c r="F19" s="31">
        <f>SUMIFS(F20:F1057,K20:K1057,"0",B20:B1057,"1 1 1 2 1 12 31111 6*")</f>
        <v>16619934.859999999</v>
      </c>
      <c r="G19" s="31">
        <f>SUMIFS(G20:G1057,K20:K1057,"0",B20:B1057,"1 1 1 2 1 12 31111 6*")</f>
        <v>16601718.08</v>
      </c>
      <c r="H19" s="31">
        <f t="shared" si="0"/>
        <v>18852.139999998733</v>
      </c>
      <c r="I19" s="31"/>
      <c r="K19" t="s">
        <v>14</v>
      </c>
    </row>
    <row r="20" spans="2:11" ht="13" x14ac:dyDescent="0.15">
      <c r="B20" s="29" t="s">
        <v>30</v>
      </c>
      <c r="C20" s="29" t="s">
        <v>31</v>
      </c>
      <c r="D20" s="31">
        <f>SUMIFS(D21:D1057,K21:K1057,"0",B21:B1057,"1 1 1 2 1 12 31111 6 M78*")-SUMIFS(E21:E1057,K21:K1057,"0",B21:B1057,"1 1 1 2 1 12 31111 6 M78*")</f>
        <v>635.36</v>
      </c>
      <c r="E20"/>
      <c r="F20" s="31">
        <f>SUMIFS(F21:F1057,K21:K1057,"0",B21:B1057,"1 1 1 2 1 12 31111 6 M78*")</f>
        <v>16619934.859999999</v>
      </c>
      <c r="G20" s="31">
        <f>SUMIFS(G21:G1057,K21:K1057,"0",B21:B1057,"1 1 1 2 1 12 31111 6 M78*")</f>
        <v>16601718.08</v>
      </c>
      <c r="H20" s="31">
        <f t="shared" si="0"/>
        <v>18852.139999998733</v>
      </c>
      <c r="I20" s="31"/>
      <c r="K20" t="s">
        <v>14</v>
      </c>
    </row>
    <row r="21" spans="2:11" ht="13" x14ac:dyDescent="0.15">
      <c r="B21" s="29" t="s">
        <v>32</v>
      </c>
      <c r="C21" s="29" t="s">
        <v>33</v>
      </c>
      <c r="D21" s="31">
        <f>SUMIFS(D22:D1057,K22:K1057,"0",B22:B1057,"1 1 1 2 1 12 31111 6 M78 00003*")-SUMIFS(E22:E1057,K22:K1057,"0",B22:B1057,"1 1 1 2 1 12 31111 6 M78 00003*")</f>
        <v>635.36</v>
      </c>
      <c r="E21"/>
      <c r="F21" s="31">
        <f>SUMIFS(F22:F1057,K22:K1057,"0",B22:B1057,"1 1 1 2 1 12 31111 6 M78 00003*")</f>
        <v>16619934.859999999</v>
      </c>
      <c r="G21" s="31">
        <f>SUMIFS(G22:G1057,K22:K1057,"0",B22:B1057,"1 1 1 2 1 12 31111 6 M78 00003*")</f>
        <v>16601718.08</v>
      </c>
      <c r="H21" s="31">
        <f t="shared" si="0"/>
        <v>18852.139999998733</v>
      </c>
      <c r="I21" s="31"/>
      <c r="K21" t="s">
        <v>14</v>
      </c>
    </row>
    <row r="22" spans="2:11" ht="13" x14ac:dyDescent="0.15">
      <c r="B22" s="29" t="s">
        <v>34</v>
      </c>
      <c r="C22" s="29" t="s">
        <v>35</v>
      </c>
      <c r="D22" s="31">
        <f>SUMIFS(D23:D1057,K23:K1057,"0",B23:B1057,"1 1 1 2 1 12 31111 6 M78 00003 002*")-SUMIFS(E23:E1057,K23:K1057,"0",B23:B1057,"1 1 1 2 1 12 31111 6 M78 00003 002*")</f>
        <v>635.36</v>
      </c>
      <c r="E22"/>
      <c r="F22" s="31">
        <f>SUMIFS(F23:F1057,K23:K1057,"0",B23:B1057,"1 1 1 2 1 12 31111 6 M78 00003 002*")</f>
        <v>16619934.859999999</v>
      </c>
      <c r="G22" s="31">
        <f>SUMIFS(G23:G1057,K23:K1057,"0",B23:B1057,"1 1 1 2 1 12 31111 6 M78 00003 002*")</f>
        <v>16601718.08</v>
      </c>
      <c r="H22" s="31">
        <f t="shared" si="0"/>
        <v>18852.139999998733</v>
      </c>
      <c r="I22" s="31"/>
      <c r="K22" t="s">
        <v>14</v>
      </c>
    </row>
    <row r="23" spans="2:11" ht="13" x14ac:dyDescent="0.15">
      <c r="B23" s="27" t="s">
        <v>36</v>
      </c>
      <c r="C23" s="27" t="s">
        <v>37</v>
      </c>
      <c r="D23" s="30">
        <v>0.01</v>
      </c>
      <c r="E23" s="30"/>
      <c r="F23" s="30">
        <v>0</v>
      </c>
      <c r="G23" s="30">
        <v>0</v>
      </c>
      <c r="H23" s="30">
        <f t="shared" si="0"/>
        <v>0.01</v>
      </c>
      <c r="I23" s="30"/>
      <c r="K23" t="s">
        <v>38</v>
      </c>
    </row>
    <row r="24" spans="2:11" ht="13" x14ac:dyDescent="0.15">
      <c r="B24" s="27" t="s">
        <v>39</v>
      </c>
      <c r="C24" s="27" t="s">
        <v>40</v>
      </c>
      <c r="D24" s="30">
        <v>165.08</v>
      </c>
      <c r="E24" s="30"/>
      <c r="F24" s="30">
        <v>0</v>
      </c>
      <c r="G24" s="30">
        <v>0</v>
      </c>
      <c r="H24" s="30">
        <f t="shared" si="0"/>
        <v>165.08</v>
      </c>
      <c r="I24" s="30"/>
      <c r="K24" t="s">
        <v>38</v>
      </c>
    </row>
    <row r="25" spans="2:11" ht="13" x14ac:dyDescent="0.15">
      <c r="B25" s="27" t="s">
        <v>41</v>
      </c>
      <c r="C25" s="27" t="s">
        <v>42</v>
      </c>
      <c r="D25" s="30">
        <v>0</v>
      </c>
      <c r="E25" s="30"/>
      <c r="F25" s="30">
        <v>2214756.52</v>
      </c>
      <c r="G25" s="30">
        <v>2214756.52</v>
      </c>
      <c r="H25" s="30">
        <f t="shared" si="0"/>
        <v>0</v>
      </c>
      <c r="I25" s="30"/>
      <c r="K25" t="s">
        <v>38</v>
      </c>
    </row>
    <row r="26" spans="2:11" ht="13" x14ac:dyDescent="0.15">
      <c r="B26" s="27" t="s">
        <v>43</v>
      </c>
      <c r="C26" s="27" t="s">
        <v>44</v>
      </c>
      <c r="D26" s="30">
        <v>470.27</v>
      </c>
      <c r="E26" s="30"/>
      <c r="F26" s="30">
        <v>352454.83</v>
      </c>
      <c r="G26" s="30">
        <v>334238.05</v>
      </c>
      <c r="H26" s="30">
        <f t="shared" si="0"/>
        <v>18687.050000000047</v>
      </c>
      <c r="I26" s="30"/>
      <c r="K26" t="s">
        <v>38</v>
      </c>
    </row>
    <row r="27" spans="2:11" ht="13" x14ac:dyDescent="0.15">
      <c r="B27" s="27" t="s">
        <v>45</v>
      </c>
      <c r="C27" s="27" t="s">
        <v>46</v>
      </c>
      <c r="D27" s="30">
        <v>0</v>
      </c>
      <c r="E27" s="30"/>
      <c r="F27" s="30">
        <v>14052723.51</v>
      </c>
      <c r="G27" s="30">
        <v>14052723.51</v>
      </c>
      <c r="H27" s="30">
        <f t="shared" si="0"/>
        <v>0</v>
      </c>
      <c r="I27" s="30"/>
      <c r="K27" t="s">
        <v>38</v>
      </c>
    </row>
    <row r="28" spans="2:11" ht="13" x14ac:dyDescent="0.15">
      <c r="B28" s="29" t="s">
        <v>47</v>
      </c>
      <c r="C28" s="29" t="s">
        <v>48</v>
      </c>
      <c r="D28" s="31">
        <f>SUMIFS(D29:D1057,K29:K1057,"0",B29:B1057,"1 1 2*")-SUMIFS(E29:E1057,K29:K1057,"0",B29:B1057,"1 1 2*")</f>
        <v>198287.9</v>
      </c>
      <c r="E28"/>
      <c r="F28" s="31">
        <f>SUMIFS(F29:F1057,K29:K1057,"0",B29:B1057,"1 1 2*")</f>
        <v>11581060.829999998</v>
      </c>
      <c r="G28" s="31">
        <f>SUMIFS(G29:G1057,K29:K1057,"0",B29:B1057,"1 1 2*")</f>
        <v>11779348.729999999</v>
      </c>
      <c r="H28" s="31">
        <f t="shared" si="0"/>
        <v>0</v>
      </c>
      <c r="I28" s="31"/>
      <c r="K28" t="s">
        <v>14</v>
      </c>
    </row>
    <row r="29" spans="2:11" ht="13" x14ac:dyDescent="0.15">
      <c r="B29" s="29" t="s">
        <v>49</v>
      </c>
      <c r="C29" s="29" t="s">
        <v>50</v>
      </c>
      <c r="D29" s="31">
        <f>SUMIFS(D30:D1057,K30:K1057,"0",B30:B1057,"1 1 2 2*")-SUMIFS(E30:E1057,K30:K1057,"0",B30:B1057,"1 1 2 2*")</f>
        <v>181.96000000000004</v>
      </c>
      <c r="E29"/>
      <c r="F29" s="31">
        <f>SUMIFS(F30:F1057,K30:K1057,"0",B30:B1057,"1 1 2 2*")</f>
        <v>11163854.099999998</v>
      </c>
      <c r="G29" s="31">
        <f>SUMIFS(G30:G1057,K30:K1057,"0",B30:B1057,"1 1 2 2*")</f>
        <v>11164036.059999999</v>
      </c>
      <c r="H29" s="31">
        <f t="shared" si="0"/>
        <v>0</v>
      </c>
      <c r="I29" s="31"/>
      <c r="K29" t="s">
        <v>14</v>
      </c>
    </row>
    <row r="30" spans="2:11" ht="13" x14ac:dyDescent="0.15">
      <c r="B30" s="29" t="s">
        <v>51</v>
      </c>
      <c r="C30" s="29" t="s">
        <v>52</v>
      </c>
      <c r="D30" s="31">
        <f>SUMIFS(D31:D1057,K31:K1057,"0",B31:B1057,"1 1 2 2 5*")-SUMIFS(E31:E1057,K31:K1057,"0",B31:B1057,"1 1 2 2 5*")</f>
        <v>181.96000000000004</v>
      </c>
      <c r="E30"/>
      <c r="F30" s="31">
        <f>SUMIFS(F31:F1057,K31:K1057,"0",B31:B1057,"1 1 2 2 5*")</f>
        <v>11163854.099999998</v>
      </c>
      <c r="G30" s="31">
        <f>SUMIFS(G31:G1057,K31:K1057,"0",B31:B1057,"1 1 2 2 5*")</f>
        <v>11164036.059999999</v>
      </c>
      <c r="H30" s="31">
        <f t="shared" si="0"/>
        <v>0</v>
      </c>
      <c r="I30" s="31"/>
      <c r="K30" t="s">
        <v>14</v>
      </c>
    </row>
    <row r="31" spans="2:11" ht="13" x14ac:dyDescent="0.15">
      <c r="B31" s="29" t="s">
        <v>53</v>
      </c>
      <c r="C31" s="29" t="s">
        <v>25</v>
      </c>
      <c r="D31" s="31">
        <f>SUMIFS(D32:D1057,K32:K1057,"0",B32:B1057,"1 1 2 2 5 12*")-SUMIFS(E32:E1057,K32:K1057,"0",B32:B1057,"1 1 2 2 5 12*")</f>
        <v>181.96000000000004</v>
      </c>
      <c r="E31"/>
      <c r="F31" s="31">
        <f>SUMIFS(F32:F1057,K32:K1057,"0",B32:B1057,"1 1 2 2 5 12*")</f>
        <v>11163854.099999998</v>
      </c>
      <c r="G31" s="31">
        <f>SUMIFS(G32:G1057,K32:K1057,"0",B32:B1057,"1 1 2 2 5 12*")</f>
        <v>11164036.059999999</v>
      </c>
      <c r="H31" s="31">
        <f t="shared" si="0"/>
        <v>0</v>
      </c>
      <c r="I31" s="31"/>
      <c r="K31" t="s">
        <v>14</v>
      </c>
    </row>
    <row r="32" spans="2:11" ht="13" x14ac:dyDescent="0.15">
      <c r="B32" s="29" t="s">
        <v>54</v>
      </c>
      <c r="C32" s="29" t="s">
        <v>27</v>
      </c>
      <c r="D32" s="31">
        <f>SUMIFS(D33:D1057,K33:K1057,"0",B33:B1057,"1 1 2 2 5 12 31111*")-SUMIFS(E33:E1057,K33:K1057,"0",B33:B1057,"1 1 2 2 5 12 31111*")</f>
        <v>181.96000000000004</v>
      </c>
      <c r="E32"/>
      <c r="F32" s="31">
        <f>SUMIFS(F33:F1057,K33:K1057,"0",B33:B1057,"1 1 2 2 5 12 31111*")</f>
        <v>11163854.099999998</v>
      </c>
      <c r="G32" s="31">
        <f>SUMIFS(G33:G1057,K33:K1057,"0",B33:B1057,"1 1 2 2 5 12 31111*")</f>
        <v>11164036.059999999</v>
      </c>
      <c r="H32" s="31">
        <f t="shared" si="0"/>
        <v>0</v>
      </c>
      <c r="I32" s="31"/>
      <c r="K32" t="s">
        <v>14</v>
      </c>
    </row>
    <row r="33" spans="2:11" ht="13" x14ac:dyDescent="0.15">
      <c r="B33" s="29" t="s">
        <v>55</v>
      </c>
      <c r="C33" s="29" t="s">
        <v>29</v>
      </c>
      <c r="D33" s="31">
        <f>SUMIFS(D34:D1057,K34:K1057,"0",B34:B1057,"1 1 2 2 5 12 31111 6*")-SUMIFS(E34:E1057,K34:K1057,"0",B34:B1057,"1 1 2 2 5 12 31111 6*")</f>
        <v>181.96000000000004</v>
      </c>
      <c r="E33"/>
      <c r="F33" s="31">
        <f>SUMIFS(F34:F1057,K34:K1057,"0",B34:B1057,"1 1 2 2 5 12 31111 6*")</f>
        <v>11163854.099999998</v>
      </c>
      <c r="G33" s="31">
        <f>SUMIFS(G34:G1057,K34:K1057,"0",B34:B1057,"1 1 2 2 5 12 31111 6*")</f>
        <v>11164036.059999999</v>
      </c>
      <c r="H33" s="31">
        <f t="shared" si="0"/>
        <v>0</v>
      </c>
      <c r="I33" s="31"/>
      <c r="K33" t="s">
        <v>14</v>
      </c>
    </row>
    <row r="34" spans="2:11" ht="13" x14ac:dyDescent="0.15">
      <c r="B34" s="29" t="s">
        <v>56</v>
      </c>
      <c r="C34" s="29" t="s">
        <v>31</v>
      </c>
      <c r="D34" s="31">
        <f>SUMIFS(D35:D1057,K35:K1057,"0",B35:B1057,"1 1 2 2 5 12 31111 6 M78*")-SUMIFS(E35:E1057,K35:K1057,"0",B35:B1057,"1 1 2 2 5 12 31111 6 M78*")</f>
        <v>181.96000000000004</v>
      </c>
      <c r="E34"/>
      <c r="F34" s="31">
        <f>SUMIFS(F35:F1057,K35:K1057,"0",B35:B1057,"1 1 2 2 5 12 31111 6 M78*")</f>
        <v>11163854.099999998</v>
      </c>
      <c r="G34" s="31">
        <f>SUMIFS(G35:G1057,K35:K1057,"0",B35:B1057,"1 1 2 2 5 12 31111 6 M78*")</f>
        <v>11164036.059999999</v>
      </c>
      <c r="H34" s="31">
        <f t="shared" si="0"/>
        <v>0</v>
      </c>
      <c r="I34" s="31"/>
      <c r="K34" t="s">
        <v>14</v>
      </c>
    </row>
    <row r="35" spans="2:11" ht="13" x14ac:dyDescent="0.15">
      <c r="B35" s="29" t="s">
        <v>57</v>
      </c>
      <c r="C35" s="29" t="s">
        <v>33</v>
      </c>
      <c r="D35" s="31">
        <f>SUMIFS(D36:D1057,K36:K1057,"0",B36:B1057,"1 1 2 2 5 12 31111 6 M78 00003*")-SUMIFS(E36:E1057,K36:K1057,"0",B36:B1057,"1 1 2 2 5 12 31111 6 M78 00003*")</f>
        <v>181.96000000000004</v>
      </c>
      <c r="E35"/>
      <c r="F35" s="31">
        <f>SUMIFS(F36:F1057,K36:K1057,"0",B36:B1057,"1 1 2 2 5 12 31111 6 M78 00003*")</f>
        <v>11163854.099999998</v>
      </c>
      <c r="G35" s="31">
        <f>SUMIFS(G36:G1057,K36:K1057,"0",B36:B1057,"1 1 2 2 5 12 31111 6 M78 00003*")</f>
        <v>11164036.059999999</v>
      </c>
      <c r="H35" s="31">
        <f t="shared" si="0"/>
        <v>0</v>
      </c>
      <c r="I35" s="31"/>
      <c r="K35" t="s">
        <v>14</v>
      </c>
    </row>
    <row r="36" spans="2:11" ht="13" x14ac:dyDescent="0.15">
      <c r="B36" s="29" t="s">
        <v>58</v>
      </c>
      <c r="C36" s="29" t="s">
        <v>35</v>
      </c>
      <c r="D36" s="31">
        <f>SUMIFS(D37:D1057,K37:K1057,"0",B37:B1057,"1 1 2 2 5 12 31111 6 M78 00003 002*")-SUMIFS(E37:E1057,K37:K1057,"0",B37:B1057,"1 1 2 2 5 12 31111 6 M78 00003 002*")</f>
        <v>181.96000000000004</v>
      </c>
      <c r="E36"/>
      <c r="F36" s="31">
        <f>SUMIFS(F37:F1057,K37:K1057,"0",B37:B1057,"1 1 2 2 5 12 31111 6 M78 00003 002*")</f>
        <v>11163854.099999998</v>
      </c>
      <c r="G36" s="31">
        <f>SUMIFS(G37:G1057,K37:K1057,"0",B37:B1057,"1 1 2 2 5 12 31111 6 M78 00003 002*")</f>
        <v>11164036.059999999</v>
      </c>
      <c r="H36" s="31">
        <f t="shared" si="0"/>
        <v>0</v>
      </c>
      <c r="I36" s="31"/>
      <c r="K36" t="s">
        <v>14</v>
      </c>
    </row>
    <row r="37" spans="2:11" ht="13" x14ac:dyDescent="0.15">
      <c r="B37" s="27" t="s">
        <v>59</v>
      </c>
      <c r="C37" s="27" t="s">
        <v>33</v>
      </c>
      <c r="D37" s="30">
        <v>0</v>
      </c>
      <c r="E37" s="30"/>
      <c r="F37" s="30">
        <v>11159573.039999999</v>
      </c>
      <c r="G37" s="30">
        <v>11159573.039999999</v>
      </c>
      <c r="H37" s="30">
        <f t="shared" si="0"/>
        <v>0</v>
      </c>
      <c r="I37" s="30"/>
      <c r="K37" t="s">
        <v>38</v>
      </c>
    </row>
    <row r="38" spans="2:11" ht="13" x14ac:dyDescent="0.15">
      <c r="B38" s="27" t="s">
        <v>60</v>
      </c>
      <c r="C38" s="27" t="s">
        <v>61</v>
      </c>
      <c r="D38" s="30">
        <v>850.27</v>
      </c>
      <c r="E38" s="30"/>
      <c r="F38" s="30">
        <v>0</v>
      </c>
      <c r="G38" s="30">
        <v>850.27</v>
      </c>
      <c r="H38" s="30">
        <f t="shared" si="0"/>
        <v>0</v>
      </c>
      <c r="I38" s="30"/>
      <c r="K38" t="s">
        <v>38</v>
      </c>
    </row>
    <row r="39" spans="2:11" ht="13" x14ac:dyDescent="0.15">
      <c r="B39" s="27" t="s">
        <v>62</v>
      </c>
      <c r="C39" s="27" t="s">
        <v>63</v>
      </c>
      <c r="D39" s="30">
        <v>-668.31</v>
      </c>
      <c r="E39" s="30"/>
      <c r="F39" s="30">
        <v>1294.1199999999999</v>
      </c>
      <c r="G39" s="30">
        <v>625.80999999999995</v>
      </c>
      <c r="H39" s="30">
        <f t="shared" si="0"/>
        <v>0</v>
      </c>
      <c r="I39" s="30"/>
      <c r="K39" t="s">
        <v>38</v>
      </c>
    </row>
    <row r="40" spans="2:11" ht="13" x14ac:dyDescent="0.15">
      <c r="B40" s="27" t="s">
        <v>64</v>
      </c>
      <c r="C40" s="27" t="s">
        <v>65</v>
      </c>
      <c r="D40" s="30">
        <v>0</v>
      </c>
      <c r="E40" s="30"/>
      <c r="F40" s="30">
        <v>2986.94</v>
      </c>
      <c r="G40" s="30">
        <v>2986.94</v>
      </c>
      <c r="H40" s="30">
        <f t="shared" si="0"/>
        <v>0</v>
      </c>
      <c r="I40" s="30"/>
      <c r="K40" t="s">
        <v>38</v>
      </c>
    </row>
    <row r="41" spans="2:11" ht="13" x14ac:dyDescent="0.15">
      <c r="B41" s="29" t="s">
        <v>66</v>
      </c>
      <c r="C41" s="29" t="s">
        <v>67</v>
      </c>
      <c r="D41" s="31">
        <f>SUMIFS(D42:D1057,K42:K1057,"0",B42:B1057,"1 1 2 3*")-SUMIFS(E42:E1057,K42:K1057,"0",B42:B1057,"1 1 2 3*")</f>
        <v>198105.94</v>
      </c>
      <c r="E41"/>
      <c r="F41" s="31">
        <f>SUMIFS(F42:F1057,K42:K1057,"0",B42:B1057,"1 1 2 3*")</f>
        <v>400769.89</v>
      </c>
      <c r="G41" s="31">
        <f>SUMIFS(G42:G1057,K42:K1057,"0",B42:B1057,"1 1 2 3*")</f>
        <v>598875.82999999996</v>
      </c>
      <c r="H41" s="31">
        <f t="shared" si="0"/>
        <v>0</v>
      </c>
      <c r="I41" s="31"/>
      <c r="K41" t="s">
        <v>14</v>
      </c>
    </row>
    <row r="42" spans="2:11" ht="13" x14ac:dyDescent="0.15">
      <c r="B42" s="29" t="s">
        <v>68</v>
      </c>
      <c r="C42" s="29" t="s">
        <v>69</v>
      </c>
      <c r="D42" s="31">
        <f>SUMIFS(D43:D1057,K43:K1057,"0",B43:B1057,"1 1 2 3 1*")-SUMIFS(E43:E1057,K43:K1057,"0",B43:B1057,"1 1 2 3 1*")</f>
        <v>198105.94</v>
      </c>
      <c r="E42"/>
      <c r="F42" s="31">
        <f>SUMIFS(F43:F1057,K43:K1057,"0",B43:B1057,"1 1 2 3 1*")</f>
        <v>400769.89</v>
      </c>
      <c r="G42" s="31">
        <f>SUMIFS(G43:G1057,K43:K1057,"0",B43:B1057,"1 1 2 3 1*")</f>
        <v>598875.82999999996</v>
      </c>
      <c r="H42" s="31">
        <f t="shared" si="0"/>
        <v>0</v>
      </c>
      <c r="I42" s="31"/>
      <c r="K42" t="s">
        <v>14</v>
      </c>
    </row>
    <row r="43" spans="2:11" ht="13" x14ac:dyDescent="0.15">
      <c r="B43" s="29" t="s">
        <v>70</v>
      </c>
      <c r="C43" s="29" t="s">
        <v>25</v>
      </c>
      <c r="D43" s="31">
        <f>SUMIFS(D44:D1057,K44:K1057,"0",B44:B1057,"1 1 2 3 1 12*")-SUMIFS(E44:E1057,K44:K1057,"0",B44:B1057,"1 1 2 3 1 12*")</f>
        <v>198105.94</v>
      </c>
      <c r="E43"/>
      <c r="F43" s="31">
        <f>SUMIFS(F44:F1057,K44:K1057,"0",B44:B1057,"1 1 2 3 1 12*")</f>
        <v>400769.89</v>
      </c>
      <c r="G43" s="31">
        <f>SUMIFS(G44:G1057,K44:K1057,"0",B44:B1057,"1 1 2 3 1 12*")</f>
        <v>598875.82999999996</v>
      </c>
      <c r="H43" s="31">
        <f t="shared" si="0"/>
        <v>0</v>
      </c>
      <c r="I43" s="31"/>
      <c r="K43" t="s">
        <v>14</v>
      </c>
    </row>
    <row r="44" spans="2:11" ht="13" x14ac:dyDescent="0.15">
      <c r="B44" s="29" t="s">
        <v>71</v>
      </c>
      <c r="C44" s="29" t="s">
        <v>27</v>
      </c>
      <c r="D44" s="31">
        <f>SUMIFS(D45:D1057,K45:K1057,"0",B45:B1057,"1 1 2 3 1 12 31111*")-SUMIFS(E45:E1057,K45:K1057,"0",B45:B1057,"1 1 2 3 1 12 31111*")</f>
        <v>198105.94</v>
      </c>
      <c r="E44"/>
      <c r="F44" s="31">
        <f>SUMIFS(F45:F1057,K45:K1057,"0",B45:B1057,"1 1 2 3 1 12 31111*")</f>
        <v>400769.89</v>
      </c>
      <c r="G44" s="31">
        <f>SUMIFS(G45:G1057,K45:K1057,"0",B45:B1057,"1 1 2 3 1 12 31111*")</f>
        <v>598875.82999999996</v>
      </c>
      <c r="H44" s="31">
        <f t="shared" si="0"/>
        <v>0</v>
      </c>
      <c r="I44" s="31"/>
      <c r="K44" t="s">
        <v>14</v>
      </c>
    </row>
    <row r="45" spans="2:11" ht="13" x14ac:dyDescent="0.15">
      <c r="B45" s="29" t="s">
        <v>72</v>
      </c>
      <c r="C45" s="29" t="s">
        <v>29</v>
      </c>
      <c r="D45" s="31">
        <f>SUMIFS(D46:D1057,K46:K1057,"0",B46:B1057,"1 1 2 3 1 12 31111 6*")-SUMIFS(E46:E1057,K46:K1057,"0",B46:B1057,"1 1 2 3 1 12 31111 6*")</f>
        <v>198105.94</v>
      </c>
      <c r="E45"/>
      <c r="F45" s="31">
        <f>SUMIFS(F46:F1057,K46:K1057,"0",B46:B1057,"1 1 2 3 1 12 31111 6*")</f>
        <v>400769.89</v>
      </c>
      <c r="G45" s="31">
        <f>SUMIFS(G46:G1057,K46:K1057,"0",B46:B1057,"1 1 2 3 1 12 31111 6*")</f>
        <v>598875.82999999996</v>
      </c>
      <c r="H45" s="31">
        <f t="shared" si="0"/>
        <v>0</v>
      </c>
      <c r="I45" s="31"/>
      <c r="K45" t="s">
        <v>14</v>
      </c>
    </row>
    <row r="46" spans="2:11" ht="13" x14ac:dyDescent="0.15">
      <c r="B46" s="29" t="s">
        <v>73</v>
      </c>
      <c r="C46" s="29" t="s">
        <v>31</v>
      </c>
      <c r="D46" s="31">
        <f>SUMIFS(D47:D1057,K47:K1057,"0",B47:B1057,"1 1 2 3 1 12 31111 6 M78*")-SUMIFS(E47:E1057,K47:K1057,"0",B47:B1057,"1 1 2 3 1 12 31111 6 M78*")</f>
        <v>198105.94</v>
      </c>
      <c r="E46"/>
      <c r="F46" s="31">
        <f>SUMIFS(F47:F1057,K47:K1057,"0",B47:B1057,"1 1 2 3 1 12 31111 6 M78*")</f>
        <v>400769.89</v>
      </c>
      <c r="G46" s="31">
        <f>SUMIFS(G47:G1057,K47:K1057,"0",B47:B1057,"1 1 2 3 1 12 31111 6 M78*")</f>
        <v>598875.82999999996</v>
      </c>
      <c r="H46" s="31">
        <f t="shared" si="0"/>
        <v>0</v>
      </c>
      <c r="I46" s="31"/>
      <c r="K46" t="s">
        <v>14</v>
      </c>
    </row>
    <row r="47" spans="2:11" ht="13" x14ac:dyDescent="0.15">
      <c r="B47" s="29" t="s">
        <v>74</v>
      </c>
      <c r="C47" s="29" t="s">
        <v>33</v>
      </c>
      <c r="D47" s="31">
        <f>SUMIFS(D48:D1057,K48:K1057,"0",B48:B1057,"1 1 2 3 1 12 31111 6 M78 00003*")-SUMIFS(E48:E1057,K48:K1057,"0",B48:B1057,"1 1 2 3 1 12 31111 6 M78 00003*")</f>
        <v>198105.94</v>
      </c>
      <c r="E47"/>
      <c r="F47" s="31">
        <f>SUMIFS(F48:F1057,K48:K1057,"0",B48:B1057,"1 1 2 3 1 12 31111 6 M78 00003*")</f>
        <v>400769.89</v>
      </c>
      <c r="G47" s="31">
        <f>SUMIFS(G48:G1057,K48:K1057,"0",B48:B1057,"1 1 2 3 1 12 31111 6 M78 00003*")</f>
        <v>598875.82999999996</v>
      </c>
      <c r="H47" s="31">
        <f t="shared" si="0"/>
        <v>0</v>
      </c>
      <c r="I47" s="31"/>
      <c r="K47" t="s">
        <v>14</v>
      </c>
    </row>
    <row r="48" spans="2:11" ht="13" x14ac:dyDescent="0.15">
      <c r="B48" s="29" t="s">
        <v>75</v>
      </c>
      <c r="C48" s="29" t="s">
        <v>76</v>
      </c>
      <c r="D48" s="31">
        <f>SUMIFS(D49:D1057,K49:K1057,"0",B49:B1057,"1 1 2 3 1 12 31111 6 M78 00003 002*")-SUMIFS(E49:E1057,K49:K1057,"0",B49:B1057,"1 1 2 3 1 12 31111 6 M78 00003 002*")</f>
        <v>198105.94</v>
      </c>
      <c r="E48"/>
      <c r="F48" s="31">
        <f>SUMIFS(F49:F1057,K49:K1057,"0",B49:B1057,"1 1 2 3 1 12 31111 6 M78 00003 002*")</f>
        <v>400769.89</v>
      </c>
      <c r="G48" s="31">
        <f>SUMIFS(G49:G1057,K49:K1057,"0",B49:B1057,"1 1 2 3 1 12 31111 6 M78 00003 002*")</f>
        <v>598875.82999999996</v>
      </c>
      <c r="H48" s="31">
        <f t="shared" si="0"/>
        <v>0</v>
      </c>
      <c r="I48" s="31"/>
      <c r="K48" t="s">
        <v>14</v>
      </c>
    </row>
    <row r="49" spans="2:11" ht="13" x14ac:dyDescent="0.15">
      <c r="B49" s="27" t="s">
        <v>77</v>
      </c>
      <c r="C49" s="27" t="s">
        <v>78</v>
      </c>
      <c r="D49" s="30">
        <v>-1894.06</v>
      </c>
      <c r="E49" s="30"/>
      <c r="F49" s="30">
        <v>180769.89</v>
      </c>
      <c r="G49" s="30">
        <v>178875.83</v>
      </c>
      <c r="H49" s="30">
        <f t="shared" si="0"/>
        <v>0</v>
      </c>
      <c r="I49" s="30"/>
      <c r="K49" t="s">
        <v>38</v>
      </c>
    </row>
    <row r="50" spans="2:11" ht="13" x14ac:dyDescent="0.15">
      <c r="B50" s="27" t="s">
        <v>79</v>
      </c>
      <c r="C50" s="27" t="s">
        <v>80</v>
      </c>
      <c r="D50" s="30">
        <v>5000</v>
      </c>
      <c r="E50" s="30"/>
      <c r="F50" s="30">
        <v>0</v>
      </c>
      <c r="G50" s="30">
        <v>5000</v>
      </c>
      <c r="H50" s="30">
        <f t="shared" si="0"/>
        <v>0</v>
      </c>
      <c r="I50" s="30"/>
      <c r="K50" t="s">
        <v>38</v>
      </c>
    </row>
    <row r="51" spans="2:11" ht="13" x14ac:dyDescent="0.15">
      <c r="B51" s="27" t="s">
        <v>81</v>
      </c>
      <c r="C51" s="27" t="s">
        <v>82</v>
      </c>
      <c r="D51" s="30">
        <v>175000</v>
      </c>
      <c r="E51" s="30"/>
      <c r="F51" s="30">
        <v>0</v>
      </c>
      <c r="G51" s="30">
        <v>175000</v>
      </c>
      <c r="H51" s="30">
        <f t="shared" si="0"/>
        <v>0</v>
      </c>
      <c r="I51" s="30"/>
      <c r="K51" t="s">
        <v>38</v>
      </c>
    </row>
    <row r="52" spans="2:11" ht="13" x14ac:dyDescent="0.15">
      <c r="B52" s="27" t="s">
        <v>83</v>
      </c>
      <c r="C52" s="27" t="s">
        <v>84</v>
      </c>
      <c r="D52" s="30">
        <v>20000</v>
      </c>
      <c r="E52" s="30"/>
      <c r="F52" s="30">
        <v>0</v>
      </c>
      <c r="G52" s="30">
        <v>20000</v>
      </c>
      <c r="H52" s="30">
        <f t="shared" si="0"/>
        <v>0</v>
      </c>
      <c r="I52" s="30"/>
      <c r="K52" t="s">
        <v>38</v>
      </c>
    </row>
    <row r="53" spans="2:11" ht="13" x14ac:dyDescent="0.15">
      <c r="B53" s="27" t="s">
        <v>85</v>
      </c>
      <c r="C53" s="27" t="s">
        <v>86</v>
      </c>
      <c r="D53" s="30">
        <v>0</v>
      </c>
      <c r="E53" s="30"/>
      <c r="F53" s="30">
        <v>220000</v>
      </c>
      <c r="G53" s="30">
        <v>220000</v>
      </c>
      <c r="H53" s="30">
        <f t="shared" si="0"/>
        <v>0</v>
      </c>
      <c r="I53" s="30"/>
      <c r="K53" t="s">
        <v>38</v>
      </c>
    </row>
    <row r="54" spans="2:11" ht="13" x14ac:dyDescent="0.15">
      <c r="B54" s="29" t="s">
        <v>87</v>
      </c>
      <c r="C54" s="29" t="s">
        <v>88</v>
      </c>
      <c r="D54" s="31">
        <f>SUMIFS(D55:D1057,K55:K1057,"0",B55:B1057,"1 1 2 4*")-SUMIFS(E55:E1057,K55:K1057,"0",B55:B1057,"1 1 2 4*")</f>
        <v>0</v>
      </c>
      <c r="E54"/>
      <c r="F54" s="31">
        <f>SUMIFS(F55:F1057,K55:K1057,"0",B55:B1057,"1 1 2 4*")</f>
        <v>16436.84</v>
      </c>
      <c r="G54" s="31">
        <f>SUMIFS(G55:G1057,K55:K1057,"0",B55:B1057,"1 1 2 4*")</f>
        <v>16436.84</v>
      </c>
      <c r="H54" s="31">
        <f t="shared" si="0"/>
        <v>0</v>
      </c>
      <c r="I54" s="31"/>
      <c r="K54" t="s">
        <v>14</v>
      </c>
    </row>
    <row r="55" spans="2:11" ht="13" x14ac:dyDescent="0.15">
      <c r="B55" s="29" t="s">
        <v>89</v>
      </c>
      <c r="C55" s="29" t="s">
        <v>90</v>
      </c>
      <c r="D55" s="31">
        <f>SUMIFS(D56:D1057,K56:K1057,"0",B56:B1057,"1 1 2 4 4*")-SUMIFS(E56:E1057,K56:K1057,"0",B56:B1057,"1 1 2 4 4*")</f>
        <v>0</v>
      </c>
      <c r="E55"/>
      <c r="F55" s="31">
        <f>SUMIFS(F56:F1057,K56:K1057,"0",B56:B1057,"1 1 2 4 4*")</f>
        <v>16436.84</v>
      </c>
      <c r="G55" s="31">
        <f>SUMIFS(G56:G1057,K56:K1057,"0",B56:B1057,"1 1 2 4 4*")</f>
        <v>16436.84</v>
      </c>
      <c r="H55" s="31">
        <f t="shared" si="0"/>
        <v>0</v>
      </c>
      <c r="I55" s="31"/>
      <c r="K55" t="s">
        <v>14</v>
      </c>
    </row>
    <row r="56" spans="2:11" ht="13" x14ac:dyDescent="0.15">
      <c r="B56" s="29" t="s">
        <v>91</v>
      </c>
      <c r="C56" s="29" t="s">
        <v>25</v>
      </c>
      <c r="D56" s="31">
        <f>SUMIFS(D57:D1057,K57:K1057,"0",B57:B1057,"1 1 2 4 4 12*")-SUMIFS(E57:E1057,K57:K1057,"0",B57:B1057,"1 1 2 4 4 12*")</f>
        <v>0</v>
      </c>
      <c r="E56"/>
      <c r="F56" s="31">
        <f>SUMIFS(F57:F1057,K57:K1057,"0",B57:B1057,"1 1 2 4 4 12*")</f>
        <v>16436.84</v>
      </c>
      <c r="G56" s="31">
        <f>SUMIFS(G57:G1057,K57:K1057,"0",B57:B1057,"1 1 2 4 4 12*")</f>
        <v>16436.84</v>
      </c>
      <c r="H56" s="31">
        <f t="shared" si="0"/>
        <v>0</v>
      </c>
      <c r="I56" s="31"/>
      <c r="K56" t="s">
        <v>14</v>
      </c>
    </row>
    <row r="57" spans="2:11" ht="13" x14ac:dyDescent="0.15">
      <c r="B57" s="29" t="s">
        <v>92</v>
      </c>
      <c r="C57" s="29" t="s">
        <v>27</v>
      </c>
      <c r="D57" s="31">
        <f>SUMIFS(D58:D1057,K58:K1057,"0",B58:B1057,"1 1 2 4 4 12 31111*")-SUMIFS(E58:E1057,K58:K1057,"0",B58:B1057,"1 1 2 4 4 12 31111*")</f>
        <v>0</v>
      </c>
      <c r="E57"/>
      <c r="F57" s="31">
        <f>SUMIFS(F58:F1057,K58:K1057,"0",B58:B1057,"1 1 2 4 4 12 31111*")</f>
        <v>16436.84</v>
      </c>
      <c r="G57" s="31">
        <f>SUMIFS(G58:G1057,K58:K1057,"0",B58:B1057,"1 1 2 4 4 12 31111*")</f>
        <v>16436.84</v>
      </c>
      <c r="H57" s="31">
        <f t="shared" si="0"/>
        <v>0</v>
      </c>
      <c r="I57" s="31"/>
      <c r="K57" t="s">
        <v>14</v>
      </c>
    </row>
    <row r="58" spans="2:11" ht="13" x14ac:dyDescent="0.15">
      <c r="B58" s="29" t="s">
        <v>93</v>
      </c>
      <c r="C58" s="29" t="s">
        <v>29</v>
      </c>
      <c r="D58" s="31">
        <f>SUMIFS(D59:D1057,K59:K1057,"0",B59:B1057,"1 1 2 4 4 12 31111 6*")-SUMIFS(E59:E1057,K59:K1057,"0",B59:B1057,"1 1 2 4 4 12 31111 6*")</f>
        <v>0</v>
      </c>
      <c r="E58"/>
      <c r="F58" s="31">
        <f>SUMIFS(F59:F1057,K59:K1057,"0",B59:B1057,"1 1 2 4 4 12 31111 6*")</f>
        <v>16436.84</v>
      </c>
      <c r="G58" s="31">
        <f>SUMIFS(G59:G1057,K59:K1057,"0",B59:B1057,"1 1 2 4 4 12 31111 6*")</f>
        <v>16436.84</v>
      </c>
      <c r="H58" s="31">
        <f t="shared" si="0"/>
        <v>0</v>
      </c>
      <c r="I58" s="31"/>
      <c r="K58" t="s">
        <v>14</v>
      </c>
    </row>
    <row r="59" spans="2:11" ht="13" x14ac:dyDescent="0.15">
      <c r="B59" s="29" t="s">
        <v>94</v>
      </c>
      <c r="C59" s="29" t="s">
        <v>31</v>
      </c>
      <c r="D59" s="31">
        <f>SUMIFS(D60:D1057,K60:K1057,"0",B60:B1057,"1 1 2 4 4 12 31111 6 M78*")-SUMIFS(E60:E1057,K60:K1057,"0",B60:B1057,"1 1 2 4 4 12 31111 6 M78*")</f>
        <v>0</v>
      </c>
      <c r="E59"/>
      <c r="F59" s="31">
        <f>SUMIFS(F60:F1057,K60:K1057,"0",B60:B1057,"1 1 2 4 4 12 31111 6 M78*")</f>
        <v>16436.84</v>
      </c>
      <c r="G59" s="31">
        <f>SUMIFS(G60:G1057,K60:K1057,"0",B60:B1057,"1 1 2 4 4 12 31111 6 M78*")</f>
        <v>16436.84</v>
      </c>
      <c r="H59" s="31">
        <f t="shared" si="0"/>
        <v>0</v>
      </c>
      <c r="I59" s="31"/>
      <c r="K59" t="s">
        <v>14</v>
      </c>
    </row>
    <row r="60" spans="2:11" ht="13" x14ac:dyDescent="0.15">
      <c r="B60" s="29" t="s">
        <v>95</v>
      </c>
      <c r="C60" s="29" t="s">
        <v>33</v>
      </c>
      <c r="D60" s="31">
        <f>SUMIFS(D61:D1057,K61:K1057,"0",B61:B1057,"1 1 2 4 4 12 31111 6 M78 00003*")-SUMIFS(E61:E1057,K61:K1057,"0",B61:B1057,"1 1 2 4 4 12 31111 6 M78 00003*")</f>
        <v>0</v>
      </c>
      <c r="E60"/>
      <c r="F60" s="31">
        <f>SUMIFS(F61:F1057,K61:K1057,"0",B61:B1057,"1 1 2 4 4 12 31111 6 M78 00003*")</f>
        <v>16436.84</v>
      </c>
      <c r="G60" s="31">
        <f>SUMIFS(G61:G1057,K61:K1057,"0",B61:B1057,"1 1 2 4 4 12 31111 6 M78 00003*")</f>
        <v>16436.84</v>
      </c>
      <c r="H60" s="31">
        <f t="shared" si="0"/>
        <v>0</v>
      </c>
      <c r="I60" s="31"/>
      <c r="K60" t="s">
        <v>14</v>
      </c>
    </row>
    <row r="61" spans="2:11" ht="13" x14ac:dyDescent="0.15">
      <c r="B61" s="29" t="s">
        <v>96</v>
      </c>
      <c r="C61" s="29" t="s">
        <v>76</v>
      </c>
      <c r="D61" s="31">
        <f>SUMIFS(D62:D1057,K62:K1057,"0",B62:B1057,"1 1 2 4 4 12 31111 6 M78 00003 002*")-SUMIFS(E62:E1057,K62:K1057,"0",B62:B1057,"1 1 2 4 4 12 31111 6 M78 00003 002*")</f>
        <v>0</v>
      </c>
      <c r="E61"/>
      <c r="F61" s="31">
        <f>SUMIFS(F62:F1057,K62:K1057,"0",B62:B1057,"1 1 2 4 4 12 31111 6 M78 00003 002*")</f>
        <v>16436.84</v>
      </c>
      <c r="G61" s="31">
        <f>SUMIFS(G62:G1057,K62:K1057,"0",B62:B1057,"1 1 2 4 4 12 31111 6 M78 00003 002*")</f>
        <v>16436.84</v>
      </c>
      <c r="H61" s="31">
        <f t="shared" si="0"/>
        <v>0</v>
      </c>
      <c r="I61" s="31"/>
      <c r="K61" t="s">
        <v>14</v>
      </c>
    </row>
    <row r="62" spans="2:11" ht="13" x14ac:dyDescent="0.15">
      <c r="B62" s="27" t="s">
        <v>97</v>
      </c>
      <c r="C62" s="27" t="s">
        <v>98</v>
      </c>
      <c r="D62" s="30">
        <v>0</v>
      </c>
      <c r="E62" s="30"/>
      <c r="F62" s="30">
        <v>16436.84</v>
      </c>
      <c r="G62" s="30">
        <v>16436.84</v>
      </c>
      <c r="H62" s="30">
        <f t="shared" si="0"/>
        <v>0</v>
      </c>
      <c r="I62" s="30"/>
      <c r="K62" t="s">
        <v>38</v>
      </c>
    </row>
    <row r="63" spans="2:11" ht="13" x14ac:dyDescent="0.15">
      <c r="B63" s="29" t="s">
        <v>99</v>
      </c>
      <c r="C63" s="29" t="s">
        <v>100</v>
      </c>
      <c r="D63" s="31">
        <f>SUMIFS(D64:D1057,K64:K1057,"0",B64:B1057,"1 1 3*")-SUMIFS(E64:E1057,K64:K1057,"0",B64:B1057,"1 1 3*")</f>
        <v>193025.36</v>
      </c>
      <c r="E63"/>
      <c r="F63" s="31">
        <f>SUMIFS(F64:F1057,K64:K1057,"0",B64:B1057,"1 1 3*")</f>
        <v>0</v>
      </c>
      <c r="G63" s="31">
        <f>SUMIFS(G64:G1057,K64:K1057,"0",B64:B1057,"1 1 3*")</f>
        <v>0</v>
      </c>
      <c r="H63" s="31">
        <f t="shared" si="0"/>
        <v>193025.36</v>
      </c>
      <c r="I63" s="31"/>
      <c r="K63" t="s">
        <v>14</v>
      </c>
    </row>
    <row r="64" spans="2:11" ht="22" x14ac:dyDescent="0.15">
      <c r="B64" s="29" t="s">
        <v>101</v>
      </c>
      <c r="C64" s="29" t="s">
        <v>102</v>
      </c>
      <c r="D64" s="31">
        <f>SUMIFS(D65:D1057,K65:K1057,"0",B65:B1057,"1 1 3 1*")-SUMIFS(E65:E1057,K65:K1057,"0",B65:B1057,"1 1 3 1*")</f>
        <v>193025.36</v>
      </c>
      <c r="E64"/>
      <c r="F64" s="31">
        <f>SUMIFS(F65:F1057,K65:K1057,"0",B65:B1057,"1 1 3 1*")</f>
        <v>0</v>
      </c>
      <c r="G64" s="31">
        <f>SUMIFS(G65:G1057,K65:K1057,"0",B65:B1057,"1 1 3 1*")</f>
        <v>0</v>
      </c>
      <c r="H64" s="31">
        <f t="shared" si="0"/>
        <v>193025.36</v>
      </c>
      <c r="I64" s="31"/>
      <c r="K64" t="s">
        <v>14</v>
      </c>
    </row>
    <row r="65" spans="2:11" ht="22" x14ac:dyDescent="0.15">
      <c r="B65" s="29" t="s">
        <v>103</v>
      </c>
      <c r="C65" s="29" t="s">
        <v>102</v>
      </c>
      <c r="D65" s="31">
        <f>SUMIFS(D66:D1057,K66:K1057,"0",B66:B1057,"1 1 3 1 1*")-SUMIFS(E66:E1057,K66:K1057,"0",B66:B1057,"1 1 3 1 1*")</f>
        <v>193025.36</v>
      </c>
      <c r="E65"/>
      <c r="F65" s="31">
        <f>SUMIFS(F66:F1057,K66:K1057,"0",B66:B1057,"1 1 3 1 1*")</f>
        <v>0</v>
      </c>
      <c r="G65" s="31">
        <f>SUMIFS(G66:G1057,K66:K1057,"0",B66:B1057,"1 1 3 1 1*")</f>
        <v>0</v>
      </c>
      <c r="H65" s="31">
        <f t="shared" si="0"/>
        <v>193025.36</v>
      </c>
      <c r="I65" s="31"/>
      <c r="K65" t="s">
        <v>14</v>
      </c>
    </row>
    <row r="66" spans="2:11" ht="13" x14ac:dyDescent="0.15">
      <c r="B66" s="29" t="s">
        <v>104</v>
      </c>
      <c r="C66" s="29" t="s">
        <v>25</v>
      </c>
      <c r="D66" s="31">
        <f>SUMIFS(D67:D1057,K67:K1057,"0",B67:B1057,"1 1 3 1 1 12*")-SUMIFS(E67:E1057,K67:K1057,"0",B67:B1057,"1 1 3 1 1 12*")</f>
        <v>193025.36</v>
      </c>
      <c r="E66"/>
      <c r="F66" s="31">
        <f>SUMIFS(F67:F1057,K67:K1057,"0",B67:B1057,"1 1 3 1 1 12*")</f>
        <v>0</v>
      </c>
      <c r="G66" s="31">
        <f>SUMIFS(G67:G1057,K67:K1057,"0",B67:B1057,"1 1 3 1 1 12*")</f>
        <v>0</v>
      </c>
      <c r="H66" s="31">
        <f t="shared" si="0"/>
        <v>193025.36</v>
      </c>
      <c r="I66" s="31"/>
      <c r="K66" t="s">
        <v>14</v>
      </c>
    </row>
    <row r="67" spans="2:11" ht="13" x14ac:dyDescent="0.15">
      <c r="B67" s="29" t="s">
        <v>105</v>
      </c>
      <c r="C67" s="29" t="s">
        <v>27</v>
      </c>
      <c r="D67" s="31">
        <f>SUMIFS(D68:D1057,K68:K1057,"0",B68:B1057,"1 1 3 1 1 12 31111*")-SUMIFS(E68:E1057,K68:K1057,"0",B68:B1057,"1 1 3 1 1 12 31111*")</f>
        <v>193025.36</v>
      </c>
      <c r="E67"/>
      <c r="F67" s="31">
        <f>SUMIFS(F68:F1057,K68:K1057,"0",B68:B1057,"1 1 3 1 1 12 31111*")</f>
        <v>0</v>
      </c>
      <c r="G67" s="31">
        <f>SUMIFS(G68:G1057,K68:K1057,"0",B68:B1057,"1 1 3 1 1 12 31111*")</f>
        <v>0</v>
      </c>
      <c r="H67" s="31">
        <f t="shared" si="0"/>
        <v>193025.36</v>
      </c>
      <c r="I67" s="31"/>
      <c r="K67" t="s">
        <v>14</v>
      </c>
    </row>
    <row r="68" spans="2:11" ht="13" x14ac:dyDescent="0.15">
      <c r="B68" s="29" t="s">
        <v>106</v>
      </c>
      <c r="C68" s="29" t="s">
        <v>29</v>
      </c>
      <c r="D68" s="31">
        <f>SUMIFS(D69:D1057,K69:K1057,"0",B69:B1057,"1 1 3 1 1 12 31111 6*")-SUMIFS(E69:E1057,K69:K1057,"0",B69:B1057,"1 1 3 1 1 12 31111 6*")</f>
        <v>193025.36</v>
      </c>
      <c r="E68"/>
      <c r="F68" s="31">
        <f>SUMIFS(F69:F1057,K69:K1057,"0",B69:B1057,"1 1 3 1 1 12 31111 6*")</f>
        <v>0</v>
      </c>
      <c r="G68" s="31">
        <f>SUMIFS(G69:G1057,K69:K1057,"0",B69:B1057,"1 1 3 1 1 12 31111 6*")</f>
        <v>0</v>
      </c>
      <c r="H68" s="31">
        <f t="shared" si="0"/>
        <v>193025.36</v>
      </c>
      <c r="I68" s="31"/>
      <c r="K68" t="s">
        <v>14</v>
      </c>
    </row>
    <row r="69" spans="2:11" ht="13" x14ac:dyDescent="0.15">
      <c r="B69" s="29" t="s">
        <v>107</v>
      </c>
      <c r="C69" s="29" t="s">
        <v>108</v>
      </c>
      <c r="D69" s="31">
        <f>SUMIFS(D70:D1057,K70:K1057,"0",B70:B1057,"1 1 3 1 1 12 31111 6 M78*")-SUMIFS(E70:E1057,K70:K1057,"0",B70:B1057,"1 1 3 1 1 12 31111 6 M78*")</f>
        <v>193025.36</v>
      </c>
      <c r="E69"/>
      <c r="F69" s="31">
        <f>SUMIFS(F70:F1057,K70:K1057,"0",B70:B1057,"1 1 3 1 1 12 31111 6 M78*")</f>
        <v>0</v>
      </c>
      <c r="G69" s="31">
        <f>SUMIFS(G70:G1057,K70:K1057,"0",B70:B1057,"1 1 3 1 1 12 31111 6 M78*")</f>
        <v>0</v>
      </c>
      <c r="H69" s="31">
        <f t="shared" si="0"/>
        <v>193025.36</v>
      </c>
      <c r="I69" s="31"/>
      <c r="K69" t="s">
        <v>14</v>
      </c>
    </row>
    <row r="70" spans="2:11" ht="13" x14ac:dyDescent="0.15">
      <c r="B70" s="29" t="s">
        <v>109</v>
      </c>
      <c r="C70" s="29" t="s">
        <v>110</v>
      </c>
      <c r="D70" s="31">
        <f>SUMIFS(D71:D1057,K71:K1057,"0",B71:B1057,"1 1 3 1 1 12 31111 6 M78 00003*")-SUMIFS(E71:E1057,K71:K1057,"0",B71:B1057,"1 1 3 1 1 12 31111 6 M78 00003*")</f>
        <v>193025.36</v>
      </c>
      <c r="E70"/>
      <c r="F70" s="31">
        <f>SUMIFS(F71:F1057,K71:K1057,"0",B71:B1057,"1 1 3 1 1 12 31111 6 M78 00003*")</f>
        <v>0</v>
      </c>
      <c r="G70" s="31">
        <f>SUMIFS(G71:G1057,K71:K1057,"0",B71:B1057,"1 1 3 1 1 12 31111 6 M78 00003*")</f>
        <v>0</v>
      </c>
      <c r="H70" s="31">
        <f t="shared" si="0"/>
        <v>193025.36</v>
      </c>
      <c r="I70" s="31"/>
      <c r="K70" t="s">
        <v>14</v>
      </c>
    </row>
    <row r="71" spans="2:11" ht="13" x14ac:dyDescent="0.15">
      <c r="B71" s="29" t="s">
        <v>111</v>
      </c>
      <c r="C71" s="29" t="s">
        <v>112</v>
      </c>
      <c r="D71" s="31">
        <f>SUMIFS(D72:D1057,K72:K1057,"0",B72:B1057,"1 1 3 1 1 12 31111 6 M78 00003 002*")-SUMIFS(E72:E1057,K72:K1057,"0",B72:B1057,"1 1 3 1 1 12 31111 6 M78 00003 002*")</f>
        <v>193025.36</v>
      </c>
      <c r="E71"/>
      <c r="F71" s="31">
        <f>SUMIFS(F72:F1057,K72:K1057,"0",B72:B1057,"1 1 3 1 1 12 31111 6 M78 00003 002*")</f>
        <v>0</v>
      </c>
      <c r="G71" s="31">
        <f>SUMIFS(G72:G1057,K72:K1057,"0",B72:B1057,"1 1 3 1 1 12 31111 6 M78 00003 002*")</f>
        <v>0</v>
      </c>
      <c r="H71" s="31">
        <f t="shared" si="0"/>
        <v>193025.36</v>
      </c>
      <c r="I71" s="31"/>
      <c r="K71" t="s">
        <v>14</v>
      </c>
    </row>
    <row r="72" spans="2:11" ht="13" x14ac:dyDescent="0.15">
      <c r="B72" s="27" t="s">
        <v>113</v>
      </c>
      <c r="C72" s="27" t="s">
        <v>114</v>
      </c>
      <c r="D72" s="30">
        <v>193025.36</v>
      </c>
      <c r="E72" s="30"/>
      <c r="F72" s="30">
        <v>0</v>
      </c>
      <c r="G72" s="30">
        <v>0</v>
      </c>
      <c r="H72" s="30">
        <f t="shared" si="0"/>
        <v>193025.36</v>
      </c>
      <c r="I72" s="30"/>
      <c r="K72" t="s">
        <v>38</v>
      </c>
    </row>
    <row r="73" spans="2:11" ht="13" x14ac:dyDescent="0.15">
      <c r="B73" s="29" t="s">
        <v>115</v>
      </c>
      <c r="C73" s="29" t="s">
        <v>116</v>
      </c>
      <c r="D73" s="31">
        <f>SUMIFS(D74:D1057,K74:K1057,"0",B74:B1057,"1 1 4*")-SUMIFS(E74:E1057,K74:K1057,"0",B74:B1057,"1 1 4*")</f>
        <v>0</v>
      </c>
      <c r="E73"/>
      <c r="F73" s="31">
        <f>SUMIFS(F74:F1057,K74:K1057,"0",B74:B1057,"1 1 4*")</f>
        <v>0</v>
      </c>
      <c r="G73" s="31">
        <f>SUMIFS(G74:G1057,K74:K1057,"0",B74:B1057,"1 1 4*")</f>
        <v>0</v>
      </c>
      <c r="H73" s="31">
        <f t="shared" si="0"/>
        <v>0</v>
      </c>
      <c r="I73" s="31"/>
      <c r="K73" t="s">
        <v>14</v>
      </c>
    </row>
    <row r="74" spans="2:11" ht="13" x14ac:dyDescent="0.15">
      <c r="B74" s="29" t="s">
        <v>117</v>
      </c>
      <c r="C74" s="29" t="s">
        <v>118</v>
      </c>
      <c r="D74" s="31">
        <f>SUMIFS(D75:D1057,K75:K1057,"0",B75:B1057,"1 1 5*")-SUMIFS(E75:E1057,K75:K1057,"0",B75:B1057,"1 1 5*")</f>
        <v>0</v>
      </c>
      <c r="E74"/>
      <c r="F74" s="31">
        <f>SUMIFS(F75:F1057,K75:K1057,"0",B75:B1057,"1 1 5*")</f>
        <v>0</v>
      </c>
      <c r="G74" s="31">
        <f>SUMIFS(G75:G1057,K75:K1057,"0",B75:B1057,"1 1 5*")</f>
        <v>0</v>
      </c>
      <c r="H74" s="31">
        <f t="shared" si="0"/>
        <v>0</v>
      </c>
      <c r="I74" s="31"/>
      <c r="K74" t="s">
        <v>14</v>
      </c>
    </row>
    <row r="75" spans="2:11" ht="13" x14ac:dyDescent="0.15">
      <c r="B75" s="29" t="s">
        <v>119</v>
      </c>
      <c r="C75" s="29" t="s">
        <v>120</v>
      </c>
      <c r="D75" s="31">
        <f>SUMIFS(D76:D1057,K76:K1057,"0",B76:B1057,"1 1 6*")-SUMIFS(E76:E1057,K76:K1057,"0",B76:B1057,"1 1 6*")</f>
        <v>0</v>
      </c>
      <c r="E75"/>
      <c r="F75" s="31">
        <f>SUMIFS(F76:F1057,K76:K1057,"0",B76:B1057,"1 1 6*")</f>
        <v>0</v>
      </c>
      <c r="G75" s="31">
        <f>SUMIFS(G76:G1057,K76:K1057,"0",B76:B1057,"1 1 6*")</f>
        <v>0</v>
      </c>
      <c r="H75" s="31">
        <f t="shared" si="0"/>
        <v>0</v>
      </c>
      <c r="I75" s="31"/>
      <c r="K75" t="s">
        <v>14</v>
      </c>
    </row>
    <row r="76" spans="2:11" ht="13" x14ac:dyDescent="0.15">
      <c r="B76" s="29" t="s">
        <v>121</v>
      </c>
      <c r="C76" s="29" t="s">
        <v>122</v>
      </c>
      <c r="D76" s="31">
        <f>SUMIFS(D77:D1057,K77:K1057,"0",B77:B1057,"1 1 9*")-SUMIFS(E77:E1057,K77:K1057,"0",B77:B1057,"1 1 9*")</f>
        <v>0</v>
      </c>
      <c r="E76"/>
      <c r="F76" s="31">
        <f>SUMIFS(F77:F1057,K77:K1057,"0",B77:B1057,"1 1 9*")</f>
        <v>0</v>
      </c>
      <c r="G76" s="31">
        <f>SUMIFS(G77:G1057,K77:K1057,"0",B77:B1057,"1 1 9*")</f>
        <v>0</v>
      </c>
      <c r="H76" s="31">
        <f t="shared" ref="H76:H139" si="1">D76 + F76 - G76</f>
        <v>0</v>
      </c>
      <c r="I76" s="31"/>
      <c r="K76" t="s">
        <v>14</v>
      </c>
    </row>
    <row r="77" spans="2:11" ht="13" x14ac:dyDescent="0.15">
      <c r="B77" s="29" t="s">
        <v>123</v>
      </c>
      <c r="C77" s="29" t="s">
        <v>124</v>
      </c>
      <c r="D77" s="31">
        <f>SUMIFS(D78:D1057,K78:K1057,"0",B78:B1057,"1 2*")-SUMIFS(E78:E1057,K78:K1057,"0",B78:B1057,"1 2*")</f>
        <v>2800630.51</v>
      </c>
      <c r="E77"/>
      <c r="F77" s="31">
        <f>SUMIFS(F78:F1057,K78:K1057,"0",B78:B1057,"1 2*")</f>
        <v>427500</v>
      </c>
      <c r="G77" s="31">
        <f>SUMIFS(G78:G1057,K78:K1057,"0",B78:B1057,"1 2*")</f>
        <v>1338465.52</v>
      </c>
      <c r="H77" s="31">
        <f t="shared" si="1"/>
        <v>1889664.9899999998</v>
      </c>
      <c r="I77" s="31"/>
      <c r="K77" t="s">
        <v>14</v>
      </c>
    </row>
    <row r="78" spans="2:11" ht="13" x14ac:dyDescent="0.15">
      <c r="B78" s="29" t="s">
        <v>125</v>
      </c>
      <c r="C78" s="29" t="s">
        <v>126</v>
      </c>
      <c r="D78" s="31">
        <f>SUMIFS(D79:D1057,K79:K1057,"0",B79:B1057,"1 2 1*")-SUMIFS(E79:E1057,K79:K1057,"0",B79:B1057,"1 2 1*")</f>
        <v>0</v>
      </c>
      <c r="E78"/>
      <c r="F78" s="31">
        <f>SUMIFS(F79:F1057,K79:K1057,"0",B79:B1057,"1 2 1*")</f>
        <v>0</v>
      </c>
      <c r="G78" s="31">
        <f>SUMIFS(G79:G1057,K79:K1057,"0",B79:B1057,"1 2 1*")</f>
        <v>0</v>
      </c>
      <c r="H78" s="31">
        <f t="shared" si="1"/>
        <v>0</v>
      </c>
      <c r="I78" s="31"/>
      <c r="K78" t="s">
        <v>14</v>
      </c>
    </row>
    <row r="79" spans="2:11" ht="13" x14ac:dyDescent="0.15">
      <c r="B79" s="29" t="s">
        <v>127</v>
      </c>
      <c r="C79" s="29" t="s">
        <v>128</v>
      </c>
      <c r="D79" s="31">
        <f>SUMIFS(D80:D1057,K80:K1057,"0",B80:B1057,"1 2 2*")-SUMIFS(E80:E1057,K80:K1057,"0",B80:B1057,"1 2 2*")</f>
        <v>0</v>
      </c>
      <c r="E79"/>
      <c r="F79" s="31">
        <f>SUMIFS(F80:F1057,K80:K1057,"0",B80:B1057,"1 2 2*")</f>
        <v>0</v>
      </c>
      <c r="G79" s="31">
        <f>SUMIFS(G80:G1057,K80:K1057,"0",B80:B1057,"1 2 2*")</f>
        <v>0</v>
      </c>
      <c r="H79" s="31">
        <f t="shared" si="1"/>
        <v>0</v>
      </c>
      <c r="I79" s="31"/>
      <c r="K79" t="s">
        <v>14</v>
      </c>
    </row>
    <row r="80" spans="2:11" ht="13" x14ac:dyDescent="0.15">
      <c r="B80" s="29" t="s">
        <v>129</v>
      </c>
      <c r="C80" s="29" t="s">
        <v>130</v>
      </c>
      <c r="D80" s="31">
        <f>SUMIFS(D81:D1057,K81:K1057,"0",B81:B1057,"1 2 3*")-SUMIFS(E81:E1057,K81:K1057,"0",B81:B1057,"1 2 3*")</f>
        <v>0</v>
      </c>
      <c r="E80"/>
      <c r="F80" s="31">
        <f>SUMIFS(F81:F1057,K81:K1057,"0",B81:B1057,"1 2 3*")</f>
        <v>0</v>
      </c>
      <c r="G80" s="31">
        <f>SUMIFS(G81:G1057,K81:K1057,"0",B81:B1057,"1 2 3*")</f>
        <v>0</v>
      </c>
      <c r="H80" s="31">
        <f t="shared" si="1"/>
        <v>0</v>
      </c>
      <c r="I80" s="31"/>
      <c r="K80" t="s">
        <v>14</v>
      </c>
    </row>
    <row r="81" spans="2:11" ht="13" x14ac:dyDescent="0.15">
      <c r="B81" s="29" t="s">
        <v>131</v>
      </c>
      <c r="C81" s="29" t="s">
        <v>132</v>
      </c>
      <c r="D81" s="31">
        <f>SUMIFS(D82:D1057,K82:K1057,"0",B82:B1057,"1 2 4*")-SUMIFS(E82:E1057,K82:K1057,"0",B82:B1057,"1 2 4*")</f>
        <v>2800630.51</v>
      </c>
      <c r="E81"/>
      <c r="F81" s="31">
        <f>SUMIFS(F82:F1057,K82:K1057,"0",B82:B1057,"1 2 4*")</f>
        <v>427500</v>
      </c>
      <c r="G81" s="31">
        <f>SUMIFS(G82:G1057,K82:K1057,"0",B82:B1057,"1 2 4*")</f>
        <v>1338465.52</v>
      </c>
      <c r="H81" s="31">
        <f t="shared" si="1"/>
        <v>1889664.9899999998</v>
      </c>
      <c r="I81" s="31"/>
      <c r="K81" t="s">
        <v>14</v>
      </c>
    </row>
    <row r="82" spans="2:11" ht="13" x14ac:dyDescent="0.15">
      <c r="B82" s="29" t="s">
        <v>133</v>
      </c>
      <c r="C82" s="29" t="s">
        <v>134</v>
      </c>
      <c r="D82" s="31">
        <f>SUMIFS(D83:D1057,K83:K1057,"0",B83:B1057,"1 2 4 1*")-SUMIFS(E83:E1057,K83:K1057,"0",B83:B1057,"1 2 4 1*")</f>
        <v>131152.28000000003</v>
      </c>
      <c r="E82"/>
      <c r="F82" s="31">
        <f>SUMIFS(F83:F1057,K83:K1057,"0",B83:B1057,"1 2 4 1*")</f>
        <v>0</v>
      </c>
      <c r="G82" s="31">
        <f>SUMIFS(G83:G1057,K83:K1057,"0",B83:B1057,"1 2 4 1*")</f>
        <v>93150.280000000013</v>
      </c>
      <c r="H82" s="31">
        <f t="shared" si="1"/>
        <v>38002.000000000015</v>
      </c>
      <c r="I82" s="31"/>
      <c r="K82" t="s">
        <v>14</v>
      </c>
    </row>
    <row r="83" spans="2:11" ht="13" x14ac:dyDescent="0.15">
      <c r="B83" s="29" t="s">
        <v>135</v>
      </c>
      <c r="C83" s="29" t="s">
        <v>136</v>
      </c>
      <c r="D83" s="31">
        <f>SUMIFS(D84:D1057,K84:K1057,"0",B84:B1057,"1 2 4 1 1*")-SUMIFS(E84:E1057,K84:K1057,"0",B84:B1057,"1 2 4 1 1*")</f>
        <v>11970.5</v>
      </c>
      <c r="E83"/>
      <c r="F83" s="31">
        <f>SUMIFS(F84:F1057,K84:K1057,"0",B84:B1057,"1 2 4 1 1*")</f>
        <v>0</v>
      </c>
      <c r="G83" s="31">
        <f>SUMIFS(G84:G1057,K84:K1057,"0",B84:B1057,"1 2 4 1 1*")</f>
        <v>9168.5</v>
      </c>
      <c r="H83" s="31">
        <f t="shared" si="1"/>
        <v>2802</v>
      </c>
      <c r="I83" s="31"/>
      <c r="K83" t="s">
        <v>14</v>
      </c>
    </row>
    <row r="84" spans="2:11" ht="13" x14ac:dyDescent="0.15">
      <c r="B84" s="29" t="s">
        <v>137</v>
      </c>
      <c r="C84" s="29" t="s">
        <v>25</v>
      </c>
      <c r="D84" s="31">
        <f>SUMIFS(D85:D1057,K85:K1057,"0",B85:B1057,"1 2 4 1 1 12*")-SUMIFS(E85:E1057,K85:K1057,"0",B85:B1057,"1 2 4 1 1 12*")</f>
        <v>11970.5</v>
      </c>
      <c r="E84"/>
      <c r="F84" s="31">
        <f>SUMIFS(F85:F1057,K85:K1057,"0",B85:B1057,"1 2 4 1 1 12*")</f>
        <v>0</v>
      </c>
      <c r="G84" s="31">
        <f>SUMIFS(G85:G1057,K85:K1057,"0",B85:B1057,"1 2 4 1 1 12*")</f>
        <v>9168.5</v>
      </c>
      <c r="H84" s="31">
        <f t="shared" si="1"/>
        <v>2802</v>
      </c>
      <c r="I84" s="31"/>
      <c r="K84" t="s">
        <v>14</v>
      </c>
    </row>
    <row r="85" spans="2:11" ht="13" x14ac:dyDescent="0.15">
      <c r="B85" s="29" t="s">
        <v>138</v>
      </c>
      <c r="C85" s="29" t="s">
        <v>27</v>
      </c>
      <c r="D85" s="31">
        <f>SUMIFS(D86:D1057,K86:K1057,"0",B86:B1057,"1 2 4 1 1 12 31111*")-SUMIFS(E86:E1057,K86:K1057,"0",B86:B1057,"1 2 4 1 1 12 31111*")</f>
        <v>11970.5</v>
      </c>
      <c r="E85"/>
      <c r="F85" s="31">
        <f>SUMIFS(F86:F1057,K86:K1057,"0",B86:B1057,"1 2 4 1 1 12 31111*")</f>
        <v>0</v>
      </c>
      <c r="G85" s="31">
        <f>SUMIFS(G86:G1057,K86:K1057,"0",B86:B1057,"1 2 4 1 1 12 31111*")</f>
        <v>9168.5</v>
      </c>
      <c r="H85" s="31">
        <f t="shared" si="1"/>
        <v>2802</v>
      </c>
      <c r="I85" s="31"/>
      <c r="K85" t="s">
        <v>14</v>
      </c>
    </row>
    <row r="86" spans="2:11" ht="13" x14ac:dyDescent="0.15">
      <c r="B86" s="29" t="s">
        <v>139</v>
      </c>
      <c r="C86" s="29" t="s">
        <v>29</v>
      </c>
      <c r="D86" s="31">
        <f>SUMIFS(D87:D1057,K87:K1057,"0",B87:B1057,"1 2 4 1 1 12 31111 6*")-SUMIFS(E87:E1057,K87:K1057,"0",B87:B1057,"1 2 4 1 1 12 31111 6*")</f>
        <v>11970.5</v>
      </c>
      <c r="E86"/>
      <c r="F86" s="31">
        <f>SUMIFS(F87:F1057,K87:K1057,"0",B87:B1057,"1 2 4 1 1 12 31111 6*")</f>
        <v>0</v>
      </c>
      <c r="G86" s="31">
        <f>SUMIFS(G87:G1057,K87:K1057,"0",B87:B1057,"1 2 4 1 1 12 31111 6*")</f>
        <v>9168.5</v>
      </c>
      <c r="H86" s="31">
        <f t="shared" si="1"/>
        <v>2802</v>
      </c>
      <c r="I86" s="31"/>
      <c r="K86" t="s">
        <v>14</v>
      </c>
    </row>
    <row r="87" spans="2:11" ht="13" x14ac:dyDescent="0.15">
      <c r="B87" s="29" t="s">
        <v>140</v>
      </c>
      <c r="C87" s="29" t="s">
        <v>31</v>
      </c>
      <c r="D87" s="31">
        <f>SUMIFS(D88:D1057,K88:K1057,"0",B88:B1057,"1 2 4 1 1 12 31111 6 M78*")-SUMIFS(E88:E1057,K88:K1057,"0",B88:B1057,"1 2 4 1 1 12 31111 6 M78*")</f>
        <v>11970.5</v>
      </c>
      <c r="E87"/>
      <c r="F87" s="31">
        <f>SUMIFS(F88:F1057,K88:K1057,"0",B88:B1057,"1 2 4 1 1 12 31111 6 M78*")</f>
        <v>0</v>
      </c>
      <c r="G87" s="31">
        <f>SUMIFS(G88:G1057,K88:K1057,"0",B88:B1057,"1 2 4 1 1 12 31111 6 M78*")</f>
        <v>9168.5</v>
      </c>
      <c r="H87" s="31">
        <f t="shared" si="1"/>
        <v>2802</v>
      </c>
      <c r="I87" s="31"/>
      <c r="K87" t="s">
        <v>14</v>
      </c>
    </row>
    <row r="88" spans="2:11" ht="13" x14ac:dyDescent="0.15">
      <c r="B88" s="29" t="s">
        <v>141</v>
      </c>
      <c r="C88" s="29" t="s">
        <v>142</v>
      </c>
      <c r="D88" s="31">
        <f>SUMIFS(D89:D1057,K89:K1057,"0",B89:B1057,"1 2 4 1 1 12 31111 6 M78 00000*")-SUMIFS(E89:E1057,K89:K1057,"0",B89:B1057,"1 2 4 1 1 12 31111 6 M78 00000*")</f>
        <v>11970.5</v>
      </c>
      <c r="E88"/>
      <c r="F88" s="31">
        <f>SUMIFS(F89:F1057,K89:K1057,"0",B89:B1057,"1 2 4 1 1 12 31111 6 M78 00000*")</f>
        <v>0</v>
      </c>
      <c r="G88" s="31">
        <f>SUMIFS(G89:G1057,K89:K1057,"0",B89:B1057,"1 2 4 1 1 12 31111 6 M78 00000*")</f>
        <v>9168.5</v>
      </c>
      <c r="H88" s="31">
        <f t="shared" si="1"/>
        <v>2802</v>
      </c>
      <c r="I88" s="31"/>
      <c r="K88" t="s">
        <v>14</v>
      </c>
    </row>
    <row r="89" spans="2:11" ht="13" x14ac:dyDescent="0.15">
      <c r="B89" s="29" t="s">
        <v>143</v>
      </c>
      <c r="C89" s="29" t="s">
        <v>110</v>
      </c>
      <c r="D89" s="31">
        <f>SUMIFS(D90:D1057,K90:K1057,"0",B90:B1057,"1 2 4 1 1 12 31111 6 M78 00000 003*")-SUMIFS(E90:E1057,K90:K1057,"0",B90:B1057,"1 2 4 1 1 12 31111 6 M78 00000 003*")</f>
        <v>11970.5</v>
      </c>
      <c r="E89"/>
      <c r="F89" s="31">
        <f>SUMIFS(F90:F1057,K90:K1057,"0",B90:B1057,"1 2 4 1 1 12 31111 6 M78 00000 003*")</f>
        <v>0</v>
      </c>
      <c r="G89" s="31">
        <f>SUMIFS(G90:G1057,K90:K1057,"0",B90:B1057,"1 2 4 1 1 12 31111 6 M78 00000 003*")</f>
        <v>9168.5</v>
      </c>
      <c r="H89" s="31">
        <f t="shared" si="1"/>
        <v>2802</v>
      </c>
      <c r="I89" s="31"/>
      <c r="K89" t="s">
        <v>14</v>
      </c>
    </row>
    <row r="90" spans="2:11" ht="13" x14ac:dyDescent="0.15">
      <c r="B90" s="29" t="s">
        <v>144</v>
      </c>
      <c r="C90" s="29" t="s">
        <v>145</v>
      </c>
      <c r="D90" s="31">
        <f>SUMIFS(D91:D1057,K91:K1057,"0",B91:B1057,"1 2 4 1 1 12 31111 6 M78 00000 003 001*")-SUMIFS(E91:E1057,K91:K1057,"0",B91:B1057,"1 2 4 1 1 12 31111 6 M78 00000 003 001*")</f>
        <v>11970.5</v>
      </c>
      <c r="E90"/>
      <c r="F90" s="31">
        <f>SUMIFS(F91:F1057,K91:K1057,"0",B91:B1057,"1 2 4 1 1 12 31111 6 M78 00000 003 001*")</f>
        <v>0</v>
      </c>
      <c r="G90" s="31">
        <f>SUMIFS(G91:G1057,K91:K1057,"0",B91:B1057,"1 2 4 1 1 12 31111 6 M78 00000 003 001*")</f>
        <v>9168.5</v>
      </c>
      <c r="H90" s="31">
        <f t="shared" si="1"/>
        <v>2802</v>
      </c>
      <c r="I90" s="31"/>
      <c r="K90" t="s">
        <v>14</v>
      </c>
    </row>
    <row r="91" spans="2:11" ht="13" x14ac:dyDescent="0.15">
      <c r="B91" s="29" t="s">
        <v>146</v>
      </c>
      <c r="C91" s="29" t="s">
        <v>9</v>
      </c>
      <c r="D91" s="31">
        <f>SUMIFS(D92:D1057,K92:K1057,"0",B92:B1057,"1 2 4 1 1 12 31111 6 M78 00000 003 001 001*")-SUMIFS(E92:E1057,K92:K1057,"0",B92:B1057,"1 2 4 1 1 12 31111 6 M78 00000 003 001 001*")</f>
        <v>11970.5</v>
      </c>
      <c r="E91"/>
      <c r="F91" s="31">
        <f>SUMIFS(F92:F1057,K92:K1057,"0",B92:B1057,"1 2 4 1 1 12 31111 6 M78 00000 003 001 001*")</f>
        <v>0</v>
      </c>
      <c r="G91" s="31">
        <f>SUMIFS(G92:G1057,K92:K1057,"0",B92:B1057,"1 2 4 1 1 12 31111 6 M78 00000 003 001 001*")</f>
        <v>9168.5</v>
      </c>
      <c r="H91" s="31">
        <f t="shared" si="1"/>
        <v>2802</v>
      </c>
      <c r="I91" s="31"/>
      <c r="K91" t="s">
        <v>14</v>
      </c>
    </row>
    <row r="92" spans="2:11" ht="13" x14ac:dyDescent="0.15">
      <c r="B92" s="27" t="s">
        <v>147</v>
      </c>
      <c r="C92" s="27" t="s">
        <v>148</v>
      </c>
      <c r="D92" s="30">
        <v>2802</v>
      </c>
      <c r="E92" s="30"/>
      <c r="F92" s="30">
        <v>0</v>
      </c>
      <c r="G92" s="30">
        <v>0</v>
      </c>
      <c r="H92" s="30">
        <f t="shared" si="1"/>
        <v>2802</v>
      </c>
      <c r="I92" s="30"/>
      <c r="K92" t="s">
        <v>38</v>
      </c>
    </row>
    <row r="93" spans="2:11" ht="13" x14ac:dyDescent="0.15">
      <c r="B93" s="27" t="s">
        <v>149</v>
      </c>
      <c r="C93" s="27" t="s">
        <v>150</v>
      </c>
      <c r="D93" s="30">
        <v>9168.5</v>
      </c>
      <c r="E93" s="30"/>
      <c r="F93" s="30">
        <v>0</v>
      </c>
      <c r="G93" s="30">
        <v>9168.5</v>
      </c>
      <c r="H93" s="30">
        <f t="shared" si="1"/>
        <v>0</v>
      </c>
      <c r="I93" s="30"/>
      <c r="K93" t="s">
        <v>38</v>
      </c>
    </row>
    <row r="94" spans="2:11" ht="13" x14ac:dyDescent="0.15">
      <c r="B94" s="29" t="s">
        <v>151</v>
      </c>
      <c r="C94" s="29" t="s">
        <v>152</v>
      </c>
      <c r="D94" s="31">
        <f>SUMIFS(D95:D1057,K95:K1057,"0",B95:B1057,"1 2 4 1 3*")-SUMIFS(E95:E1057,K95:K1057,"0",B95:B1057,"1 2 4 1 3*")</f>
        <v>115531.78000000001</v>
      </c>
      <c r="E94"/>
      <c r="F94" s="31">
        <f>SUMIFS(F95:F1057,K95:K1057,"0",B95:B1057,"1 2 4 1 3*")</f>
        <v>0</v>
      </c>
      <c r="G94" s="31">
        <f>SUMIFS(G95:G1057,K95:K1057,"0",B95:B1057,"1 2 4 1 3*")</f>
        <v>80331.780000000013</v>
      </c>
      <c r="H94" s="31">
        <f t="shared" si="1"/>
        <v>35200</v>
      </c>
      <c r="I94" s="31"/>
      <c r="K94" t="s">
        <v>14</v>
      </c>
    </row>
    <row r="95" spans="2:11" ht="13" x14ac:dyDescent="0.15">
      <c r="B95" s="29" t="s">
        <v>153</v>
      </c>
      <c r="C95" s="29" t="s">
        <v>25</v>
      </c>
      <c r="D95" s="31">
        <f>SUMIFS(D96:D1057,K96:K1057,"0",B96:B1057,"1 2 4 1 3 12*")-SUMIFS(E96:E1057,K96:K1057,"0",B96:B1057,"1 2 4 1 3 12*")</f>
        <v>115531.78000000001</v>
      </c>
      <c r="E95"/>
      <c r="F95" s="31">
        <f>SUMIFS(F96:F1057,K96:K1057,"0",B96:B1057,"1 2 4 1 3 12*")</f>
        <v>0</v>
      </c>
      <c r="G95" s="31">
        <f>SUMIFS(G96:G1057,K96:K1057,"0",B96:B1057,"1 2 4 1 3 12*")</f>
        <v>80331.780000000013</v>
      </c>
      <c r="H95" s="31">
        <f t="shared" si="1"/>
        <v>35200</v>
      </c>
      <c r="I95" s="31"/>
      <c r="K95" t="s">
        <v>14</v>
      </c>
    </row>
    <row r="96" spans="2:11" ht="13" x14ac:dyDescent="0.15">
      <c r="B96" s="29" t="s">
        <v>154</v>
      </c>
      <c r="C96" s="29" t="s">
        <v>27</v>
      </c>
      <c r="D96" s="31">
        <f>SUMIFS(D97:D1057,K97:K1057,"0",B97:B1057,"1 2 4 1 3 12 31111*")-SUMIFS(E97:E1057,K97:K1057,"0",B97:B1057,"1 2 4 1 3 12 31111*")</f>
        <v>115531.78000000001</v>
      </c>
      <c r="E96"/>
      <c r="F96" s="31">
        <f>SUMIFS(F97:F1057,K97:K1057,"0",B97:B1057,"1 2 4 1 3 12 31111*")</f>
        <v>0</v>
      </c>
      <c r="G96" s="31">
        <f>SUMIFS(G97:G1057,K97:K1057,"0",B97:B1057,"1 2 4 1 3 12 31111*")</f>
        <v>80331.780000000013</v>
      </c>
      <c r="H96" s="31">
        <f t="shared" si="1"/>
        <v>35200</v>
      </c>
      <c r="I96" s="31"/>
      <c r="K96" t="s">
        <v>14</v>
      </c>
    </row>
    <row r="97" spans="2:11" ht="13" x14ac:dyDescent="0.15">
      <c r="B97" s="29" t="s">
        <v>155</v>
      </c>
      <c r="C97" s="29" t="s">
        <v>29</v>
      </c>
      <c r="D97" s="31">
        <f>SUMIFS(D98:D1057,K98:K1057,"0",B98:B1057,"1 2 4 1 3 12 31111 6*")-SUMIFS(E98:E1057,K98:K1057,"0",B98:B1057,"1 2 4 1 3 12 31111 6*")</f>
        <v>115531.78000000001</v>
      </c>
      <c r="E97"/>
      <c r="F97" s="31">
        <f>SUMIFS(F98:F1057,K98:K1057,"0",B98:B1057,"1 2 4 1 3 12 31111 6*")</f>
        <v>0</v>
      </c>
      <c r="G97" s="31">
        <f>SUMIFS(G98:G1057,K98:K1057,"0",B98:B1057,"1 2 4 1 3 12 31111 6*")</f>
        <v>80331.780000000013</v>
      </c>
      <c r="H97" s="31">
        <f t="shared" si="1"/>
        <v>35200</v>
      </c>
      <c r="I97" s="31"/>
      <c r="K97" t="s">
        <v>14</v>
      </c>
    </row>
    <row r="98" spans="2:11" ht="13" x14ac:dyDescent="0.15">
      <c r="B98" s="29" t="s">
        <v>156</v>
      </c>
      <c r="C98" s="29" t="s">
        <v>31</v>
      </c>
      <c r="D98" s="31">
        <f>SUMIFS(D99:D1057,K99:K1057,"0",B99:B1057,"1 2 4 1 3 12 31111 6 M78*")-SUMIFS(E99:E1057,K99:K1057,"0",B99:B1057,"1 2 4 1 3 12 31111 6 M78*")</f>
        <v>115531.78000000001</v>
      </c>
      <c r="E98"/>
      <c r="F98" s="31">
        <f>SUMIFS(F99:F1057,K99:K1057,"0",B99:B1057,"1 2 4 1 3 12 31111 6 M78*")</f>
        <v>0</v>
      </c>
      <c r="G98" s="31">
        <f>SUMIFS(G99:G1057,K99:K1057,"0",B99:B1057,"1 2 4 1 3 12 31111 6 M78*")</f>
        <v>80331.780000000013</v>
      </c>
      <c r="H98" s="31">
        <f t="shared" si="1"/>
        <v>35200</v>
      </c>
      <c r="I98" s="31"/>
      <c r="K98" t="s">
        <v>14</v>
      </c>
    </row>
    <row r="99" spans="2:11" ht="13" x14ac:dyDescent="0.15">
      <c r="B99" s="29" t="s">
        <v>157</v>
      </c>
      <c r="C99" s="29" t="s">
        <v>142</v>
      </c>
      <c r="D99" s="31">
        <f>SUMIFS(D100:D1057,K100:K1057,"0",B100:B1057,"1 2 4 1 3 12 31111 6 M78 00000*")-SUMIFS(E100:E1057,K100:K1057,"0",B100:B1057,"1 2 4 1 3 12 31111 6 M78 00000*")</f>
        <v>74441.790000000008</v>
      </c>
      <c r="E99"/>
      <c r="F99" s="31">
        <f>SUMIFS(F100:F1057,K100:K1057,"0",B100:B1057,"1 2 4 1 3 12 31111 6 M78 00000*")</f>
        <v>0</v>
      </c>
      <c r="G99" s="31">
        <f>SUMIFS(G100:G1057,K100:K1057,"0",B100:B1057,"1 2 4 1 3 12 31111 6 M78 00000*")</f>
        <v>74441.790000000008</v>
      </c>
      <c r="H99" s="31">
        <f t="shared" si="1"/>
        <v>0</v>
      </c>
      <c r="I99" s="31"/>
      <c r="K99" t="s">
        <v>14</v>
      </c>
    </row>
    <row r="100" spans="2:11" ht="13" x14ac:dyDescent="0.15">
      <c r="B100" s="29" t="s">
        <v>158</v>
      </c>
      <c r="C100" s="29" t="s">
        <v>110</v>
      </c>
      <c r="D100" s="31">
        <f>SUMIFS(D101:D1057,K101:K1057,"0",B101:B1057,"1 2 4 1 3 12 31111 6 M78 00000 003*")-SUMIFS(E101:E1057,K101:K1057,"0",B101:B1057,"1 2 4 1 3 12 31111 6 M78 00000 003*")</f>
        <v>74441.790000000008</v>
      </c>
      <c r="E100"/>
      <c r="F100" s="31">
        <f>SUMIFS(F101:F1057,K101:K1057,"0",B101:B1057,"1 2 4 1 3 12 31111 6 M78 00000 003*")</f>
        <v>0</v>
      </c>
      <c r="G100" s="31">
        <f>SUMIFS(G101:G1057,K101:K1057,"0",B101:B1057,"1 2 4 1 3 12 31111 6 M78 00000 003*")</f>
        <v>74441.790000000008</v>
      </c>
      <c r="H100" s="31">
        <f t="shared" si="1"/>
        <v>0</v>
      </c>
      <c r="I100" s="31"/>
      <c r="K100" t="s">
        <v>14</v>
      </c>
    </row>
    <row r="101" spans="2:11" ht="13" x14ac:dyDescent="0.15">
      <c r="B101" s="29" t="s">
        <v>159</v>
      </c>
      <c r="C101" s="29" t="s">
        <v>160</v>
      </c>
      <c r="D101" s="31">
        <f>SUMIFS(D102:D1057,K102:K1057,"0",B102:B1057,"1 2 4 1 3 12 31111 6 M78 00000 003 001*")-SUMIFS(E102:E1057,K102:K1057,"0",B102:B1057,"1 2 4 1 3 12 31111 6 M78 00000 003 001*")</f>
        <v>74441.790000000008</v>
      </c>
      <c r="E101"/>
      <c r="F101" s="31">
        <f>SUMIFS(F102:F1057,K102:K1057,"0",B102:B1057,"1 2 4 1 3 12 31111 6 M78 00000 003 001*")</f>
        <v>0</v>
      </c>
      <c r="G101" s="31">
        <f>SUMIFS(G102:G1057,K102:K1057,"0",B102:B1057,"1 2 4 1 3 12 31111 6 M78 00000 003 001*")</f>
        <v>74441.790000000008</v>
      </c>
      <c r="H101" s="31">
        <f t="shared" si="1"/>
        <v>0</v>
      </c>
      <c r="I101" s="31"/>
      <c r="K101" t="s">
        <v>14</v>
      </c>
    </row>
    <row r="102" spans="2:11" ht="13" x14ac:dyDescent="0.15">
      <c r="B102" s="29" t="s">
        <v>161</v>
      </c>
      <c r="C102" s="29" t="s">
        <v>9</v>
      </c>
      <c r="D102" s="31">
        <f>SUMIFS(D103:D1057,K103:K1057,"0",B103:B1057,"1 2 4 1 3 12 31111 6 M78 00000 003 001 001*")-SUMIFS(E103:E1057,K103:K1057,"0",B103:B1057,"1 2 4 1 3 12 31111 6 M78 00000 003 001 001*")</f>
        <v>74441.790000000008</v>
      </c>
      <c r="E102"/>
      <c r="F102" s="31">
        <f>SUMIFS(F103:F1057,K103:K1057,"0",B103:B1057,"1 2 4 1 3 12 31111 6 M78 00000 003 001 001*")</f>
        <v>0</v>
      </c>
      <c r="G102" s="31">
        <f>SUMIFS(G103:G1057,K103:K1057,"0",B103:B1057,"1 2 4 1 3 12 31111 6 M78 00000 003 001 001*")</f>
        <v>74441.790000000008</v>
      </c>
      <c r="H102" s="31">
        <f t="shared" si="1"/>
        <v>0</v>
      </c>
      <c r="I102" s="31"/>
      <c r="K102" t="s">
        <v>14</v>
      </c>
    </row>
    <row r="103" spans="2:11" ht="13" x14ac:dyDescent="0.15">
      <c r="B103" s="27" t="s">
        <v>162</v>
      </c>
      <c r="C103" s="27" t="s">
        <v>163</v>
      </c>
      <c r="D103" s="30">
        <v>45259.02</v>
      </c>
      <c r="E103" s="30"/>
      <c r="F103" s="30">
        <v>0</v>
      </c>
      <c r="G103" s="30">
        <v>45259.02</v>
      </c>
      <c r="H103" s="30">
        <f t="shared" si="1"/>
        <v>0</v>
      </c>
      <c r="I103" s="30"/>
      <c r="K103" t="s">
        <v>38</v>
      </c>
    </row>
    <row r="104" spans="2:11" ht="13" x14ac:dyDescent="0.15">
      <c r="B104" s="27" t="s">
        <v>164</v>
      </c>
      <c r="C104" s="27" t="s">
        <v>165</v>
      </c>
      <c r="D104" s="30">
        <v>4278.9399999999996</v>
      </c>
      <c r="E104" s="30"/>
      <c r="F104" s="30">
        <v>0</v>
      </c>
      <c r="G104" s="30">
        <v>4278.9399999999996</v>
      </c>
      <c r="H104" s="30">
        <f t="shared" si="1"/>
        <v>0</v>
      </c>
      <c r="I104" s="30"/>
      <c r="K104" t="s">
        <v>38</v>
      </c>
    </row>
    <row r="105" spans="2:11" ht="13" x14ac:dyDescent="0.15">
      <c r="B105" s="27" t="s">
        <v>166</v>
      </c>
      <c r="C105" s="27" t="s">
        <v>165</v>
      </c>
      <c r="D105" s="30">
        <v>4473.3900000000003</v>
      </c>
      <c r="E105" s="30"/>
      <c r="F105" s="30">
        <v>0</v>
      </c>
      <c r="G105" s="30">
        <v>4473.3900000000003</v>
      </c>
      <c r="H105" s="30">
        <f t="shared" si="1"/>
        <v>0</v>
      </c>
      <c r="I105" s="30"/>
      <c r="K105" t="s">
        <v>38</v>
      </c>
    </row>
    <row r="106" spans="2:11" ht="13" x14ac:dyDescent="0.15">
      <c r="B106" s="27" t="s">
        <v>167</v>
      </c>
      <c r="C106" s="27" t="s">
        <v>168</v>
      </c>
      <c r="D106" s="30">
        <v>5751.5</v>
      </c>
      <c r="E106" s="30"/>
      <c r="F106" s="30">
        <v>0</v>
      </c>
      <c r="G106" s="30">
        <v>5751.5</v>
      </c>
      <c r="H106" s="30">
        <f t="shared" si="1"/>
        <v>0</v>
      </c>
      <c r="I106" s="30"/>
      <c r="K106" t="s">
        <v>38</v>
      </c>
    </row>
    <row r="107" spans="2:11" ht="13" x14ac:dyDescent="0.15">
      <c r="B107" s="27" t="s">
        <v>169</v>
      </c>
      <c r="C107" s="27" t="s">
        <v>170</v>
      </c>
      <c r="D107" s="30">
        <v>4278.9399999999996</v>
      </c>
      <c r="E107" s="30"/>
      <c r="F107" s="30">
        <v>0</v>
      </c>
      <c r="G107" s="30">
        <v>4278.9399999999996</v>
      </c>
      <c r="H107" s="30">
        <f t="shared" si="1"/>
        <v>0</v>
      </c>
      <c r="I107" s="30"/>
      <c r="K107" t="s">
        <v>38</v>
      </c>
    </row>
    <row r="108" spans="2:11" ht="13" x14ac:dyDescent="0.15">
      <c r="B108" s="27" t="s">
        <v>171</v>
      </c>
      <c r="C108" s="27" t="s">
        <v>172</v>
      </c>
      <c r="D108" s="30">
        <v>6800</v>
      </c>
      <c r="E108" s="30"/>
      <c r="F108" s="30">
        <v>0</v>
      </c>
      <c r="G108" s="30">
        <v>6800</v>
      </c>
      <c r="H108" s="30">
        <f t="shared" si="1"/>
        <v>0</v>
      </c>
      <c r="I108" s="30"/>
      <c r="K108" t="s">
        <v>38</v>
      </c>
    </row>
    <row r="109" spans="2:11" ht="13" x14ac:dyDescent="0.15">
      <c r="B109" s="27" t="s">
        <v>173</v>
      </c>
      <c r="C109" s="27" t="s">
        <v>174</v>
      </c>
      <c r="D109" s="30">
        <v>3600</v>
      </c>
      <c r="E109" s="30"/>
      <c r="F109" s="30">
        <v>0</v>
      </c>
      <c r="G109" s="30">
        <v>3600</v>
      </c>
      <c r="H109" s="30">
        <f t="shared" si="1"/>
        <v>0</v>
      </c>
      <c r="I109" s="30"/>
      <c r="K109" t="s">
        <v>38</v>
      </c>
    </row>
    <row r="110" spans="2:11" ht="13" x14ac:dyDescent="0.15">
      <c r="B110" s="29" t="s">
        <v>175</v>
      </c>
      <c r="C110" s="29" t="s">
        <v>176</v>
      </c>
      <c r="D110" s="31">
        <f>SUMIFS(D111:D1057,K111:K1057,"0",B111:B1057,"1 2 4 1 3 12 31111 6 M78 15000*")-SUMIFS(E111:E1057,K111:K1057,"0",B111:B1057,"1 2 4 1 3 12 31111 6 M78 15000*")</f>
        <v>41089.99</v>
      </c>
      <c r="E110"/>
      <c r="F110" s="31">
        <f>SUMIFS(F111:F1057,K111:K1057,"0",B111:B1057,"1 2 4 1 3 12 31111 6 M78 15000*")</f>
        <v>0</v>
      </c>
      <c r="G110" s="31">
        <f>SUMIFS(G111:G1057,K111:K1057,"0",B111:B1057,"1 2 4 1 3 12 31111 6 M78 15000*")</f>
        <v>5889.99</v>
      </c>
      <c r="H110" s="31">
        <f t="shared" si="1"/>
        <v>35200</v>
      </c>
      <c r="I110" s="31"/>
      <c r="K110" t="s">
        <v>14</v>
      </c>
    </row>
    <row r="111" spans="2:11" ht="13" x14ac:dyDescent="0.15">
      <c r="B111" s="29" t="s">
        <v>177</v>
      </c>
      <c r="C111" s="29" t="s">
        <v>178</v>
      </c>
      <c r="D111" s="31">
        <f>SUMIFS(D112:D1057,K112:K1057,"0",B112:B1057,"1 2 4 1 3 12 31111 6 M78 15000 171*")-SUMIFS(E112:E1057,K112:K1057,"0",B112:B1057,"1 2 4 1 3 12 31111 6 M78 15000 171*")</f>
        <v>41089.99</v>
      </c>
      <c r="E111"/>
      <c r="F111" s="31">
        <f>SUMIFS(F112:F1057,K112:K1057,"0",B112:B1057,"1 2 4 1 3 12 31111 6 M78 15000 171*")</f>
        <v>0</v>
      </c>
      <c r="G111" s="31">
        <f>SUMIFS(G112:G1057,K112:K1057,"0",B112:B1057,"1 2 4 1 3 12 31111 6 M78 15000 171*")</f>
        <v>5889.99</v>
      </c>
      <c r="H111" s="31">
        <f t="shared" si="1"/>
        <v>35200</v>
      </c>
      <c r="I111" s="31"/>
      <c r="K111" t="s">
        <v>14</v>
      </c>
    </row>
    <row r="112" spans="2:11" ht="13" x14ac:dyDescent="0.15">
      <c r="B112" s="29" t="s">
        <v>179</v>
      </c>
      <c r="C112" s="29" t="s">
        <v>180</v>
      </c>
      <c r="D112" s="31">
        <f>SUMIFS(D113:D1057,K113:K1057,"0",B113:B1057,"1 2 4 1 3 12 31111 6 M78 15000 171 00I*")-SUMIFS(E113:E1057,K113:K1057,"0",B113:B1057,"1 2 4 1 3 12 31111 6 M78 15000 171 00I*")</f>
        <v>41089.99</v>
      </c>
      <c r="E112"/>
      <c r="F112" s="31">
        <f>SUMIFS(F113:F1057,K113:K1057,"0",B113:B1057,"1 2 4 1 3 12 31111 6 M78 15000 171 00I*")</f>
        <v>0</v>
      </c>
      <c r="G112" s="31">
        <f>SUMIFS(G113:G1057,K113:K1057,"0",B113:B1057,"1 2 4 1 3 12 31111 6 M78 15000 171 00I*")</f>
        <v>5889.99</v>
      </c>
      <c r="H112" s="31">
        <f t="shared" si="1"/>
        <v>35200</v>
      </c>
      <c r="I112" s="31"/>
      <c r="K112" t="s">
        <v>14</v>
      </c>
    </row>
    <row r="113" spans="2:11" ht="13" x14ac:dyDescent="0.15">
      <c r="B113" s="29" t="s">
        <v>181</v>
      </c>
      <c r="C113" s="29" t="s">
        <v>182</v>
      </c>
      <c r="D113" s="31">
        <f>SUMIFS(D114:D1057,K114:K1057,"0",B114:B1057,"1 2 4 1 3 12 31111 6 M78 15000 171 00I 002*")-SUMIFS(E114:E1057,K114:K1057,"0",B114:B1057,"1 2 4 1 3 12 31111 6 M78 15000 171 00I 002*")</f>
        <v>41089.99</v>
      </c>
      <c r="E113"/>
      <c r="F113" s="31">
        <f>SUMIFS(F114:F1057,K114:K1057,"0",B114:B1057,"1 2 4 1 3 12 31111 6 M78 15000 171 00I 002*")</f>
        <v>0</v>
      </c>
      <c r="G113" s="31">
        <f>SUMIFS(G114:G1057,K114:K1057,"0",B114:B1057,"1 2 4 1 3 12 31111 6 M78 15000 171 00I 002*")</f>
        <v>5889.99</v>
      </c>
      <c r="H113" s="31">
        <f t="shared" si="1"/>
        <v>35200</v>
      </c>
      <c r="I113" s="31"/>
      <c r="K113" t="s">
        <v>14</v>
      </c>
    </row>
    <row r="114" spans="2:11" ht="13" x14ac:dyDescent="0.15">
      <c r="B114" s="29" t="s">
        <v>183</v>
      </c>
      <c r="C114" s="29" t="s">
        <v>184</v>
      </c>
      <c r="D114" s="31">
        <f>SUMIFS(D115:D1057,K115:K1057,"0",B115:B1057,"1 2 4 1 3 12 31111 6 M78 15000 171 00I 002 51501*")-SUMIFS(E115:E1057,K115:K1057,"0",B115:B1057,"1 2 4 1 3 12 31111 6 M78 15000 171 00I 002 51501*")</f>
        <v>41089.99</v>
      </c>
      <c r="E114"/>
      <c r="F114" s="31">
        <f>SUMIFS(F115:F1057,K115:K1057,"0",B115:B1057,"1 2 4 1 3 12 31111 6 M78 15000 171 00I 002 51501*")</f>
        <v>0</v>
      </c>
      <c r="G114" s="31">
        <f>SUMIFS(G115:G1057,K115:K1057,"0",B115:B1057,"1 2 4 1 3 12 31111 6 M78 15000 171 00I 002 51501*")</f>
        <v>5889.99</v>
      </c>
      <c r="H114" s="31">
        <f t="shared" si="1"/>
        <v>35200</v>
      </c>
      <c r="I114" s="31"/>
      <c r="K114" t="s">
        <v>14</v>
      </c>
    </row>
    <row r="115" spans="2:11" ht="13" x14ac:dyDescent="0.15">
      <c r="B115" s="29" t="s">
        <v>185</v>
      </c>
      <c r="C115" s="29" t="s">
        <v>186</v>
      </c>
      <c r="D115" s="31">
        <f>SUMIFS(D116:D1057,K116:K1057,"0",B116:B1057,"1 2 4 1 3 12 31111 6 M78 15000 171 00I 002 51501 025*")-SUMIFS(E116:E1057,K116:K1057,"0",B116:B1057,"1 2 4 1 3 12 31111 6 M78 15000 171 00I 002 51501 025*")</f>
        <v>41089.99</v>
      </c>
      <c r="E115"/>
      <c r="F115" s="31">
        <f>SUMIFS(F116:F1057,K116:K1057,"0",B116:B1057,"1 2 4 1 3 12 31111 6 M78 15000 171 00I 002 51501 025*")</f>
        <v>0</v>
      </c>
      <c r="G115" s="31">
        <f>SUMIFS(G116:G1057,K116:K1057,"0",B116:B1057,"1 2 4 1 3 12 31111 6 M78 15000 171 00I 002 51501 025*")</f>
        <v>5889.99</v>
      </c>
      <c r="H115" s="31">
        <f t="shared" si="1"/>
        <v>35200</v>
      </c>
      <c r="I115" s="31"/>
      <c r="K115" t="s">
        <v>14</v>
      </c>
    </row>
    <row r="116" spans="2:11" ht="22" x14ac:dyDescent="0.15">
      <c r="B116" s="29" t="s">
        <v>187</v>
      </c>
      <c r="C116" s="29" t="s">
        <v>188</v>
      </c>
      <c r="D116" s="31">
        <f>SUMIFS(D117:D1057,K117:K1057,"0",B117:B1057,"1 2 4 1 3 12 31111 6 M78 15000 171 00I 002 51501 025 2112000*")-SUMIFS(E117:E1057,K117:K1057,"0",B117:B1057,"1 2 4 1 3 12 31111 6 M78 15000 171 00I 002 51501 025 2112000*")</f>
        <v>41089.99</v>
      </c>
      <c r="E116"/>
      <c r="F116" s="31">
        <f>SUMIFS(F117:F1057,K117:K1057,"0",B117:B1057,"1 2 4 1 3 12 31111 6 M78 15000 171 00I 002 51501 025 2112000*")</f>
        <v>0</v>
      </c>
      <c r="G116" s="31">
        <f>SUMIFS(G117:G1057,K117:K1057,"0",B117:B1057,"1 2 4 1 3 12 31111 6 M78 15000 171 00I 002 51501 025 2112000*")</f>
        <v>5889.99</v>
      </c>
      <c r="H116" s="31">
        <f t="shared" si="1"/>
        <v>35200</v>
      </c>
      <c r="I116" s="31"/>
      <c r="K116" t="s">
        <v>14</v>
      </c>
    </row>
    <row r="117" spans="2:11" ht="22" x14ac:dyDescent="0.15">
      <c r="B117" s="29" t="s">
        <v>189</v>
      </c>
      <c r="C117" s="29" t="s">
        <v>190</v>
      </c>
      <c r="D117" s="31">
        <f>SUMIFS(D118:D1057,K118:K1057,"0",B118:B1057,"1 2 4 1 3 12 31111 6 M78 15000 171 00I 002 51501 025 2112000 2019*")-SUMIFS(E118:E1057,K118:K1057,"0",B118:B1057,"1 2 4 1 3 12 31111 6 M78 15000 171 00I 002 51501 025 2112000 2019*")</f>
        <v>5889.99</v>
      </c>
      <c r="E117"/>
      <c r="F117" s="31">
        <f>SUMIFS(F118:F1057,K118:K1057,"0",B118:B1057,"1 2 4 1 3 12 31111 6 M78 15000 171 00I 002 51501 025 2112000 2019*")</f>
        <v>0</v>
      </c>
      <c r="G117" s="31">
        <f>SUMIFS(G118:G1057,K118:K1057,"0",B118:B1057,"1 2 4 1 3 12 31111 6 M78 15000 171 00I 002 51501 025 2112000 2019*")</f>
        <v>5889.99</v>
      </c>
      <c r="H117" s="31">
        <f t="shared" si="1"/>
        <v>0</v>
      </c>
      <c r="I117" s="31"/>
      <c r="K117" t="s">
        <v>14</v>
      </c>
    </row>
    <row r="118" spans="2:11" ht="22" x14ac:dyDescent="0.15">
      <c r="B118" s="29" t="s">
        <v>191</v>
      </c>
      <c r="C118" s="29" t="s">
        <v>192</v>
      </c>
      <c r="D118" s="31">
        <f>SUMIFS(D119:D1057,K119:K1057,"0",B119:B1057,"1 2 4 1 3 12 31111 6 M78 15000 171 00I 002 51501 025 2112000 2019 00000000*")-SUMIFS(E119:E1057,K119:K1057,"0",B119:B1057,"1 2 4 1 3 12 31111 6 M78 15000 171 00I 002 51501 025 2112000 2019 00000000*")</f>
        <v>5889.99</v>
      </c>
      <c r="E118"/>
      <c r="F118" s="31">
        <f>SUMIFS(F119:F1057,K119:K1057,"0",B119:B1057,"1 2 4 1 3 12 31111 6 M78 15000 171 00I 002 51501 025 2112000 2019 00000000*")</f>
        <v>0</v>
      </c>
      <c r="G118" s="31">
        <f>SUMIFS(G119:G1057,K119:K1057,"0",B119:B1057,"1 2 4 1 3 12 31111 6 M78 15000 171 00I 002 51501 025 2112000 2019 00000000*")</f>
        <v>5889.99</v>
      </c>
      <c r="H118" s="31">
        <f t="shared" si="1"/>
        <v>0</v>
      </c>
      <c r="I118" s="31"/>
      <c r="K118" t="s">
        <v>14</v>
      </c>
    </row>
    <row r="119" spans="2:11" ht="22" x14ac:dyDescent="0.15">
      <c r="B119" s="29" t="s">
        <v>193</v>
      </c>
      <c r="C119" s="29" t="s">
        <v>9</v>
      </c>
      <c r="D119" s="31">
        <f>SUMIFS(D120:D1057,K120:K1057,"0",B120:B1057,"1 2 4 1 3 12 31111 6 M78 15000 171 00I 002 51501 025 2112000 2019 00000000 003*")-SUMIFS(E120:E1057,K120:K1057,"0",B120:B1057,"1 2 4 1 3 12 31111 6 M78 15000 171 00I 002 51501 025 2112000 2019 00000000 003*")</f>
        <v>5889.99</v>
      </c>
      <c r="E119"/>
      <c r="F119" s="31">
        <f>SUMIFS(F120:F1057,K120:K1057,"0",B120:B1057,"1 2 4 1 3 12 31111 6 M78 15000 171 00I 002 51501 025 2112000 2019 00000000 003*")</f>
        <v>0</v>
      </c>
      <c r="G119" s="31">
        <f>SUMIFS(G120:G1057,K120:K1057,"0",B120:B1057,"1 2 4 1 3 12 31111 6 M78 15000 171 00I 002 51501 025 2112000 2019 00000000 003*")</f>
        <v>5889.99</v>
      </c>
      <c r="H119" s="31">
        <f t="shared" si="1"/>
        <v>0</v>
      </c>
      <c r="I119" s="31"/>
      <c r="K119" t="s">
        <v>14</v>
      </c>
    </row>
    <row r="120" spans="2:11" ht="22" x14ac:dyDescent="0.15">
      <c r="B120" s="29" t="s">
        <v>194</v>
      </c>
      <c r="C120" s="29" t="s">
        <v>176</v>
      </c>
      <c r="D120" s="31">
        <f>SUMIFS(D121:D1057,K121:K1057,"0",B121:B1057,"1 2 4 1 3 12 31111 6 M78 15000 171 00I 002 51501 025 2112000 2019 00000000 003 015*")-SUMIFS(E121:E1057,K121:K1057,"0",B121:B1057,"1 2 4 1 3 12 31111 6 M78 15000 171 00I 002 51501 025 2112000 2019 00000000 003 015*")</f>
        <v>5889.99</v>
      </c>
      <c r="E120"/>
      <c r="F120" s="31">
        <f>SUMIFS(F121:F1057,K121:K1057,"0",B121:B1057,"1 2 4 1 3 12 31111 6 M78 15000 171 00I 002 51501 025 2112000 2019 00000000 003 015*")</f>
        <v>0</v>
      </c>
      <c r="G120" s="31">
        <f>SUMIFS(G121:G1057,K121:K1057,"0",B121:B1057,"1 2 4 1 3 12 31111 6 M78 15000 171 00I 002 51501 025 2112000 2019 00000000 003 015*")</f>
        <v>5889.99</v>
      </c>
      <c r="H120" s="31">
        <f t="shared" si="1"/>
        <v>0</v>
      </c>
      <c r="I120" s="31"/>
      <c r="K120" t="s">
        <v>14</v>
      </c>
    </row>
    <row r="121" spans="2:11" ht="22" x14ac:dyDescent="0.15">
      <c r="B121" s="27" t="s">
        <v>195</v>
      </c>
      <c r="C121" s="27" t="s">
        <v>196</v>
      </c>
      <c r="D121" s="30">
        <v>5889.99</v>
      </c>
      <c r="E121" s="30"/>
      <c r="F121" s="30">
        <v>0</v>
      </c>
      <c r="G121" s="30">
        <v>5889.99</v>
      </c>
      <c r="H121" s="30">
        <f t="shared" si="1"/>
        <v>0</v>
      </c>
      <c r="I121" s="30"/>
      <c r="K121" t="s">
        <v>38</v>
      </c>
    </row>
    <row r="122" spans="2:11" ht="22" x14ac:dyDescent="0.15">
      <c r="B122" s="29" t="s">
        <v>197</v>
      </c>
      <c r="C122" s="29" t="s">
        <v>198</v>
      </c>
      <c r="D122" s="31">
        <f>SUMIFS(D123:D1057,K123:K1057,"0",B123:B1057,"1 2 4 1 3 12 31111 6 M78 15000 171 00I 002 51501 025 2112000 2023*")-SUMIFS(E123:E1057,K123:K1057,"0",B123:B1057,"1 2 4 1 3 12 31111 6 M78 15000 171 00I 002 51501 025 2112000 2023*")</f>
        <v>35200</v>
      </c>
      <c r="E122"/>
      <c r="F122" s="31">
        <f>SUMIFS(F123:F1057,K123:K1057,"0",B123:B1057,"1 2 4 1 3 12 31111 6 M78 15000 171 00I 002 51501 025 2112000 2023*")</f>
        <v>0</v>
      </c>
      <c r="G122" s="31">
        <f>SUMIFS(G123:G1057,K123:K1057,"0",B123:B1057,"1 2 4 1 3 12 31111 6 M78 15000 171 00I 002 51501 025 2112000 2023*")</f>
        <v>0</v>
      </c>
      <c r="H122" s="31">
        <f t="shared" si="1"/>
        <v>35200</v>
      </c>
      <c r="I122" s="31"/>
      <c r="K122" t="s">
        <v>14</v>
      </c>
    </row>
    <row r="123" spans="2:11" ht="22" x14ac:dyDescent="0.15">
      <c r="B123" s="29" t="s">
        <v>199</v>
      </c>
      <c r="C123" s="29" t="s">
        <v>192</v>
      </c>
      <c r="D123" s="31">
        <f>SUMIFS(D124:D1057,K124:K1057,"0",B124:B1057,"1 2 4 1 3 12 31111 6 M78 15000 171 00I 002 51501 025 2112000 2023 00000000*")-SUMIFS(E124:E1057,K124:K1057,"0",B124:B1057,"1 2 4 1 3 12 31111 6 M78 15000 171 00I 002 51501 025 2112000 2023 00000000*")</f>
        <v>35200</v>
      </c>
      <c r="E123"/>
      <c r="F123" s="31">
        <f>SUMIFS(F124:F1057,K124:K1057,"0",B124:B1057,"1 2 4 1 3 12 31111 6 M78 15000 171 00I 002 51501 025 2112000 2023 00000000*")</f>
        <v>0</v>
      </c>
      <c r="G123" s="31">
        <f>SUMIFS(G124:G1057,K124:K1057,"0",B124:B1057,"1 2 4 1 3 12 31111 6 M78 15000 171 00I 002 51501 025 2112000 2023 00000000*")</f>
        <v>0</v>
      </c>
      <c r="H123" s="31">
        <f t="shared" si="1"/>
        <v>35200</v>
      </c>
      <c r="I123" s="31"/>
      <c r="K123" t="s">
        <v>14</v>
      </c>
    </row>
    <row r="124" spans="2:11" ht="22" x14ac:dyDescent="0.15">
      <c r="B124" s="29" t="s">
        <v>200</v>
      </c>
      <c r="C124" s="29" t="s">
        <v>9</v>
      </c>
      <c r="D124" s="31">
        <f>SUMIFS(D125:D1057,K125:K1057,"0",B125:B1057,"1 2 4 1 3 12 31111 6 M78 15000 171 00I 002 51501 025 2112000 2023 00000000 003*")-SUMIFS(E125:E1057,K125:K1057,"0",B125:B1057,"1 2 4 1 3 12 31111 6 M78 15000 171 00I 002 51501 025 2112000 2023 00000000 003*")</f>
        <v>35200</v>
      </c>
      <c r="E124"/>
      <c r="F124" s="31">
        <f>SUMIFS(F125:F1057,K125:K1057,"0",B125:B1057,"1 2 4 1 3 12 31111 6 M78 15000 171 00I 002 51501 025 2112000 2023 00000000 003*")</f>
        <v>0</v>
      </c>
      <c r="G124" s="31">
        <f>SUMIFS(G125:G1057,K125:K1057,"0",B125:B1057,"1 2 4 1 3 12 31111 6 M78 15000 171 00I 002 51501 025 2112000 2023 00000000 003*")</f>
        <v>0</v>
      </c>
      <c r="H124" s="31">
        <f t="shared" si="1"/>
        <v>35200</v>
      </c>
      <c r="I124" s="31"/>
      <c r="K124" t="s">
        <v>14</v>
      </c>
    </row>
    <row r="125" spans="2:11" ht="22" x14ac:dyDescent="0.15">
      <c r="B125" s="29" t="s">
        <v>201</v>
      </c>
      <c r="C125" s="29" t="s">
        <v>176</v>
      </c>
      <c r="D125" s="31">
        <f>SUMIFS(D126:D1057,K126:K1057,"0",B126:B1057,"1 2 4 1 3 12 31111 6 M78 15000 171 00I 002 51501 025 2112000 2023 00000000 003 015*")-SUMIFS(E126:E1057,K126:K1057,"0",B126:B1057,"1 2 4 1 3 12 31111 6 M78 15000 171 00I 002 51501 025 2112000 2023 00000000 003 015*")</f>
        <v>35200</v>
      </c>
      <c r="E125"/>
      <c r="F125" s="31">
        <f>SUMIFS(F126:F1057,K126:K1057,"0",B126:B1057,"1 2 4 1 3 12 31111 6 M78 15000 171 00I 002 51501 025 2112000 2023 00000000 003 015*")</f>
        <v>0</v>
      </c>
      <c r="G125" s="31">
        <f>SUMIFS(G126:G1057,K126:K1057,"0",B126:B1057,"1 2 4 1 3 12 31111 6 M78 15000 171 00I 002 51501 025 2112000 2023 00000000 003 015*")</f>
        <v>0</v>
      </c>
      <c r="H125" s="31">
        <f t="shared" si="1"/>
        <v>35200</v>
      </c>
      <c r="I125" s="31"/>
      <c r="K125" t="s">
        <v>14</v>
      </c>
    </row>
    <row r="126" spans="2:11" ht="33" x14ac:dyDescent="0.15">
      <c r="B126" s="27" t="s">
        <v>202</v>
      </c>
      <c r="C126" s="27" t="s">
        <v>203</v>
      </c>
      <c r="D126" s="30">
        <v>35200</v>
      </c>
      <c r="E126" s="30"/>
      <c r="F126" s="30">
        <v>0</v>
      </c>
      <c r="G126" s="30">
        <v>0</v>
      </c>
      <c r="H126" s="30">
        <f t="shared" si="1"/>
        <v>35200</v>
      </c>
      <c r="I126" s="30"/>
      <c r="K126" t="s">
        <v>38</v>
      </c>
    </row>
    <row r="127" spans="2:11" ht="13" x14ac:dyDescent="0.15">
      <c r="B127" s="29" t="s">
        <v>204</v>
      </c>
      <c r="C127" s="29" t="s">
        <v>205</v>
      </c>
      <c r="D127" s="31">
        <f>SUMIFS(D128:D1057,K128:K1057,"0",B128:B1057,"1 2 4 1 9*")-SUMIFS(E128:E1057,K128:K1057,"0",B128:B1057,"1 2 4 1 9*")</f>
        <v>3650</v>
      </c>
      <c r="E127"/>
      <c r="F127" s="31">
        <f>SUMIFS(F128:F1057,K128:K1057,"0",B128:B1057,"1 2 4 1 9*")</f>
        <v>0</v>
      </c>
      <c r="G127" s="31">
        <f>SUMIFS(G128:G1057,K128:K1057,"0",B128:B1057,"1 2 4 1 9*")</f>
        <v>3650</v>
      </c>
      <c r="H127" s="31">
        <f t="shared" si="1"/>
        <v>0</v>
      </c>
      <c r="I127" s="31"/>
      <c r="K127" t="s">
        <v>14</v>
      </c>
    </row>
    <row r="128" spans="2:11" ht="13" x14ac:dyDescent="0.15">
      <c r="B128" s="29" t="s">
        <v>206</v>
      </c>
      <c r="C128" s="29" t="s">
        <v>25</v>
      </c>
      <c r="D128" s="31">
        <f>SUMIFS(D129:D1057,K129:K1057,"0",B129:B1057,"1 2 4 1 9 12*")-SUMIFS(E129:E1057,K129:K1057,"0",B129:B1057,"1 2 4 1 9 12*")</f>
        <v>3650</v>
      </c>
      <c r="E128"/>
      <c r="F128" s="31">
        <f>SUMIFS(F129:F1057,K129:K1057,"0",B129:B1057,"1 2 4 1 9 12*")</f>
        <v>0</v>
      </c>
      <c r="G128" s="31">
        <f>SUMIFS(G129:G1057,K129:K1057,"0",B129:B1057,"1 2 4 1 9 12*")</f>
        <v>3650</v>
      </c>
      <c r="H128" s="31">
        <f t="shared" si="1"/>
        <v>0</v>
      </c>
      <c r="I128" s="31"/>
      <c r="K128" t="s">
        <v>14</v>
      </c>
    </row>
    <row r="129" spans="2:11" ht="13" x14ac:dyDescent="0.15">
      <c r="B129" s="29" t="s">
        <v>207</v>
      </c>
      <c r="C129" s="29" t="s">
        <v>27</v>
      </c>
      <c r="D129" s="31">
        <f>SUMIFS(D130:D1057,K130:K1057,"0",B130:B1057,"1 2 4 1 9 12 31111*")-SUMIFS(E130:E1057,K130:K1057,"0",B130:B1057,"1 2 4 1 9 12 31111*")</f>
        <v>3650</v>
      </c>
      <c r="E129"/>
      <c r="F129" s="31">
        <f>SUMIFS(F130:F1057,K130:K1057,"0",B130:B1057,"1 2 4 1 9 12 31111*")</f>
        <v>0</v>
      </c>
      <c r="G129" s="31">
        <f>SUMIFS(G130:G1057,K130:K1057,"0",B130:B1057,"1 2 4 1 9 12 31111*")</f>
        <v>3650</v>
      </c>
      <c r="H129" s="31">
        <f t="shared" si="1"/>
        <v>0</v>
      </c>
      <c r="I129" s="31"/>
      <c r="K129" t="s">
        <v>14</v>
      </c>
    </row>
    <row r="130" spans="2:11" ht="13" x14ac:dyDescent="0.15">
      <c r="B130" s="29" t="s">
        <v>208</v>
      </c>
      <c r="C130" s="29" t="s">
        <v>29</v>
      </c>
      <c r="D130" s="31">
        <f>SUMIFS(D131:D1057,K131:K1057,"0",B131:B1057,"1 2 4 1 9 12 31111 6*")-SUMIFS(E131:E1057,K131:K1057,"0",B131:B1057,"1 2 4 1 9 12 31111 6*")</f>
        <v>3650</v>
      </c>
      <c r="E130"/>
      <c r="F130" s="31">
        <f>SUMIFS(F131:F1057,K131:K1057,"0",B131:B1057,"1 2 4 1 9 12 31111 6*")</f>
        <v>0</v>
      </c>
      <c r="G130" s="31">
        <f>SUMIFS(G131:G1057,K131:K1057,"0",B131:B1057,"1 2 4 1 9 12 31111 6*")</f>
        <v>3650</v>
      </c>
      <c r="H130" s="31">
        <f t="shared" si="1"/>
        <v>0</v>
      </c>
      <c r="I130" s="31"/>
      <c r="K130" t="s">
        <v>14</v>
      </c>
    </row>
    <row r="131" spans="2:11" ht="13" x14ac:dyDescent="0.15">
      <c r="B131" s="29" t="s">
        <v>209</v>
      </c>
      <c r="C131" s="29" t="s">
        <v>31</v>
      </c>
      <c r="D131" s="31">
        <f>SUMIFS(D132:D1057,K132:K1057,"0",B132:B1057,"1 2 4 1 9 12 31111 6 M78*")-SUMIFS(E132:E1057,K132:K1057,"0",B132:B1057,"1 2 4 1 9 12 31111 6 M78*")</f>
        <v>3650</v>
      </c>
      <c r="E131"/>
      <c r="F131" s="31">
        <f>SUMIFS(F132:F1057,K132:K1057,"0",B132:B1057,"1 2 4 1 9 12 31111 6 M78*")</f>
        <v>0</v>
      </c>
      <c r="G131" s="31">
        <f>SUMIFS(G132:G1057,K132:K1057,"0",B132:B1057,"1 2 4 1 9 12 31111 6 M78*")</f>
        <v>3650</v>
      </c>
      <c r="H131" s="31">
        <f t="shared" si="1"/>
        <v>0</v>
      </c>
      <c r="I131" s="31"/>
      <c r="K131" t="s">
        <v>14</v>
      </c>
    </row>
    <row r="132" spans="2:11" ht="13" x14ac:dyDescent="0.15">
      <c r="B132" s="29" t="s">
        <v>210</v>
      </c>
      <c r="C132" s="29" t="s">
        <v>142</v>
      </c>
      <c r="D132" s="31">
        <f>SUMIFS(D133:D1057,K133:K1057,"0",B133:B1057,"1 2 4 1 9 12 31111 6 M78 00000*")-SUMIFS(E133:E1057,K133:K1057,"0",B133:B1057,"1 2 4 1 9 12 31111 6 M78 00000*")</f>
        <v>3650</v>
      </c>
      <c r="E132"/>
      <c r="F132" s="31">
        <f>SUMIFS(F133:F1057,K133:K1057,"0",B133:B1057,"1 2 4 1 9 12 31111 6 M78 00000*")</f>
        <v>0</v>
      </c>
      <c r="G132" s="31">
        <f>SUMIFS(G133:G1057,K133:K1057,"0",B133:B1057,"1 2 4 1 9 12 31111 6 M78 00000*")</f>
        <v>3650</v>
      </c>
      <c r="H132" s="31">
        <f t="shared" si="1"/>
        <v>0</v>
      </c>
      <c r="I132" s="31"/>
      <c r="K132" t="s">
        <v>14</v>
      </c>
    </row>
    <row r="133" spans="2:11" ht="13" x14ac:dyDescent="0.15">
      <c r="B133" s="29" t="s">
        <v>211</v>
      </c>
      <c r="C133" s="29" t="s">
        <v>110</v>
      </c>
      <c r="D133" s="31">
        <f>SUMIFS(D134:D1057,K134:K1057,"0",B134:B1057,"1 2 4 1 9 12 31111 6 M78 00000 003*")-SUMIFS(E134:E1057,K134:K1057,"0",B134:B1057,"1 2 4 1 9 12 31111 6 M78 00000 003*")</f>
        <v>3650</v>
      </c>
      <c r="E133"/>
      <c r="F133" s="31">
        <f>SUMIFS(F134:F1057,K134:K1057,"0",B134:B1057,"1 2 4 1 9 12 31111 6 M78 00000 003*")</f>
        <v>0</v>
      </c>
      <c r="G133" s="31">
        <f>SUMIFS(G134:G1057,K134:K1057,"0",B134:B1057,"1 2 4 1 9 12 31111 6 M78 00000 003*")</f>
        <v>3650</v>
      </c>
      <c r="H133" s="31">
        <f t="shared" si="1"/>
        <v>0</v>
      </c>
      <c r="I133" s="31"/>
      <c r="K133" t="s">
        <v>14</v>
      </c>
    </row>
    <row r="134" spans="2:11" ht="13" x14ac:dyDescent="0.15">
      <c r="B134" s="29" t="s">
        <v>212</v>
      </c>
      <c r="C134" s="29" t="s">
        <v>145</v>
      </c>
      <c r="D134" s="31">
        <f>SUMIFS(D135:D1057,K135:K1057,"0",B135:B1057,"1 2 4 1 9 12 31111 6 M78 00000 003 001*")-SUMIFS(E135:E1057,K135:K1057,"0",B135:B1057,"1 2 4 1 9 12 31111 6 M78 00000 003 001*")</f>
        <v>3650</v>
      </c>
      <c r="E134"/>
      <c r="F134" s="31">
        <f>SUMIFS(F135:F1057,K135:K1057,"0",B135:B1057,"1 2 4 1 9 12 31111 6 M78 00000 003 001*")</f>
        <v>0</v>
      </c>
      <c r="G134" s="31">
        <f>SUMIFS(G135:G1057,K135:K1057,"0",B135:B1057,"1 2 4 1 9 12 31111 6 M78 00000 003 001*")</f>
        <v>3650</v>
      </c>
      <c r="H134" s="31">
        <f t="shared" si="1"/>
        <v>0</v>
      </c>
      <c r="I134" s="31"/>
      <c r="K134" t="s">
        <v>14</v>
      </c>
    </row>
    <row r="135" spans="2:11" ht="13" x14ac:dyDescent="0.15">
      <c r="B135" s="29" t="s">
        <v>213</v>
      </c>
      <c r="C135" s="29" t="s">
        <v>9</v>
      </c>
      <c r="D135" s="31">
        <f>SUMIFS(D136:D1057,K136:K1057,"0",B136:B1057,"1 2 4 1 9 12 31111 6 M78 00000 003 001 001*")-SUMIFS(E136:E1057,K136:K1057,"0",B136:B1057,"1 2 4 1 9 12 31111 6 M78 00000 003 001 001*")</f>
        <v>3650</v>
      </c>
      <c r="E135"/>
      <c r="F135" s="31">
        <f>SUMIFS(F136:F1057,K136:K1057,"0",B136:B1057,"1 2 4 1 9 12 31111 6 M78 00000 003 001 001*")</f>
        <v>0</v>
      </c>
      <c r="G135" s="31">
        <f>SUMIFS(G136:G1057,K136:K1057,"0",B136:B1057,"1 2 4 1 9 12 31111 6 M78 00000 003 001 001*")</f>
        <v>3650</v>
      </c>
      <c r="H135" s="31">
        <f t="shared" si="1"/>
        <v>0</v>
      </c>
      <c r="I135" s="31"/>
      <c r="K135" t="s">
        <v>14</v>
      </c>
    </row>
    <row r="136" spans="2:11" ht="13" x14ac:dyDescent="0.15">
      <c r="B136" s="27" t="s">
        <v>214</v>
      </c>
      <c r="C136" s="27" t="s">
        <v>215</v>
      </c>
      <c r="D136" s="30">
        <v>3650</v>
      </c>
      <c r="E136" s="30"/>
      <c r="F136" s="30">
        <v>0</v>
      </c>
      <c r="G136" s="30">
        <v>3650</v>
      </c>
      <c r="H136" s="30">
        <f t="shared" si="1"/>
        <v>0</v>
      </c>
      <c r="I136" s="30"/>
      <c r="K136" t="s">
        <v>38</v>
      </c>
    </row>
    <row r="137" spans="2:11" ht="13" x14ac:dyDescent="0.15">
      <c r="B137" s="29" t="s">
        <v>216</v>
      </c>
      <c r="C137" s="29" t="s">
        <v>217</v>
      </c>
      <c r="D137" s="31">
        <f>SUMIFS(D138:D1057,K138:K1057,"0",B138:B1057,"1 2 4 4*")-SUMIFS(E138:E1057,K138:K1057,"0",B138:B1057,"1 2 4 4*")</f>
        <v>2501019.8499999996</v>
      </c>
      <c r="E137"/>
      <c r="F137" s="31">
        <f>SUMIFS(F138:F1057,K138:K1057,"0",B138:B1057,"1 2 4 4*")</f>
        <v>409900</v>
      </c>
      <c r="G137" s="31">
        <f>SUMIFS(G138:G1057,K138:K1057,"0",B138:B1057,"1 2 4 4*")</f>
        <v>1139156.8799999999</v>
      </c>
      <c r="H137" s="31">
        <f t="shared" si="1"/>
        <v>1771762.9699999997</v>
      </c>
      <c r="I137" s="31"/>
      <c r="K137" t="s">
        <v>14</v>
      </c>
    </row>
    <row r="138" spans="2:11" ht="13" x14ac:dyDescent="0.15">
      <c r="B138" s="29" t="s">
        <v>218</v>
      </c>
      <c r="C138" s="29" t="s">
        <v>219</v>
      </c>
      <c r="D138" s="31">
        <f>SUMIFS(D139:D1057,K139:K1057,"0",B139:B1057,"1 2 4 4 1*")-SUMIFS(E139:E1057,K139:K1057,"0",B139:B1057,"1 2 4 4 1*")</f>
        <v>2501019.8499999996</v>
      </c>
      <c r="E138"/>
      <c r="F138" s="31">
        <f>SUMIFS(F139:F1057,K139:K1057,"0",B139:B1057,"1 2 4 4 1*")</f>
        <v>409900</v>
      </c>
      <c r="G138" s="31">
        <f>SUMIFS(G139:G1057,K139:K1057,"0",B139:B1057,"1 2 4 4 1*")</f>
        <v>1139156.8799999999</v>
      </c>
      <c r="H138" s="31">
        <f t="shared" si="1"/>
        <v>1771762.9699999997</v>
      </c>
      <c r="I138" s="31"/>
      <c r="K138" t="s">
        <v>14</v>
      </c>
    </row>
    <row r="139" spans="2:11" ht="13" x14ac:dyDescent="0.15">
      <c r="B139" s="29" t="s">
        <v>220</v>
      </c>
      <c r="C139" s="29" t="s">
        <v>25</v>
      </c>
      <c r="D139" s="31">
        <f>SUMIFS(D140:D1057,K140:K1057,"0",B140:B1057,"1 2 4 4 1 12*")-SUMIFS(E140:E1057,K140:K1057,"0",B140:B1057,"1 2 4 4 1 12*")</f>
        <v>2501019.8499999996</v>
      </c>
      <c r="E139"/>
      <c r="F139" s="31">
        <f>SUMIFS(F140:F1057,K140:K1057,"0",B140:B1057,"1 2 4 4 1 12*")</f>
        <v>409900</v>
      </c>
      <c r="G139" s="31">
        <f>SUMIFS(G140:G1057,K140:K1057,"0",B140:B1057,"1 2 4 4 1 12*")</f>
        <v>1139156.8799999999</v>
      </c>
      <c r="H139" s="31">
        <f t="shared" si="1"/>
        <v>1771762.9699999997</v>
      </c>
      <c r="I139" s="31"/>
      <c r="K139" t="s">
        <v>14</v>
      </c>
    </row>
    <row r="140" spans="2:11" ht="13" x14ac:dyDescent="0.15">
      <c r="B140" s="29" t="s">
        <v>221</v>
      </c>
      <c r="C140" s="29" t="s">
        <v>27</v>
      </c>
      <c r="D140" s="31">
        <f>SUMIFS(D141:D1057,K141:K1057,"0",B141:B1057,"1 2 4 4 1 12 31111*")-SUMIFS(E141:E1057,K141:K1057,"0",B141:B1057,"1 2 4 4 1 12 31111*")</f>
        <v>2501019.8499999996</v>
      </c>
      <c r="E140"/>
      <c r="F140" s="31">
        <f>SUMIFS(F141:F1057,K141:K1057,"0",B141:B1057,"1 2 4 4 1 12 31111*")</f>
        <v>409900</v>
      </c>
      <c r="G140" s="31">
        <f>SUMIFS(G141:G1057,K141:K1057,"0",B141:B1057,"1 2 4 4 1 12 31111*")</f>
        <v>1139156.8799999999</v>
      </c>
      <c r="H140" s="31">
        <f t="shared" ref="H140:H203" si="2">D140 + F140 - G140</f>
        <v>1771762.9699999997</v>
      </c>
      <c r="I140" s="31"/>
      <c r="K140" t="s">
        <v>14</v>
      </c>
    </row>
    <row r="141" spans="2:11" ht="13" x14ac:dyDescent="0.15">
      <c r="B141" s="29" t="s">
        <v>222</v>
      </c>
      <c r="C141" s="29" t="s">
        <v>29</v>
      </c>
      <c r="D141" s="31">
        <f>SUMIFS(D142:D1057,K142:K1057,"0",B142:B1057,"1 2 4 4 1 12 31111 6*")-SUMIFS(E142:E1057,K142:K1057,"0",B142:B1057,"1 2 4 4 1 12 31111 6*")</f>
        <v>2501019.8499999996</v>
      </c>
      <c r="E141"/>
      <c r="F141" s="31">
        <f>SUMIFS(F142:F1057,K142:K1057,"0",B142:B1057,"1 2 4 4 1 12 31111 6*")</f>
        <v>409900</v>
      </c>
      <c r="G141" s="31">
        <f>SUMIFS(G142:G1057,K142:K1057,"0",B142:B1057,"1 2 4 4 1 12 31111 6*")</f>
        <v>1139156.8799999999</v>
      </c>
      <c r="H141" s="31">
        <f t="shared" si="2"/>
        <v>1771762.9699999997</v>
      </c>
      <c r="I141" s="31"/>
      <c r="K141" t="s">
        <v>14</v>
      </c>
    </row>
    <row r="142" spans="2:11" ht="13" x14ac:dyDescent="0.15">
      <c r="B142" s="29" t="s">
        <v>223</v>
      </c>
      <c r="C142" s="29" t="s">
        <v>31</v>
      </c>
      <c r="D142" s="31">
        <f>SUMIFS(D143:D1057,K143:K1057,"0",B143:B1057,"1 2 4 4 1 12 31111 6 M78*")-SUMIFS(E143:E1057,K143:K1057,"0",B143:B1057,"1 2 4 4 1 12 31111 6 M78*")</f>
        <v>2501019.8499999996</v>
      </c>
      <c r="E142"/>
      <c r="F142" s="31">
        <f>SUMIFS(F143:F1057,K143:K1057,"0",B143:B1057,"1 2 4 4 1 12 31111 6 M78*")</f>
        <v>409900</v>
      </c>
      <c r="G142" s="31">
        <f>SUMIFS(G143:G1057,K143:K1057,"0",B143:B1057,"1 2 4 4 1 12 31111 6 M78*")</f>
        <v>1139156.8799999999</v>
      </c>
      <c r="H142" s="31">
        <f t="shared" si="2"/>
        <v>1771762.9699999997</v>
      </c>
      <c r="I142" s="31"/>
      <c r="K142" t="s">
        <v>14</v>
      </c>
    </row>
    <row r="143" spans="2:11" ht="13" x14ac:dyDescent="0.15">
      <c r="B143" s="29" t="s">
        <v>224</v>
      </c>
      <c r="C143" s="29" t="s">
        <v>142</v>
      </c>
      <c r="D143" s="31">
        <f>SUMIFS(D144:D1057,K144:K1057,"0",B144:B1057,"1 2 4 4 1 12 31111 6 M78 00000*")-SUMIFS(E144:E1057,K144:K1057,"0",B144:B1057,"1 2 4 4 1 12 31111 6 M78 00000*")</f>
        <v>1372819.8499999999</v>
      </c>
      <c r="E143"/>
      <c r="F143" s="31">
        <f>SUMIFS(F144:F1057,K144:K1057,"0",B144:B1057,"1 2 4 4 1 12 31111 6 M78 00000*")</f>
        <v>0</v>
      </c>
      <c r="G143" s="31">
        <f>SUMIFS(G144:G1057,K144:K1057,"0",B144:B1057,"1 2 4 4 1 12 31111 6 M78 00000*")</f>
        <v>729256.88</v>
      </c>
      <c r="H143" s="31">
        <f t="shared" si="2"/>
        <v>643562.96999999986</v>
      </c>
      <c r="I143" s="31"/>
      <c r="K143" t="s">
        <v>14</v>
      </c>
    </row>
    <row r="144" spans="2:11" ht="13" x14ac:dyDescent="0.15">
      <c r="B144" s="29" t="s">
        <v>225</v>
      </c>
      <c r="C144" s="29" t="s">
        <v>110</v>
      </c>
      <c r="D144" s="31">
        <f>SUMIFS(D145:D1057,K145:K1057,"0",B145:B1057,"1 2 4 4 1 12 31111 6 M78 00000 003*")-SUMIFS(E145:E1057,K145:K1057,"0",B145:B1057,"1 2 4 4 1 12 31111 6 M78 00000 003*")</f>
        <v>1372819.8499999999</v>
      </c>
      <c r="E144"/>
      <c r="F144" s="31">
        <f>SUMIFS(F145:F1057,K145:K1057,"0",B145:B1057,"1 2 4 4 1 12 31111 6 M78 00000 003*")</f>
        <v>0</v>
      </c>
      <c r="G144" s="31">
        <f>SUMIFS(G145:G1057,K145:K1057,"0",B145:B1057,"1 2 4 4 1 12 31111 6 M78 00000 003*")</f>
        <v>729256.88</v>
      </c>
      <c r="H144" s="31">
        <f t="shared" si="2"/>
        <v>643562.96999999986</v>
      </c>
      <c r="I144" s="31"/>
      <c r="K144" t="s">
        <v>14</v>
      </c>
    </row>
    <row r="145" spans="2:11" ht="13" x14ac:dyDescent="0.15">
      <c r="B145" s="29" t="s">
        <v>226</v>
      </c>
      <c r="C145" s="29" t="s">
        <v>145</v>
      </c>
      <c r="D145" s="31">
        <f>SUMIFS(D146:D1057,K146:K1057,"0",B146:B1057,"1 2 4 4 1 12 31111 6 M78 00000 003 001*")-SUMIFS(E146:E1057,K146:K1057,"0",B146:B1057,"1 2 4 4 1 12 31111 6 M78 00000 003 001*")</f>
        <v>1322819.8499999999</v>
      </c>
      <c r="E145"/>
      <c r="F145" s="31">
        <f>SUMIFS(F146:F1057,K146:K1057,"0",B146:B1057,"1 2 4 4 1 12 31111 6 M78 00000 003 001*")</f>
        <v>0</v>
      </c>
      <c r="G145" s="31">
        <f>SUMIFS(G146:G1057,K146:K1057,"0",B146:B1057,"1 2 4 4 1 12 31111 6 M78 00000 003 001*")</f>
        <v>679256.88</v>
      </c>
      <c r="H145" s="31">
        <f t="shared" si="2"/>
        <v>643562.96999999986</v>
      </c>
      <c r="I145" s="31"/>
      <c r="K145" t="s">
        <v>14</v>
      </c>
    </row>
    <row r="146" spans="2:11" ht="13" x14ac:dyDescent="0.15">
      <c r="B146" s="29" t="s">
        <v>227</v>
      </c>
      <c r="C146" s="29" t="s">
        <v>9</v>
      </c>
      <c r="D146" s="31">
        <f>SUMIFS(D147:D1057,K147:K1057,"0",B147:B1057,"1 2 4 4 1 12 31111 6 M78 00000 003 001 001*")-SUMIFS(E147:E1057,K147:K1057,"0",B147:B1057,"1 2 4 4 1 12 31111 6 M78 00000 003 001 001*")</f>
        <v>739519.84999999986</v>
      </c>
      <c r="E146"/>
      <c r="F146" s="31">
        <f>SUMIFS(F147:F1057,K147:K1057,"0",B147:B1057,"1 2 4 4 1 12 31111 6 M78 00000 003 001 001*")</f>
        <v>0</v>
      </c>
      <c r="G146" s="31">
        <f>SUMIFS(G147:G1057,K147:K1057,"0",B147:B1057,"1 2 4 4 1 12 31111 6 M78 00000 003 001 001*")</f>
        <v>267656.88</v>
      </c>
      <c r="H146" s="31">
        <f t="shared" si="2"/>
        <v>471862.96999999986</v>
      </c>
      <c r="I146" s="31"/>
      <c r="K146" t="s">
        <v>14</v>
      </c>
    </row>
    <row r="147" spans="2:11" ht="13" x14ac:dyDescent="0.15">
      <c r="B147" s="27" t="s">
        <v>228</v>
      </c>
      <c r="C147" s="27" t="s">
        <v>229</v>
      </c>
      <c r="D147" s="30">
        <v>211260</v>
      </c>
      <c r="E147" s="30"/>
      <c r="F147" s="30">
        <v>0</v>
      </c>
      <c r="G147" s="30">
        <v>211260</v>
      </c>
      <c r="H147" s="30">
        <f t="shared" si="2"/>
        <v>0</v>
      </c>
      <c r="I147" s="30"/>
      <c r="K147" t="s">
        <v>38</v>
      </c>
    </row>
    <row r="148" spans="2:11" ht="13" x14ac:dyDescent="0.15">
      <c r="B148" s="27" t="s">
        <v>230</v>
      </c>
      <c r="C148" s="27" t="s">
        <v>231</v>
      </c>
      <c r="D148" s="30">
        <v>14099.22</v>
      </c>
      <c r="E148" s="30"/>
      <c r="F148" s="30">
        <v>0</v>
      </c>
      <c r="G148" s="30">
        <v>14099.22</v>
      </c>
      <c r="H148" s="30">
        <f t="shared" si="2"/>
        <v>0</v>
      </c>
      <c r="I148" s="30"/>
      <c r="K148" t="s">
        <v>38</v>
      </c>
    </row>
    <row r="149" spans="2:11" ht="13" x14ac:dyDescent="0.15">
      <c r="B149" s="27" t="s">
        <v>232</v>
      </c>
      <c r="C149" s="27" t="s">
        <v>231</v>
      </c>
      <c r="D149" s="30">
        <v>14099.22</v>
      </c>
      <c r="E149" s="30"/>
      <c r="F149" s="30">
        <v>0</v>
      </c>
      <c r="G149" s="30">
        <v>14099.22</v>
      </c>
      <c r="H149" s="30">
        <f t="shared" si="2"/>
        <v>0</v>
      </c>
      <c r="I149" s="30"/>
      <c r="K149" t="s">
        <v>38</v>
      </c>
    </row>
    <row r="150" spans="2:11" ht="13" x14ac:dyDescent="0.15">
      <c r="B150" s="27" t="s">
        <v>233</v>
      </c>
      <c r="C150" s="27" t="s">
        <v>234</v>
      </c>
      <c r="D150" s="30">
        <v>372865.97</v>
      </c>
      <c r="E150" s="30"/>
      <c r="F150" s="30">
        <v>0</v>
      </c>
      <c r="G150" s="30">
        <v>0</v>
      </c>
      <c r="H150" s="30">
        <f t="shared" si="2"/>
        <v>372865.97</v>
      </c>
      <c r="I150" s="30"/>
      <c r="K150" t="s">
        <v>38</v>
      </c>
    </row>
    <row r="151" spans="2:11" ht="13" x14ac:dyDescent="0.15">
      <c r="B151" s="27" t="s">
        <v>235</v>
      </c>
      <c r="C151" s="27" t="s">
        <v>231</v>
      </c>
      <c r="D151" s="30">
        <v>14099.22</v>
      </c>
      <c r="E151" s="30"/>
      <c r="F151" s="30">
        <v>0</v>
      </c>
      <c r="G151" s="30">
        <v>14099.22</v>
      </c>
      <c r="H151" s="30">
        <f t="shared" si="2"/>
        <v>0</v>
      </c>
      <c r="I151" s="30"/>
      <c r="K151" t="s">
        <v>38</v>
      </c>
    </row>
    <row r="152" spans="2:11" ht="13" x14ac:dyDescent="0.15">
      <c r="B152" s="27" t="s">
        <v>236</v>
      </c>
      <c r="C152" s="27" t="s">
        <v>237</v>
      </c>
      <c r="D152" s="30">
        <v>14099.22</v>
      </c>
      <c r="E152" s="30"/>
      <c r="F152" s="30">
        <v>0</v>
      </c>
      <c r="G152" s="30">
        <v>14099.22</v>
      </c>
      <c r="H152" s="30">
        <f t="shared" si="2"/>
        <v>0</v>
      </c>
      <c r="I152" s="30"/>
      <c r="K152" t="s">
        <v>38</v>
      </c>
    </row>
    <row r="153" spans="2:11" ht="33" x14ac:dyDescent="0.15">
      <c r="B153" s="27" t="s">
        <v>238</v>
      </c>
      <c r="C153" s="27" t="s">
        <v>239</v>
      </c>
      <c r="D153" s="30">
        <v>39999</v>
      </c>
      <c r="E153" s="30"/>
      <c r="F153" s="30">
        <v>0</v>
      </c>
      <c r="G153" s="30">
        <v>0</v>
      </c>
      <c r="H153" s="30">
        <f t="shared" si="2"/>
        <v>39999</v>
      </c>
      <c r="I153" s="30"/>
      <c r="K153" t="s">
        <v>38</v>
      </c>
    </row>
    <row r="154" spans="2:11" ht="33" x14ac:dyDescent="0.15">
      <c r="B154" s="27" t="s">
        <v>240</v>
      </c>
      <c r="C154" s="27" t="s">
        <v>241</v>
      </c>
      <c r="D154" s="30">
        <v>28999</v>
      </c>
      <c r="E154" s="30"/>
      <c r="F154" s="30">
        <v>0</v>
      </c>
      <c r="G154" s="30">
        <v>0</v>
      </c>
      <c r="H154" s="30">
        <f t="shared" si="2"/>
        <v>28999</v>
      </c>
      <c r="I154" s="30"/>
      <c r="K154" t="s">
        <v>38</v>
      </c>
    </row>
    <row r="155" spans="2:11" ht="33" x14ac:dyDescent="0.15">
      <c r="B155" s="27" t="s">
        <v>242</v>
      </c>
      <c r="C155" s="27" t="s">
        <v>243</v>
      </c>
      <c r="D155" s="30">
        <v>29999</v>
      </c>
      <c r="E155" s="30"/>
      <c r="F155" s="30">
        <v>0</v>
      </c>
      <c r="G155" s="30">
        <v>0</v>
      </c>
      <c r="H155" s="30">
        <f t="shared" si="2"/>
        <v>29999</v>
      </c>
      <c r="I155" s="30"/>
      <c r="K155" t="s">
        <v>38</v>
      </c>
    </row>
    <row r="156" spans="2:11" ht="13" x14ac:dyDescent="0.15">
      <c r="B156" s="29" t="s">
        <v>244</v>
      </c>
      <c r="C156" s="29" t="s">
        <v>245</v>
      </c>
      <c r="D156" s="31">
        <f>SUMIFS(D157:D1057,K157:K1057,"0",B157:B1057,"1 2 4 4 1 12 31111 6 M78 00000 003 001 002*")-SUMIFS(E157:E1057,K157:K1057,"0",B157:B1057,"1 2 4 4 1 12 31111 6 M78 00000 003 001 002*")</f>
        <v>583300</v>
      </c>
      <c r="E156"/>
      <c r="F156" s="31">
        <f>SUMIFS(F157:F1057,K157:K1057,"0",B157:B1057,"1 2 4 4 1 12 31111 6 M78 00000 003 001 002*")</f>
        <v>0</v>
      </c>
      <c r="G156" s="31">
        <f>SUMIFS(G157:G1057,K157:K1057,"0",B157:B1057,"1 2 4 4 1 12 31111 6 M78 00000 003 001 002*")</f>
        <v>411600</v>
      </c>
      <c r="H156" s="31">
        <f t="shared" si="2"/>
        <v>171700</v>
      </c>
      <c r="I156" s="31"/>
      <c r="K156" t="s">
        <v>14</v>
      </c>
    </row>
    <row r="157" spans="2:11" ht="13" x14ac:dyDescent="0.15">
      <c r="B157" s="27" t="s">
        <v>246</v>
      </c>
      <c r="C157" s="27" t="s">
        <v>247</v>
      </c>
      <c r="D157" s="30">
        <v>171700</v>
      </c>
      <c r="E157" s="30"/>
      <c r="F157" s="30">
        <v>0</v>
      </c>
      <c r="G157" s="30">
        <v>0</v>
      </c>
      <c r="H157" s="30">
        <f t="shared" si="2"/>
        <v>171700</v>
      </c>
      <c r="I157" s="30"/>
      <c r="K157" t="s">
        <v>38</v>
      </c>
    </row>
    <row r="158" spans="2:11" ht="13" x14ac:dyDescent="0.15">
      <c r="B158" s="27" t="s">
        <v>248</v>
      </c>
      <c r="C158" s="27" t="s">
        <v>249</v>
      </c>
      <c r="D158" s="30">
        <v>50000</v>
      </c>
      <c r="E158" s="30"/>
      <c r="F158" s="30">
        <v>0</v>
      </c>
      <c r="G158" s="30">
        <v>50000</v>
      </c>
      <c r="H158" s="30">
        <f t="shared" si="2"/>
        <v>0</v>
      </c>
      <c r="I158" s="30"/>
      <c r="K158" t="s">
        <v>38</v>
      </c>
    </row>
    <row r="159" spans="2:11" ht="13" x14ac:dyDescent="0.15">
      <c r="B159" s="27" t="s">
        <v>250</v>
      </c>
      <c r="C159" s="27" t="s">
        <v>251</v>
      </c>
      <c r="D159" s="30">
        <v>361600</v>
      </c>
      <c r="E159" s="30"/>
      <c r="F159" s="30">
        <v>0</v>
      </c>
      <c r="G159" s="30">
        <v>361600</v>
      </c>
      <c r="H159" s="30">
        <f t="shared" si="2"/>
        <v>0</v>
      </c>
      <c r="I159" s="30"/>
      <c r="K159" t="s">
        <v>38</v>
      </c>
    </row>
    <row r="160" spans="2:11" ht="13" x14ac:dyDescent="0.15">
      <c r="B160" s="29" t="s">
        <v>252</v>
      </c>
      <c r="C160" s="29" t="s">
        <v>145</v>
      </c>
      <c r="D160" s="31">
        <f>SUMIFS(D161:D1057,K161:K1057,"0",B161:B1057,"1 2 4 4 1 12 31111 6 M78 00000 003 002*")-SUMIFS(E161:E1057,K161:K1057,"0",B161:B1057,"1 2 4 4 1 12 31111 6 M78 00000 003 002*")</f>
        <v>50000</v>
      </c>
      <c r="E160"/>
      <c r="F160" s="31">
        <f>SUMIFS(F161:F1057,K161:K1057,"0",B161:B1057,"1 2 4 4 1 12 31111 6 M78 00000 003 002*")</f>
        <v>0</v>
      </c>
      <c r="G160" s="31">
        <f>SUMIFS(G161:G1057,K161:K1057,"0",B161:B1057,"1 2 4 4 1 12 31111 6 M78 00000 003 002*")</f>
        <v>50000</v>
      </c>
      <c r="H160" s="31">
        <f t="shared" si="2"/>
        <v>0</v>
      </c>
      <c r="I160" s="31"/>
      <c r="K160" t="s">
        <v>14</v>
      </c>
    </row>
    <row r="161" spans="2:11" ht="13" x14ac:dyDescent="0.15">
      <c r="B161" s="29" t="s">
        <v>253</v>
      </c>
      <c r="C161" s="29" t="s">
        <v>254</v>
      </c>
      <c r="D161" s="31">
        <f>SUMIFS(D162:D1057,K162:K1057,"0",B162:B1057,"1 2 4 4 1 12 31111 6 M78 00000 003 002 001*")-SUMIFS(E162:E1057,K162:K1057,"0",B162:B1057,"1 2 4 4 1 12 31111 6 M78 00000 003 002 001*")</f>
        <v>50000</v>
      </c>
      <c r="E161"/>
      <c r="F161" s="31">
        <f>SUMIFS(F162:F1057,K162:K1057,"0",B162:B1057,"1 2 4 4 1 12 31111 6 M78 00000 003 002 001*")</f>
        <v>0</v>
      </c>
      <c r="G161" s="31">
        <f>SUMIFS(G162:G1057,K162:K1057,"0",B162:B1057,"1 2 4 4 1 12 31111 6 M78 00000 003 002 001*")</f>
        <v>50000</v>
      </c>
      <c r="H161" s="31">
        <f t="shared" si="2"/>
        <v>0</v>
      </c>
      <c r="I161" s="31"/>
      <c r="K161" t="s">
        <v>14</v>
      </c>
    </row>
    <row r="162" spans="2:11" ht="13" x14ac:dyDescent="0.15">
      <c r="B162" s="27" t="s">
        <v>255</v>
      </c>
      <c r="C162" s="27" t="s">
        <v>256</v>
      </c>
      <c r="D162" s="30">
        <v>50000</v>
      </c>
      <c r="E162" s="30"/>
      <c r="F162" s="30">
        <v>0</v>
      </c>
      <c r="G162" s="30">
        <v>50000</v>
      </c>
      <c r="H162" s="30">
        <f t="shared" si="2"/>
        <v>0</v>
      </c>
      <c r="I162" s="30"/>
      <c r="K162" t="s">
        <v>38</v>
      </c>
    </row>
    <row r="163" spans="2:11" ht="13" x14ac:dyDescent="0.15">
      <c r="B163" s="29" t="s">
        <v>257</v>
      </c>
      <c r="C163" s="29" t="s">
        <v>176</v>
      </c>
      <c r="D163" s="31">
        <f>SUMIFS(D164:D1057,K164:K1057,"0",B164:B1057,"1 2 4 4 1 12 31111 6 M78 15000*")-SUMIFS(E164:E1057,K164:K1057,"0",B164:B1057,"1 2 4 4 1 12 31111 6 M78 15000*")</f>
        <v>1128200</v>
      </c>
      <c r="E163"/>
      <c r="F163" s="31">
        <f>SUMIFS(F164:F1057,K164:K1057,"0",B164:B1057,"1 2 4 4 1 12 31111 6 M78 15000*")</f>
        <v>409900</v>
      </c>
      <c r="G163" s="31">
        <f>SUMIFS(G164:G1057,K164:K1057,"0",B164:B1057,"1 2 4 4 1 12 31111 6 M78 15000*")</f>
        <v>409900</v>
      </c>
      <c r="H163" s="31">
        <f t="shared" si="2"/>
        <v>1128200</v>
      </c>
      <c r="I163" s="31"/>
      <c r="K163" t="s">
        <v>14</v>
      </c>
    </row>
    <row r="164" spans="2:11" ht="13" x14ac:dyDescent="0.15">
      <c r="B164" s="29" t="s">
        <v>258</v>
      </c>
      <c r="C164" s="29" t="s">
        <v>178</v>
      </c>
      <c r="D164" s="31">
        <f>SUMIFS(D165:D1057,K165:K1057,"0",B165:B1057,"1 2 4 4 1 12 31111 6 M78 15000 171*")-SUMIFS(E165:E1057,K165:K1057,"0",B165:B1057,"1 2 4 4 1 12 31111 6 M78 15000 171*")</f>
        <v>1128200</v>
      </c>
      <c r="E164"/>
      <c r="F164" s="31">
        <f>SUMIFS(F165:F1057,K165:K1057,"0",B165:B1057,"1 2 4 4 1 12 31111 6 M78 15000 171*")</f>
        <v>409900</v>
      </c>
      <c r="G164" s="31">
        <f>SUMIFS(G165:G1057,K165:K1057,"0",B165:B1057,"1 2 4 4 1 12 31111 6 M78 15000 171*")</f>
        <v>409900</v>
      </c>
      <c r="H164" s="31">
        <f t="shared" si="2"/>
        <v>1128200</v>
      </c>
      <c r="I164" s="31"/>
      <c r="K164" t="s">
        <v>14</v>
      </c>
    </row>
    <row r="165" spans="2:11" ht="13" x14ac:dyDescent="0.15">
      <c r="B165" s="29" t="s">
        <v>259</v>
      </c>
      <c r="C165" s="29" t="s">
        <v>180</v>
      </c>
      <c r="D165" s="31">
        <f>SUMIFS(D166:D1057,K166:K1057,"0",B166:B1057,"1 2 4 4 1 12 31111 6 M78 15000 171 00I*")-SUMIFS(E166:E1057,K166:K1057,"0",B166:B1057,"1 2 4 4 1 12 31111 6 M78 15000 171 00I*")</f>
        <v>1128200</v>
      </c>
      <c r="E165"/>
      <c r="F165" s="31">
        <f>SUMIFS(F166:F1057,K166:K1057,"0",B166:B1057,"1 2 4 4 1 12 31111 6 M78 15000 171 00I*")</f>
        <v>409900</v>
      </c>
      <c r="G165" s="31">
        <f>SUMIFS(G166:G1057,K166:K1057,"0",B166:B1057,"1 2 4 4 1 12 31111 6 M78 15000 171 00I*")</f>
        <v>409900</v>
      </c>
      <c r="H165" s="31">
        <f t="shared" si="2"/>
        <v>1128200</v>
      </c>
      <c r="I165" s="31"/>
      <c r="K165" t="s">
        <v>14</v>
      </c>
    </row>
    <row r="166" spans="2:11" ht="13" x14ac:dyDescent="0.15">
      <c r="B166" s="29" t="s">
        <v>260</v>
      </c>
      <c r="C166" s="29" t="s">
        <v>182</v>
      </c>
      <c r="D166" s="31">
        <f>SUMIFS(D167:D1057,K167:K1057,"0",B167:B1057,"1 2 4 4 1 12 31111 6 M78 15000 171 00I 002*")-SUMIFS(E167:E1057,K167:K1057,"0",B167:B1057,"1 2 4 4 1 12 31111 6 M78 15000 171 00I 002*")</f>
        <v>1128200</v>
      </c>
      <c r="E166"/>
      <c r="F166" s="31">
        <f>SUMIFS(F167:F1057,K167:K1057,"0",B167:B1057,"1 2 4 4 1 12 31111 6 M78 15000 171 00I 002*")</f>
        <v>409900</v>
      </c>
      <c r="G166" s="31">
        <f>SUMIFS(G167:G1057,K167:K1057,"0",B167:B1057,"1 2 4 4 1 12 31111 6 M78 15000 171 00I 002*")</f>
        <v>409900</v>
      </c>
      <c r="H166" s="31">
        <f t="shared" si="2"/>
        <v>1128200</v>
      </c>
      <c r="I166" s="31"/>
      <c r="K166" t="s">
        <v>14</v>
      </c>
    </row>
    <row r="167" spans="2:11" ht="13" x14ac:dyDescent="0.15">
      <c r="B167" s="29" t="s">
        <v>261</v>
      </c>
      <c r="C167" s="29" t="s">
        <v>262</v>
      </c>
      <c r="D167" s="31">
        <f>SUMIFS(D168:D1057,K168:K1057,"0",B168:B1057,"1 2 4 4 1 12 31111 6 M78 15000 171 00I 002 54105*")-SUMIFS(E168:E1057,K168:K1057,"0",B168:B1057,"1 2 4 4 1 12 31111 6 M78 15000 171 00I 002 54105*")</f>
        <v>1128200</v>
      </c>
      <c r="E167"/>
      <c r="F167" s="31">
        <f>SUMIFS(F168:F1057,K168:K1057,"0",B168:B1057,"1 2 4 4 1 12 31111 6 M78 15000 171 00I 002 54105*")</f>
        <v>409900</v>
      </c>
      <c r="G167" s="31">
        <f>SUMIFS(G168:G1057,K168:K1057,"0",B168:B1057,"1 2 4 4 1 12 31111 6 M78 15000 171 00I 002 54105*")</f>
        <v>409900</v>
      </c>
      <c r="H167" s="31">
        <f t="shared" si="2"/>
        <v>1128200</v>
      </c>
      <c r="I167" s="31"/>
      <c r="K167" t="s">
        <v>14</v>
      </c>
    </row>
    <row r="168" spans="2:11" ht="13" x14ac:dyDescent="0.15">
      <c r="B168" s="29" t="s">
        <v>263</v>
      </c>
      <c r="C168" s="29" t="s">
        <v>186</v>
      </c>
      <c r="D168" s="31">
        <f>SUMIFS(D169:D1057,K169:K1057,"0",B169:B1057,"1 2 4 4 1 12 31111 6 M78 15000 171 00I 002 54105 025*")-SUMIFS(E169:E1057,K169:K1057,"0",B169:B1057,"1 2 4 4 1 12 31111 6 M78 15000 171 00I 002 54105 025*")</f>
        <v>1128200</v>
      </c>
      <c r="E168"/>
      <c r="F168" s="31">
        <f>SUMIFS(F169:F1057,K169:K1057,"0",B169:B1057,"1 2 4 4 1 12 31111 6 M78 15000 171 00I 002 54105 025*")</f>
        <v>409900</v>
      </c>
      <c r="G168" s="31">
        <f>SUMIFS(G169:G1057,K169:K1057,"0",B169:B1057,"1 2 4 4 1 12 31111 6 M78 15000 171 00I 002 54105 025*")</f>
        <v>409900</v>
      </c>
      <c r="H168" s="31">
        <f t="shared" si="2"/>
        <v>1128200</v>
      </c>
      <c r="I168" s="31"/>
      <c r="K168" t="s">
        <v>14</v>
      </c>
    </row>
    <row r="169" spans="2:11" ht="22" x14ac:dyDescent="0.15">
      <c r="B169" s="29" t="s">
        <v>264</v>
      </c>
      <c r="C169" s="29" t="s">
        <v>265</v>
      </c>
      <c r="D169" s="31">
        <f>SUMIFS(D170:D1057,K170:K1057,"0",B170:B1057,"1 2 4 4 1 12 31111 6 M78 15000 171 00I 002 54105 025 2222100*")-SUMIFS(E170:E1057,K170:K1057,"0",B170:B1057,"1 2 4 4 1 12 31111 6 M78 15000 171 00I 002 54105 025 2222100*")</f>
        <v>1128200</v>
      </c>
      <c r="E169"/>
      <c r="F169" s="31">
        <f>SUMIFS(F170:F1057,K170:K1057,"0",B170:B1057,"1 2 4 4 1 12 31111 6 M78 15000 171 00I 002 54105 025 2222100*")</f>
        <v>409900</v>
      </c>
      <c r="G169" s="31">
        <f>SUMIFS(G170:G1057,K170:K1057,"0",B170:B1057,"1 2 4 4 1 12 31111 6 M78 15000 171 00I 002 54105 025 2222100*")</f>
        <v>409900</v>
      </c>
      <c r="H169" s="31">
        <f t="shared" si="2"/>
        <v>1128200</v>
      </c>
      <c r="I169" s="31"/>
      <c r="K169" t="s">
        <v>14</v>
      </c>
    </row>
    <row r="170" spans="2:11" ht="22" x14ac:dyDescent="0.15">
      <c r="B170" s="29" t="s">
        <v>266</v>
      </c>
      <c r="C170" s="29" t="s">
        <v>267</v>
      </c>
      <c r="D170" s="31">
        <f>SUMIFS(D171:D1057,K171:K1057,"0",B171:B1057,"1 2 4 4 1 12 31111 6 M78 15000 171 00I 002 54105 025 2222100 2020*")-SUMIFS(E171:E1057,K171:K1057,"0",B171:B1057,"1 2 4 4 1 12 31111 6 M78 15000 171 00I 002 54105 025 2222100 2020*")</f>
        <v>370300</v>
      </c>
      <c r="E170"/>
      <c r="F170" s="31">
        <f>SUMIFS(F171:F1057,K171:K1057,"0",B171:B1057,"1 2 4 4 1 12 31111 6 M78 15000 171 00I 002 54105 025 2222100 2020*")</f>
        <v>0</v>
      </c>
      <c r="G170" s="31">
        <f>SUMIFS(G171:G1057,K171:K1057,"0",B171:B1057,"1 2 4 4 1 12 31111 6 M78 15000 171 00I 002 54105 025 2222100 2020*")</f>
        <v>0</v>
      </c>
      <c r="H170" s="31">
        <f t="shared" si="2"/>
        <v>370300</v>
      </c>
      <c r="I170" s="31"/>
      <c r="K170" t="s">
        <v>14</v>
      </c>
    </row>
    <row r="171" spans="2:11" ht="22" x14ac:dyDescent="0.15">
      <c r="B171" s="29" t="s">
        <v>268</v>
      </c>
      <c r="C171" s="29" t="s">
        <v>192</v>
      </c>
      <c r="D171" s="31">
        <f>SUMIFS(D172:D1057,K172:K1057,"0",B172:B1057,"1 2 4 4 1 12 31111 6 M78 15000 171 00I 002 54105 025 2222100 2020 00000000*")-SUMIFS(E172:E1057,K172:K1057,"0",B172:B1057,"1 2 4 4 1 12 31111 6 M78 15000 171 00I 002 54105 025 2222100 2020 00000000*")</f>
        <v>370300</v>
      </c>
      <c r="E171"/>
      <c r="F171" s="31">
        <f>SUMIFS(F172:F1057,K172:K1057,"0",B172:B1057,"1 2 4 4 1 12 31111 6 M78 15000 171 00I 002 54105 025 2222100 2020 00000000*")</f>
        <v>0</v>
      </c>
      <c r="G171" s="31">
        <f>SUMIFS(G172:G1057,K172:K1057,"0",B172:B1057,"1 2 4 4 1 12 31111 6 M78 15000 171 00I 002 54105 025 2222100 2020 00000000*")</f>
        <v>0</v>
      </c>
      <c r="H171" s="31">
        <f t="shared" si="2"/>
        <v>370300</v>
      </c>
      <c r="I171" s="31"/>
      <c r="K171" t="s">
        <v>14</v>
      </c>
    </row>
    <row r="172" spans="2:11" ht="22" x14ac:dyDescent="0.15">
      <c r="B172" s="29" t="s">
        <v>269</v>
      </c>
      <c r="C172" s="29" t="s">
        <v>9</v>
      </c>
      <c r="D172" s="31">
        <f>SUMIFS(D173:D1057,K173:K1057,"0",B173:B1057,"1 2 4 4 1 12 31111 6 M78 15000 171 00I 002 54105 025 2222100 2020 00000000 003*")-SUMIFS(E173:E1057,K173:K1057,"0",B173:B1057,"1 2 4 4 1 12 31111 6 M78 15000 171 00I 002 54105 025 2222100 2020 00000000 003*")</f>
        <v>370300</v>
      </c>
      <c r="E172"/>
      <c r="F172" s="31">
        <f>SUMIFS(F173:F1057,K173:K1057,"0",B173:B1057,"1 2 4 4 1 12 31111 6 M78 15000 171 00I 002 54105 025 2222100 2020 00000000 003*")</f>
        <v>0</v>
      </c>
      <c r="G172" s="31">
        <f>SUMIFS(G173:G1057,K173:K1057,"0",B173:B1057,"1 2 4 4 1 12 31111 6 M78 15000 171 00I 002 54105 025 2222100 2020 00000000 003*")</f>
        <v>0</v>
      </c>
      <c r="H172" s="31">
        <f t="shared" si="2"/>
        <v>370300</v>
      </c>
      <c r="I172" s="31"/>
      <c r="K172" t="s">
        <v>14</v>
      </c>
    </row>
    <row r="173" spans="2:11" ht="22" x14ac:dyDescent="0.15">
      <c r="B173" s="29" t="s">
        <v>270</v>
      </c>
      <c r="C173" s="29" t="s">
        <v>271</v>
      </c>
      <c r="D173" s="31">
        <f>SUMIFS(D174:D1057,K174:K1057,"0",B174:B1057,"1 2 4 4 1 12 31111 6 M78 15000 171 00I 002 54105 025 2222100 2020 00000000 003 002*")-SUMIFS(E174:E1057,K174:K1057,"0",B174:B1057,"1 2 4 4 1 12 31111 6 M78 15000 171 00I 002 54105 025 2222100 2020 00000000 003 002*")</f>
        <v>370300</v>
      </c>
      <c r="E173"/>
      <c r="F173" s="31">
        <f>SUMIFS(F174:F1057,K174:K1057,"0",B174:B1057,"1 2 4 4 1 12 31111 6 M78 15000 171 00I 002 54105 025 2222100 2020 00000000 003 002*")</f>
        <v>0</v>
      </c>
      <c r="G173" s="31">
        <f>SUMIFS(G174:G1057,K174:K1057,"0",B174:B1057,"1 2 4 4 1 12 31111 6 M78 15000 171 00I 002 54105 025 2222100 2020 00000000 003 002*")</f>
        <v>0</v>
      </c>
      <c r="H173" s="31">
        <f t="shared" si="2"/>
        <v>370300</v>
      </c>
      <c r="I173" s="31"/>
      <c r="K173" t="s">
        <v>14</v>
      </c>
    </row>
    <row r="174" spans="2:11" ht="33" x14ac:dyDescent="0.15">
      <c r="B174" s="27" t="s">
        <v>272</v>
      </c>
      <c r="C174" s="27" t="s">
        <v>273</v>
      </c>
      <c r="D174" s="30">
        <v>370300</v>
      </c>
      <c r="E174" s="30"/>
      <c r="F174" s="30">
        <v>0</v>
      </c>
      <c r="G174" s="30">
        <v>0</v>
      </c>
      <c r="H174" s="30">
        <f t="shared" si="2"/>
        <v>370300</v>
      </c>
      <c r="I174" s="30"/>
      <c r="K174" t="s">
        <v>38</v>
      </c>
    </row>
    <row r="175" spans="2:11" ht="22" x14ac:dyDescent="0.15">
      <c r="B175" s="29" t="s">
        <v>274</v>
      </c>
      <c r="C175" s="29" t="s">
        <v>275</v>
      </c>
      <c r="D175" s="31">
        <f>SUMIFS(D176:D1057,K176:K1057,"0",B176:B1057,"1 2 4 4 1 12 31111 6 M78 15000 171 00I 002 54105 025 2222100 2021*")-SUMIFS(E176:E1057,K176:K1057,"0",B176:B1057,"1 2 4 4 1 12 31111 6 M78 15000 171 00I 002 54105 025 2222100 2021*")</f>
        <v>348000</v>
      </c>
      <c r="E175"/>
      <c r="F175" s="31">
        <f>SUMIFS(F176:F1057,K176:K1057,"0",B176:B1057,"1 2 4 4 1 12 31111 6 M78 15000 171 00I 002 54105 025 2222100 2021*")</f>
        <v>0</v>
      </c>
      <c r="G175" s="31">
        <f>SUMIFS(G176:G1057,K176:K1057,"0",B176:B1057,"1 2 4 4 1 12 31111 6 M78 15000 171 00I 002 54105 025 2222100 2021*")</f>
        <v>0</v>
      </c>
      <c r="H175" s="31">
        <f t="shared" si="2"/>
        <v>348000</v>
      </c>
      <c r="I175" s="31"/>
      <c r="K175" t="s">
        <v>14</v>
      </c>
    </row>
    <row r="176" spans="2:11" ht="22" x14ac:dyDescent="0.15">
      <c r="B176" s="29" t="s">
        <v>276</v>
      </c>
      <c r="C176" s="29" t="s">
        <v>192</v>
      </c>
      <c r="D176" s="31">
        <f>SUMIFS(D177:D1057,K177:K1057,"0",B177:B1057,"1 2 4 4 1 12 31111 6 M78 15000 171 00I 002 54105 025 2222100 2021 00000000*")-SUMIFS(E177:E1057,K177:K1057,"0",B177:B1057,"1 2 4 4 1 12 31111 6 M78 15000 171 00I 002 54105 025 2222100 2021 00000000*")</f>
        <v>348000</v>
      </c>
      <c r="E176"/>
      <c r="F176" s="31">
        <f>SUMIFS(F177:F1057,K177:K1057,"0",B177:B1057,"1 2 4 4 1 12 31111 6 M78 15000 171 00I 002 54105 025 2222100 2021 00000000*")</f>
        <v>0</v>
      </c>
      <c r="G176" s="31">
        <f>SUMIFS(G177:G1057,K177:K1057,"0",B177:B1057,"1 2 4 4 1 12 31111 6 M78 15000 171 00I 002 54105 025 2222100 2021 00000000*")</f>
        <v>0</v>
      </c>
      <c r="H176" s="31">
        <f t="shared" si="2"/>
        <v>348000</v>
      </c>
      <c r="I176" s="31"/>
      <c r="K176" t="s">
        <v>14</v>
      </c>
    </row>
    <row r="177" spans="2:11" ht="22" x14ac:dyDescent="0.15">
      <c r="B177" s="29" t="s">
        <v>277</v>
      </c>
      <c r="C177" s="29" t="s">
        <v>9</v>
      </c>
      <c r="D177" s="31">
        <f>SUMIFS(D178:D1057,K178:K1057,"0",B178:B1057,"1 2 4 4 1 12 31111 6 M78 15000 171 00I 002 54105 025 2222100 2021 00000000 003*")-SUMIFS(E178:E1057,K178:K1057,"0",B178:B1057,"1 2 4 4 1 12 31111 6 M78 15000 171 00I 002 54105 025 2222100 2021 00000000 003*")</f>
        <v>348000</v>
      </c>
      <c r="E177"/>
      <c r="F177" s="31">
        <f>SUMIFS(F178:F1057,K178:K1057,"0",B178:B1057,"1 2 4 4 1 12 31111 6 M78 15000 171 00I 002 54105 025 2222100 2021 00000000 003*")</f>
        <v>0</v>
      </c>
      <c r="G177" s="31">
        <f>SUMIFS(G178:G1057,K178:K1057,"0",B178:B1057,"1 2 4 4 1 12 31111 6 M78 15000 171 00I 002 54105 025 2222100 2021 00000000 003*")</f>
        <v>0</v>
      </c>
      <c r="H177" s="31">
        <f t="shared" si="2"/>
        <v>348000</v>
      </c>
      <c r="I177" s="31"/>
      <c r="K177" t="s">
        <v>14</v>
      </c>
    </row>
    <row r="178" spans="2:11" ht="22" x14ac:dyDescent="0.15">
      <c r="B178" s="29" t="s">
        <v>278</v>
      </c>
      <c r="C178" s="29" t="s">
        <v>271</v>
      </c>
      <c r="D178" s="31">
        <f>SUMIFS(D179:D1057,K179:K1057,"0",B179:B1057,"1 2 4 4 1 12 31111 6 M78 15000 171 00I 002 54105 025 2222100 2021 00000000 003 002*")-SUMIFS(E179:E1057,K179:K1057,"0",B179:B1057,"1 2 4 4 1 12 31111 6 M78 15000 171 00I 002 54105 025 2222100 2021 00000000 003 002*")</f>
        <v>348000</v>
      </c>
      <c r="E178"/>
      <c r="F178" s="31">
        <f>SUMIFS(F179:F1057,K179:K1057,"0",B179:B1057,"1 2 4 4 1 12 31111 6 M78 15000 171 00I 002 54105 025 2222100 2021 00000000 003 002*")</f>
        <v>0</v>
      </c>
      <c r="G178" s="31">
        <f>SUMIFS(G179:G1057,K179:K1057,"0",B179:B1057,"1 2 4 4 1 12 31111 6 M78 15000 171 00I 002 54105 025 2222100 2021 00000000 003 002*")</f>
        <v>0</v>
      </c>
      <c r="H178" s="31">
        <f t="shared" si="2"/>
        <v>348000</v>
      </c>
      <c r="I178" s="31"/>
      <c r="K178" t="s">
        <v>14</v>
      </c>
    </row>
    <row r="179" spans="2:11" ht="33" x14ac:dyDescent="0.15">
      <c r="B179" s="27" t="s">
        <v>279</v>
      </c>
      <c r="C179" s="27" t="s">
        <v>280</v>
      </c>
      <c r="D179" s="30">
        <v>348000</v>
      </c>
      <c r="E179" s="30"/>
      <c r="F179" s="30">
        <v>0</v>
      </c>
      <c r="G179" s="30">
        <v>0</v>
      </c>
      <c r="H179" s="30">
        <f t="shared" si="2"/>
        <v>348000</v>
      </c>
      <c r="I179" s="30"/>
      <c r="K179" t="s">
        <v>38</v>
      </c>
    </row>
    <row r="180" spans="2:11" ht="22" x14ac:dyDescent="0.15">
      <c r="B180" s="29" t="s">
        <v>281</v>
      </c>
      <c r="C180" s="29" t="s">
        <v>282</v>
      </c>
      <c r="D180" s="31">
        <f>SUMIFS(D181:D1057,K181:K1057,"0",B181:B1057,"1 2 4 4 1 12 31111 6 M78 15000 171 00I 002 54105 025 2222100 2022*")-SUMIFS(E181:E1057,K181:K1057,"0",B181:B1057,"1 2 4 4 1 12 31111 6 M78 15000 171 00I 002 54105 025 2222100 2022*")</f>
        <v>361596.08</v>
      </c>
      <c r="E180"/>
      <c r="F180" s="31">
        <f>SUMIFS(F181:F1057,K181:K1057,"0",B181:B1057,"1 2 4 4 1 12 31111 6 M78 15000 171 00I 002 54105 025 2222100 2022*")</f>
        <v>0</v>
      </c>
      <c r="G180" s="31">
        <f>SUMIFS(G181:G1057,K181:K1057,"0",B181:B1057,"1 2 4 4 1 12 31111 6 M78 15000 171 00I 002 54105 025 2222100 2022*")</f>
        <v>361596.08</v>
      </c>
      <c r="H180" s="31">
        <f t="shared" si="2"/>
        <v>0</v>
      </c>
      <c r="I180" s="31"/>
      <c r="K180" t="s">
        <v>14</v>
      </c>
    </row>
    <row r="181" spans="2:11" ht="22" x14ac:dyDescent="0.15">
      <c r="B181" s="29" t="s">
        <v>283</v>
      </c>
      <c r="C181" s="29" t="s">
        <v>192</v>
      </c>
      <c r="D181" s="31">
        <f>SUMIFS(D182:D1057,K182:K1057,"0",B182:B1057,"1 2 4 4 1 12 31111 6 M78 15000 171 00I 002 54105 025 2222100 2022 00000000*")-SUMIFS(E182:E1057,K182:K1057,"0",B182:B1057,"1 2 4 4 1 12 31111 6 M78 15000 171 00I 002 54105 025 2222100 2022 00000000*")</f>
        <v>361596.08</v>
      </c>
      <c r="E181"/>
      <c r="F181" s="31">
        <f>SUMIFS(F182:F1057,K182:K1057,"0",B182:B1057,"1 2 4 4 1 12 31111 6 M78 15000 171 00I 002 54105 025 2222100 2022 00000000*")</f>
        <v>0</v>
      </c>
      <c r="G181" s="31">
        <f>SUMIFS(G182:G1057,K182:K1057,"0",B182:B1057,"1 2 4 4 1 12 31111 6 M78 15000 171 00I 002 54105 025 2222100 2022 00000000*")</f>
        <v>361596.08</v>
      </c>
      <c r="H181" s="31">
        <f t="shared" si="2"/>
        <v>0</v>
      </c>
      <c r="I181" s="31"/>
      <c r="K181" t="s">
        <v>14</v>
      </c>
    </row>
    <row r="182" spans="2:11" ht="22" x14ac:dyDescent="0.15">
      <c r="B182" s="29" t="s">
        <v>284</v>
      </c>
      <c r="C182" s="29" t="s">
        <v>9</v>
      </c>
      <c r="D182" s="31">
        <f>SUMIFS(D183:D1057,K183:K1057,"0",B183:B1057,"1 2 4 4 1 12 31111 6 M78 15000 171 00I 002 54105 025 2222100 2022 00000000 003*")-SUMIFS(E183:E1057,K183:K1057,"0",B183:B1057,"1 2 4 4 1 12 31111 6 M78 15000 171 00I 002 54105 025 2222100 2022 00000000 003*")</f>
        <v>361596.08</v>
      </c>
      <c r="E182"/>
      <c r="F182" s="31">
        <f>SUMIFS(F183:F1057,K183:K1057,"0",B183:B1057,"1 2 4 4 1 12 31111 6 M78 15000 171 00I 002 54105 025 2222100 2022 00000000 003*")</f>
        <v>0</v>
      </c>
      <c r="G182" s="31">
        <f>SUMIFS(G183:G1057,K183:K1057,"0",B183:B1057,"1 2 4 4 1 12 31111 6 M78 15000 171 00I 002 54105 025 2222100 2022 00000000 003*")</f>
        <v>361596.08</v>
      </c>
      <c r="H182" s="31">
        <f t="shared" si="2"/>
        <v>0</v>
      </c>
      <c r="I182" s="31"/>
      <c r="K182" t="s">
        <v>14</v>
      </c>
    </row>
    <row r="183" spans="2:11" ht="22" x14ac:dyDescent="0.15">
      <c r="B183" s="29" t="s">
        <v>285</v>
      </c>
      <c r="C183" s="29" t="s">
        <v>271</v>
      </c>
      <c r="D183" s="31">
        <f>SUMIFS(D184:D1057,K184:K1057,"0",B184:B1057,"1 2 4 4 1 12 31111 6 M78 15000 171 00I 002 54105 025 2222100 2022 00000000 003 002*")-SUMIFS(E184:E1057,K184:K1057,"0",B184:B1057,"1 2 4 4 1 12 31111 6 M78 15000 171 00I 002 54105 025 2222100 2022 00000000 003 002*")</f>
        <v>361596.08</v>
      </c>
      <c r="E183"/>
      <c r="F183" s="31">
        <f>SUMIFS(F184:F1057,K184:K1057,"0",B184:B1057,"1 2 4 4 1 12 31111 6 M78 15000 171 00I 002 54105 025 2222100 2022 00000000 003 002*")</f>
        <v>0</v>
      </c>
      <c r="G183" s="31">
        <f>SUMIFS(G184:G1057,K184:K1057,"0",B184:B1057,"1 2 4 4 1 12 31111 6 M78 15000 171 00I 002 54105 025 2222100 2022 00000000 003 002*")</f>
        <v>361596.08</v>
      </c>
      <c r="H183" s="31">
        <f t="shared" si="2"/>
        <v>0</v>
      </c>
      <c r="I183" s="31"/>
      <c r="K183" t="s">
        <v>14</v>
      </c>
    </row>
    <row r="184" spans="2:11" ht="22" x14ac:dyDescent="0.15">
      <c r="B184" s="27" t="s">
        <v>286</v>
      </c>
      <c r="C184" s="27" t="s">
        <v>287</v>
      </c>
      <c r="D184" s="30">
        <v>361596.08</v>
      </c>
      <c r="E184" s="30"/>
      <c r="F184" s="30">
        <v>0</v>
      </c>
      <c r="G184" s="30">
        <v>361596.08</v>
      </c>
      <c r="H184" s="30">
        <f t="shared" si="2"/>
        <v>0</v>
      </c>
      <c r="I184" s="30"/>
      <c r="K184" t="s">
        <v>38</v>
      </c>
    </row>
    <row r="185" spans="2:11" ht="22" x14ac:dyDescent="0.15">
      <c r="B185" s="29" t="s">
        <v>288</v>
      </c>
      <c r="C185" s="29" t="s">
        <v>198</v>
      </c>
      <c r="D185" s="31">
        <f>SUMIFS(D186:D1057,K186:K1057,"0",B186:B1057,"1 2 4 4 1 12 31111 6 M78 15000 171 00I 002 54105 025 2222100 2023*")-SUMIFS(E186:E1057,K186:K1057,"0",B186:B1057,"1 2 4 4 1 12 31111 6 M78 15000 171 00I 002 54105 025 2222100 2023*")</f>
        <v>48303.92</v>
      </c>
      <c r="E185"/>
      <c r="F185" s="31">
        <f>SUMIFS(F186:F1057,K186:K1057,"0",B186:B1057,"1 2 4 4 1 12 31111 6 M78 15000 171 00I 002 54105 025 2222100 2023*")</f>
        <v>0</v>
      </c>
      <c r="G185" s="31">
        <f>SUMIFS(G186:G1057,K186:K1057,"0",B186:B1057,"1 2 4 4 1 12 31111 6 M78 15000 171 00I 002 54105 025 2222100 2023*")</f>
        <v>48303.92</v>
      </c>
      <c r="H185" s="31">
        <f t="shared" si="2"/>
        <v>0</v>
      </c>
      <c r="I185" s="31"/>
      <c r="K185" t="s">
        <v>14</v>
      </c>
    </row>
    <row r="186" spans="2:11" ht="22" x14ac:dyDescent="0.15">
      <c r="B186" s="29" t="s">
        <v>289</v>
      </c>
      <c r="C186" s="29" t="s">
        <v>192</v>
      </c>
      <c r="D186" s="31">
        <f>SUMIFS(D187:D1057,K187:K1057,"0",B187:B1057,"1 2 4 4 1 12 31111 6 M78 15000 171 00I 002 54105 025 2222100 2023 00000000*")-SUMIFS(E187:E1057,K187:K1057,"0",B187:B1057,"1 2 4 4 1 12 31111 6 M78 15000 171 00I 002 54105 025 2222100 2023 00000000*")</f>
        <v>48303.92</v>
      </c>
      <c r="E186"/>
      <c r="F186" s="31">
        <f>SUMIFS(F187:F1057,K187:K1057,"0",B187:B1057,"1 2 4 4 1 12 31111 6 M78 15000 171 00I 002 54105 025 2222100 2023 00000000*")</f>
        <v>0</v>
      </c>
      <c r="G186" s="31">
        <f>SUMIFS(G187:G1057,K187:K1057,"0",B187:B1057,"1 2 4 4 1 12 31111 6 M78 15000 171 00I 002 54105 025 2222100 2023 00000000*")</f>
        <v>48303.92</v>
      </c>
      <c r="H186" s="31">
        <f t="shared" si="2"/>
        <v>0</v>
      </c>
      <c r="I186" s="31"/>
      <c r="K186" t="s">
        <v>14</v>
      </c>
    </row>
    <row r="187" spans="2:11" ht="22" x14ac:dyDescent="0.15">
      <c r="B187" s="29" t="s">
        <v>290</v>
      </c>
      <c r="C187" s="29" t="s">
        <v>9</v>
      </c>
      <c r="D187" s="31">
        <f>SUMIFS(D188:D1057,K188:K1057,"0",B188:B1057,"1 2 4 4 1 12 31111 6 M78 15000 171 00I 002 54105 025 2222100 2023 00000000 003*")-SUMIFS(E188:E1057,K188:K1057,"0",B188:B1057,"1 2 4 4 1 12 31111 6 M78 15000 171 00I 002 54105 025 2222100 2023 00000000 003*")</f>
        <v>48303.92</v>
      </c>
      <c r="E187"/>
      <c r="F187" s="31">
        <f>SUMIFS(F188:F1057,K188:K1057,"0",B188:B1057,"1 2 4 4 1 12 31111 6 M78 15000 171 00I 002 54105 025 2222100 2023 00000000 003*")</f>
        <v>0</v>
      </c>
      <c r="G187" s="31">
        <f>SUMIFS(G188:G1057,K188:K1057,"0",B188:B1057,"1 2 4 4 1 12 31111 6 M78 15000 171 00I 002 54105 025 2222100 2023 00000000 003*")</f>
        <v>48303.92</v>
      </c>
      <c r="H187" s="31">
        <f t="shared" si="2"/>
        <v>0</v>
      </c>
      <c r="I187" s="31"/>
      <c r="K187" t="s">
        <v>14</v>
      </c>
    </row>
    <row r="188" spans="2:11" ht="22" x14ac:dyDescent="0.15">
      <c r="B188" s="29" t="s">
        <v>291</v>
      </c>
      <c r="C188" s="29" t="s">
        <v>271</v>
      </c>
      <c r="D188" s="31">
        <f>SUMIFS(D189:D1057,K189:K1057,"0",B189:B1057,"1 2 4 4 1 12 31111 6 M78 15000 171 00I 002 54105 025 2222100 2023 00000000 003 002*")-SUMIFS(E189:E1057,K189:K1057,"0",B189:B1057,"1 2 4 4 1 12 31111 6 M78 15000 171 00I 002 54105 025 2222100 2023 00000000 003 002*")</f>
        <v>48303.92</v>
      </c>
      <c r="E188"/>
      <c r="F188" s="31">
        <f>SUMIFS(F189:F1057,K189:K1057,"0",B189:B1057,"1 2 4 4 1 12 31111 6 M78 15000 171 00I 002 54105 025 2222100 2023 00000000 003 002*")</f>
        <v>0</v>
      </c>
      <c r="G188" s="31">
        <f>SUMIFS(G189:G1057,K189:K1057,"0",B189:B1057,"1 2 4 4 1 12 31111 6 M78 15000 171 00I 002 54105 025 2222100 2023 00000000 003 002*")</f>
        <v>48303.92</v>
      </c>
      <c r="H188" s="31">
        <f t="shared" si="2"/>
        <v>0</v>
      </c>
      <c r="I188" s="31"/>
      <c r="K188" t="s">
        <v>14</v>
      </c>
    </row>
    <row r="189" spans="2:11" ht="22" x14ac:dyDescent="0.15">
      <c r="B189" s="27" t="s">
        <v>292</v>
      </c>
      <c r="C189" s="27" t="s">
        <v>287</v>
      </c>
      <c r="D189" s="30">
        <v>48303.92</v>
      </c>
      <c r="E189" s="30"/>
      <c r="F189" s="30">
        <v>0</v>
      </c>
      <c r="G189" s="30">
        <v>48303.92</v>
      </c>
      <c r="H189" s="30">
        <f t="shared" si="2"/>
        <v>0</v>
      </c>
      <c r="I189" s="30"/>
      <c r="K189" t="s">
        <v>38</v>
      </c>
    </row>
    <row r="190" spans="2:11" ht="22" x14ac:dyDescent="0.15">
      <c r="B190" s="29" t="s">
        <v>293</v>
      </c>
      <c r="C190" s="29" t="s">
        <v>294</v>
      </c>
      <c r="D190" s="31">
        <f>SUMIFS(D191:D1057,K191:K1057,"0",B191:B1057,"1 2 4 4 1 12 31111 6 M78 15000 171 00I 002 54105 025 2222100 2024*")-SUMIFS(E191:E1057,K191:K1057,"0",B191:B1057,"1 2 4 4 1 12 31111 6 M78 15000 171 00I 002 54105 025 2222100 2024*")</f>
        <v>0</v>
      </c>
      <c r="E190"/>
      <c r="F190" s="31">
        <f>SUMIFS(F191:F1057,K191:K1057,"0",B191:B1057,"1 2 4 4 1 12 31111 6 M78 15000 171 00I 002 54105 025 2222100 2024*")</f>
        <v>409900</v>
      </c>
      <c r="G190" s="31">
        <f>SUMIFS(G191:G1057,K191:K1057,"0",B191:B1057,"1 2 4 4 1 12 31111 6 M78 15000 171 00I 002 54105 025 2222100 2024*")</f>
        <v>0</v>
      </c>
      <c r="H190" s="31">
        <f t="shared" si="2"/>
        <v>409900</v>
      </c>
      <c r="I190" s="31"/>
      <c r="K190" t="s">
        <v>14</v>
      </c>
    </row>
    <row r="191" spans="2:11" ht="22" x14ac:dyDescent="0.15">
      <c r="B191" s="29" t="s">
        <v>295</v>
      </c>
      <c r="C191" s="29" t="s">
        <v>192</v>
      </c>
      <c r="D191" s="31">
        <f>SUMIFS(D192:D1057,K192:K1057,"0",B192:B1057,"1 2 4 4 1 12 31111 6 M78 15000 171 00I 002 54105 025 2222100 2024 00000000*")-SUMIFS(E192:E1057,K192:K1057,"0",B192:B1057,"1 2 4 4 1 12 31111 6 M78 15000 171 00I 002 54105 025 2222100 2024 00000000*")</f>
        <v>0</v>
      </c>
      <c r="E191"/>
      <c r="F191" s="31">
        <f>SUMIFS(F192:F1057,K192:K1057,"0",B192:B1057,"1 2 4 4 1 12 31111 6 M78 15000 171 00I 002 54105 025 2222100 2024 00000000*")</f>
        <v>409900</v>
      </c>
      <c r="G191" s="31">
        <f>SUMIFS(G192:G1057,K192:K1057,"0",B192:B1057,"1 2 4 4 1 12 31111 6 M78 15000 171 00I 002 54105 025 2222100 2024 00000000*")</f>
        <v>0</v>
      </c>
      <c r="H191" s="31">
        <f t="shared" si="2"/>
        <v>409900</v>
      </c>
      <c r="I191" s="31"/>
      <c r="K191" t="s">
        <v>14</v>
      </c>
    </row>
    <row r="192" spans="2:11" ht="22" x14ac:dyDescent="0.15">
      <c r="B192" s="29" t="s">
        <v>296</v>
      </c>
      <c r="C192" s="29" t="s">
        <v>9</v>
      </c>
      <c r="D192" s="31">
        <f>SUMIFS(D193:D1057,K193:K1057,"0",B193:B1057,"1 2 4 4 1 12 31111 6 M78 15000 171 00I 002 54105 025 2222100 2024 00000000 003*")-SUMIFS(E193:E1057,K193:K1057,"0",B193:B1057,"1 2 4 4 1 12 31111 6 M78 15000 171 00I 002 54105 025 2222100 2024 00000000 003*")</f>
        <v>0</v>
      </c>
      <c r="E192"/>
      <c r="F192" s="31">
        <f>SUMIFS(F193:F1057,K193:K1057,"0",B193:B1057,"1 2 4 4 1 12 31111 6 M78 15000 171 00I 002 54105 025 2222100 2024 00000000 003*")</f>
        <v>409900</v>
      </c>
      <c r="G192" s="31">
        <f>SUMIFS(G193:G1057,K193:K1057,"0",B193:B1057,"1 2 4 4 1 12 31111 6 M78 15000 171 00I 002 54105 025 2222100 2024 00000000 003*")</f>
        <v>0</v>
      </c>
      <c r="H192" s="31">
        <f t="shared" si="2"/>
        <v>409900</v>
      </c>
      <c r="I192" s="31"/>
      <c r="K192" t="s">
        <v>14</v>
      </c>
    </row>
    <row r="193" spans="2:11" ht="22" x14ac:dyDescent="0.15">
      <c r="B193" s="29" t="s">
        <v>297</v>
      </c>
      <c r="C193" s="29" t="s">
        <v>271</v>
      </c>
      <c r="D193" s="31">
        <f>SUMIFS(D194:D1057,K194:K1057,"0",B194:B1057,"1 2 4 4 1 12 31111 6 M78 15000 171 00I 002 54105 025 2222100 2024 00000000 003 002*")-SUMIFS(E194:E1057,K194:K1057,"0",B194:B1057,"1 2 4 4 1 12 31111 6 M78 15000 171 00I 002 54105 025 2222100 2024 00000000 003 002*")</f>
        <v>0</v>
      </c>
      <c r="E193"/>
      <c r="F193" s="31">
        <f>SUMIFS(F194:F1057,K194:K1057,"0",B194:B1057,"1 2 4 4 1 12 31111 6 M78 15000 171 00I 002 54105 025 2222100 2024 00000000 003 002*")</f>
        <v>409900</v>
      </c>
      <c r="G193" s="31">
        <f>SUMIFS(G194:G1057,K194:K1057,"0",B194:B1057,"1 2 4 4 1 12 31111 6 M78 15000 171 00I 002 54105 025 2222100 2024 00000000 003 002*")</f>
        <v>0</v>
      </c>
      <c r="H193" s="31">
        <f t="shared" si="2"/>
        <v>409900</v>
      </c>
      <c r="I193" s="31"/>
      <c r="K193" t="s">
        <v>14</v>
      </c>
    </row>
    <row r="194" spans="2:11" ht="33" x14ac:dyDescent="0.15">
      <c r="B194" s="27" t="s">
        <v>298</v>
      </c>
      <c r="C194" s="27" t="s">
        <v>299</v>
      </c>
      <c r="D194" s="30">
        <v>0</v>
      </c>
      <c r="E194" s="30"/>
      <c r="F194" s="30">
        <v>409900</v>
      </c>
      <c r="G194" s="30">
        <v>0</v>
      </c>
      <c r="H194" s="30">
        <f t="shared" si="2"/>
        <v>409900</v>
      </c>
      <c r="I194" s="30"/>
      <c r="K194" t="s">
        <v>38</v>
      </c>
    </row>
    <row r="195" spans="2:11" ht="13" x14ac:dyDescent="0.15">
      <c r="B195" s="29" t="s">
        <v>300</v>
      </c>
      <c r="C195" s="29" t="s">
        <v>301</v>
      </c>
      <c r="D195" s="31">
        <f>SUMIFS(D196:D1057,K196:K1057,"0",B196:B1057,"1 2 4 6*")-SUMIFS(E196:E1057,K196:K1057,"0",B196:B1057,"1 2 4 6*")</f>
        <v>168458.38</v>
      </c>
      <c r="E195"/>
      <c r="F195" s="31">
        <f>SUMIFS(F196:F1057,K196:K1057,"0",B196:B1057,"1 2 4 6*")</f>
        <v>17600</v>
      </c>
      <c r="G195" s="31">
        <f>SUMIFS(G196:G1057,K196:K1057,"0",B196:B1057,"1 2 4 6*")</f>
        <v>106158.36</v>
      </c>
      <c r="H195" s="31">
        <f t="shared" si="2"/>
        <v>79900.02</v>
      </c>
      <c r="I195" s="31"/>
      <c r="K195" t="s">
        <v>14</v>
      </c>
    </row>
    <row r="196" spans="2:11" ht="13" x14ac:dyDescent="0.15">
      <c r="B196" s="29" t="s">
        <v>302</v>
      </c>
      <c r="C196" s="29" t="s">
        <v>303</v>
      </c>
      <c r="D196" s="31">
        <f>SUMIFS(D197:D1057,K197:K1057,"0",B197:B1057,"1 2 4 6 5*")-SUMIFS(E197:E1057,K197:K1057,"0",B197:B1057,"1 2 4 6 5*")</f>
        <v>168458.38</v>
      </c>
      <c r="E196"/>
      <c r="F196" s="31">
        <f>SUMIFS(F197:F1057,K197:K1057,"0",B197:B1057,"1 2 4 6 5*")</f>
        <v>17600</v>
      </c>
      <c r="G196" s="31">
        <f>SUMIFS(G197:G1057,K197:K1057,"0",B197:B1057,"1 2 4 6 5*")</f>
        <v>106158.36</v>
      </c>
      <c r="H196" s="31">
        <f t="shared" si="2"/>
        <v>79900.02</v>
      </c>
      <c r="I196" s="31"/>
      <c r="K196" t="s">
        <v>14</v>
      </c>
    </row>
    <row r="197" spans="2:11" ht="13" x14ac:dyDescent="0.15">
      <c r="B197" s="29" t="s">
        <v>304</v>
      </c>
      <c r="C197" s="29" t="s">
        <v>25</v>
      </c>
      <c r="D197" s="31">
        <f>SUMIFS(D198:D1057,K198:K1057,"0",B198:B1057,"1 2 4 6 5 12*")-SUMIFS(E198:E1057,K198:K1057,"0",B198:B1057,"1 2 4 6 5 12*")</f>
        <v>168458.38</v>
      </c>
      <c r="E197"/>
      <c r="F197" s="31">
        <f>SUMIFS(F198:F1057,K198:K1057,"0",B198:B1057,"1 2 4 6 5 12*")</f>
        <v>17600</v>
      </c>
      <c r="G197" s="31">
        <f>SUMIFS(G198:G1057,K198:K1057,"0",B198:B1057,"1 2 4 6 5 12*")</f>
        <v>106158.36</v>
      </c>
      <c r="H197" s="31">
        <f t="shared" si="2"/>
        <v>79900.02</v>
      </c>
      <c r="I197" s="31"/>
      <c r="K197" t="s">
        <v>14</v>
      </c>
    </row>
    <row r="198" spans="2:11" ht="13" x14ac:dyDescent="0.15">
      <c r="B198" s="29" t="s">
        <v>305</v>
      </c>
      <c r="C198" s="29" t="s">
        <v>27</v>
      </c>
      <c r="D198" s="31">
        <f>SUMIFS(D199:D1057,K199:K1057,"0",B199:B1057,"1 2 4 6 5 12 31111*")-SUMIFS(E199:E1057,K199:K1057,"0",B199:B1057,"1 2 4 6 5 12 31111*")</f>
        <v>168458.38</v>
      </c>
      <c r="E198"/>
      <c r="F198" s="31">
        <f>SUMIFS(F199:F1057,K199:K1057,"0",B199:B1057,"1 2 4 6 5 12 31111*")</f>
        <v>17600</v>
      </c>
      <c r="G198" s="31">
        <f>SUMIFS(G199:G1057,K199:K1057,"0",B199:B1057,"1 2 4 6 5 12 31111*")</f>
        <v>106158.36</v>
      </c>
      <c r="H198" s="31">
        <f t="shared" si="2"/>
        <v>79900.02</v>
      </c>
      <c r="I198" s="31"/>
      <c r="K198" t="s">
        <v>14</v>
      </c>
    </row>
    <row r="199" spans="2:11" ht="13" x14ac:dyDescent="0.15">
      <c r="B199" s="29" t="s">
        <v>306</v>
      </c>
      <c r="C199" s="29" t="s">
        <v>29</v>
      </c>
      <c r="D199" s="31">
        <f>SUMIFS(D200:D1057,K200:K1057,"0",B200:B1057,"1 2 4 6 5 12 31111 6*")-SUMIFS(E200:E1057,K200:K1057,"0",B200:B1057,"1 2 4 6 5 12 31111 6*")</f>
        <v>168458.38</v>
      </c>
      <c r="E199"/>
      <c r="F199" s="31">
        <f>SUMIFS(F200:F1057,K200:K1057,"0",B200:B1057,"1 2 4 6 5 12 31111 6*")</f>
        <v>17600</v>
      </c>
      <c r="G199" s="31">
        <f>SUMIFS(G200:G1057,K200:K1057,"0",B200:B1057,"1 2 4 6 5 12 31111 6*")</f>
        <v>106158.36</v>
      </c>
      <c r="H199" s="31">
        <f t="shared" si="2"/>
        <v>79900.02</v>
      </c>
      <c r="I199" s="31"/>
      <c r="K199" t="s">
        <v>14</v>
      </c>
    </row>
    <row r="200" spans="2:11" ht="13" x14ac:dyDescent="0.15">
      <c r="B200" s="29" t="s">
        <v>307</v>
      </c>
      <c r="C200" s="29" t="s">
        <v>31</v>
      </c>
      <c r="D200" s="31">
        <f>SUMIFS(D201:D1057,K201:K1057,"0",B201:B1057,"1 2 4 6 5 12 31111 6 M78*")-SUMIFS(E201:E1057,K201:K1057,"0",B201:B1057,"1 2 4 6 5 12 31111 6 M78*")</f>
        <v>168458.38</v>
      </c>
      <c r="E200"/>
      <c r="F200" s="31">
        <f>SUMIFS(F201:F1057,K201:K1057,"0",B201:B1057,"1 2 4 6 5 12 31111 6 M78*")</f>
        <v>17600</v>
      </c>
      <c r="G200" s="31">
        <f>SUMIFS(G201:G1057,K201:K1057,"0",B201:B1057,"1 2 4 6 5 12 31111 6 M78*")</f>
        <v>106158.36</v>
      </c>
      <c r="H200" s="31">
        <f t="shared" si="2"/>
        <v>79900.02</v>
      </c>
      <c r="I200" s="31"/>
      <c r="K200" t="s">
        <v>14</v>
      </c>
    </row>
    <row r="201" spans="2:11" ht="13" x14ac:dyDescent="0.15">
      <c r="B201" s="29" t="s">
        <v>308</v>
      </c>
      <c r="C201" s="29" t="s">
        <v>142</v>
      </c>
      <c r="D201" s="31">
        <f>SUMIFS(D202:D1057,K202:K1057,"0",B202:B1057,"1 2 4 6 5 12 31111 6 M78 00000*")-SUMIFS(E202:E1057,K202:K1057,"0",B202:B1057,"1 2 4 6 5 12 31111 6 M78 00000*")</f>
        <v>115458.33</v>
      </c>
      <c r="E201"/>
      <c r="F201" s="31">
        <f>SUMIFS(F202:F1057,K202:K1057,"0",B202:B1057,"1 2 4 6 5 12 31111 6 M78 00000*")</f>
        <v>0</v>
      </c>
      <c r="G201" s="31">
        <f>SUMIFS(G202:G1057,K202:K1057,"0",B202:B1057,"1 2 4 6 5 12 31111 6 M78 00000*")</f>
        <v>53158.31</v>
      </c>
      <c r="H201" s="31">
        <f t="shared" si="2"/>
        <v>62300.020000000004</v>
      </c>
      <c r="I201" s="31"/>
      <c r="K201" t="s">
        <v>14</v>
      </c>
    </row>
    <row r="202" spans="2:11" ht="13" x14ac:dyDescent="0.15">
      <c r="B202" s="29" t="s">
        <v>309</v>
      </c>
      <c r="C202" s="29" t="s">
        <v>110</v>
      </c>
      <c r="D202" s="31">
        <f>SUMIFS(D203:D1057,K203:K1057,"0",B203:B1057,"1 2 4 6 5 12 31111 6 M78 00000 003*")-SUMIFS(E203:E1057,K203:K1057,"0",B203:B1057,"1 2 4 6 5 12 31111 6 M78 00000 003*")</f>
        <v>115458.33</v>
      </c>
      <c r="E202"/>
      <c r="F202" s="31">
        <f>SUMIFS(F203:F1057,K203:K1057,"0",B203:B1057,"1 2 4 6 5 12 31111 6 M78 00000 003*")</f>
        <v>0</v>
      </c>
      <c r="G202" s="31">
        <f>SUMIFS(G203:G1057,K203:K1057,"0",B203:B1057,"1 2 4 6 5 12 31111 6 M78 00000 003*")</f>
        <v>53158.31</v>
      </c>
      <c r="H202" s="31">
        <f t="shared" si="2"/>
        <v>62300.020000000004</v>
      </c>
      <c r="I202" s="31"/>
      <c r="K202" t="s">
        <v>14</v>
      </c>
    </row>
    <row r="203" spans="2:11" ht="13" x14ac:dyDescent="0.15">
      <c r="B203" s="29" t="s">
        <v>310</v>
      </c>
      <c r="C203" s="29" t="s">
        <v>145</v>
      </c>
      <c r="D203" s="31">
        <f>SUMIFS(D204:D1057,K204:K1057,"0",B204:B1057,"1 2 4 6 5 12 31111 6 M78 00000 003 001*")-SUMIFS(E204:E1057,K204:K1057,"0",B204:B1057,"1 2 4 6 5 12 31111 6 M78 00000 003 001*")</f>
        <v>115458.33</v>
      </c>
      <c r="E203"/>
      <c r="F203" s="31">
        <f>SUMIFS(F204:F1057,K204:K1057,"0",B204:B1057,"1 2 4 6 5 12 31111 6 M78 00000 003 001*")</f>
        <v>0</v>
      </c>
      <c r="G203" s="31">
        <f>SUMIFS(G204:G1057,K204:K1057,"0",B204:B1057,"1 2 4 6 5 12 31111 6 M78 00000 003 001*")</f>
        <v>53158.31</v>
      </c>
      <c r="H203" s="31">
        <f t="shared" si="2"/>
        <v>62300.020000000004</v>
      </c>
      <c r="I203" s="31"/>
      <c r="K203" t="s">
        <v>14</v>
      </c>
    </row>
    <row r="204" spans="2:11" ht="13" x14ac:dyDescent="0.15">
      <c r="B204" s="29" t="s">
        <v>311</v>
      </c>
      <c r="C204" s="29" t="s">
        <v>9</v>
      </c>
      <c r="D204" s="31">
        <f>SUMIFS(D205:D1057,K205:K1057,"0",B205:B1057,"1 2 4 6 5 12 31111 6 M78 00000 003 001 001*")-SUMIFS(E205:E1057,K205:K1057,"0",B205:B1057,"1 2 4 6 5 12 31111 6 M78 00000 003 001 001*")</f>
        <v>115458.33</v>
      </c>
      <c r="E204"/>
      <c r="F204" s="31">
        <f>SUMIFS(F205:F1057,K205:K1057,"0",B205:B1057,"1 2 4 6 5 12 31111 6 M78 00000 003 001 001*")</f>
        <v>0</v>
      </c>
      <c r="G204" s="31">
        <f>SUMIFS(G205:G1057,K205:K1057,"0",B205:B1057,"1 2 4 6 5 12 31111 6 M78 00000 003 001 001*")</f>
        <v>53158.31</v>
      </c>
      <c r="H204" s="31">
        <f t="shared" ref="H204:H229" si="3">D204 + F204 - G204</f>
        <v>62300.020000000004</v>
      </c>
      <c r="I204" s="31"/>
      <c r="K204" t="s">
        <v>14</v>
      </c>
    </row>
    <row r="205" spans="2:11" ht="13" x14ac:dyDescent="0.15">
      <c r="B205" s="27" t="s">
        <v>312</v>
      </c>
      <c r="C205" s="27" t="s">
        <v>313</v>
      </c>
      <c r="D205" s="30">
        <v>3923.31</v>
      </c>
      <c r="E205" s="30"/>
      <c r="F205" s="30">
        <v>0</v>
      </c>
      <c r="G205" s="30">
        <v>3923.31</v>
      </c>
      <c r="H205" s="30">
        <f t="shared" si="3"/>
        <v>0</v>
      </c>
      <c r="I205" s="30"/>
      <c r="K205" t="s">
        <v>38</v>
      </c>
    </row>
    <row r="206" spans="2:11" ht="13" x14ac:dyDescent="0.15">
      <c r="B206" s="27" t="s">
        <v>314</v>
      </c>
      <c r="C206" s="27" t="s">
        <v>315</v>
      </c>
      <c r="D206" s="30">
        <v>15750.02</v>
      </c>
      <c r="E206" s="30"/>
      <c r="F206" s="30">
        <v>0</v>
      </c>
      <c r="G206" s="30">
        <v>9450</v>
      </c>
      <c r="H206" s="30">
        <f t="shared" si="3"/>
        <v>6300.02</v>
      </c>
      <c r="I206" s="30"/>
      <c r="K206" t="s">
        <v>38</v>
      </c>
    </row>
    <row r="207" spans="2:11" ht="13" x14ac:dyDescent="0.15">
      <c r="B207" s="27" t="s">
        <v>316</v>
      </c>
      <c r="C207" s="27" t="s">
        <v>317</v>
      </c>
      <c r="D207" s="30">
        <v>25480</v>
      </c>
      <c r="E207" s="30"/>
      <c r="F207" s="30">
        <v>0</v>
      </c>
      <c r="G207" s="30">
        <v>25480</v>
      </c>
      <c r="H207" s="30">
        <f t="shared" si="3"/>
        <v>0</v>
      </c>
      <c r="I207" s="30"/>
      <c r="K207" t="s">
        <v>38</v>
      </c>
    </row>
    <row r="208" spans="2:11" ht="13" x14ac:dyDescent="0.15">
      <c r="B208" s="27" t="s">
        <v>318</v>
      </c>
      <c r="C208" s="27" t="s">
        <v>319</v>
      </c>
      <c r="D208" s="30">
        <v>56000</v>
      </c>
      <c r="E208" s="30"/>
      <c r="F208" s="30">
        <v>0</v>
      </c>
      <c r="G208" s="30">
        <v>0</v>
      </c>
      <c r="H208" s="30">
        <f t="shared" si="3"/>
        <v>56000</v>
      </c>
      <c r="I208" s="30"/>
      <c r="K208" t="s">
        <v>38</v>
      </c>
    </row>
    <row r="209" spans="2:11" ht="13" x14ac:dyDescent="0.15">
      <c r="B209" s="27" t="s">
        <v>320</v>
      </c>
      <c r="C209" s="27" t="s">
        <v>321</v>
      </c>
      <c r="D209" s="30">
        <v>14305</v>
      </c>
      <c r="E209" s="30"/>
      <c r="F209" s="30">
        <v>0</v>
      </c>
      <c r="G209" s="30">
        <v>14305</v>
      </c>
      <c r="H209" s="30">
        <f t="shared" si="3"/>
        <v>0</v>
      </c>
      <c r="I209" s="30"/>
      <c r="K209" t="s">
        <v>38</v>
      </c>
    </row>
    <row r="210" spans="2:11" ht="13" x14ac:dyDescent="0.15">
      <c r="B210" s="29" t="s">
        <v>322</v>
      </c>
      <c r="C210" s="29" t="s">
        <v>176</v>
      </c>
      <c r="D210" s="31">
        <f>SUMIFS(D211:D1057,K211:K1057,"0",B211:B1057,"1 2 4 6 5 12 31111 6 M78 15000*")-SUMIFS(E211:E1057,K211:K1057,"0",B211:B1057,"1 2 4 6 5 12 31111 6 M78 15000*")</f>
        <v>53000.05</v>
      </c>
      <c r="E210"/>
      <c r="F210" s="31">
        <f>SUMIFS(F211:F1057,K211:K1057,"0",B211:B1057,"1 2 4 6 5 12 31111 6 M78 15000*")</f>
        <v>17600</v>
      </c>
      <c r="G210" s="31">
        <f>SUMIFS(G211:G1057,K211:K1057,"0",B211:B1057,"1 2 4 6 5 12 31111 6 M78 15000*")</f>
        <v>53000.05</v>
      </c>
      <c r="H210" s="31">
        <f t="shared" si="3"/>
        <v>17600</v>
      </c>
      <c r="I210" s="31"/>
      <c r="K210" t="s">
        <v>14</v>
      </c>
    </row>
    <row r="211" spans="2:11" ht="13" x14ac:dyDescent="0.15">
      <c r="B211" s="29" t="s">
        <v>323</v>
      </c>
      <c r="C211" s="29" t="s">
        <v>178</v>
      </c>
      <c r="D211" s="31">
        <f>SUMIFS(D212:D1057,K212:K1057,"0",B212:B1057,"1 2 4 6 5 12 31111 6 M78 15000 171*")-SUMIFS(E212:E1057,K212:K1057,"0",B212:B1057,"1 2 4 6 5 12 31111 6 M78 15000 171*")</f>
        <v>53000.05</v>
      </c>
      <c r="E211"/>
      <c r="F211" s="31">
        <f>SUMIFS(F212:F1057,K212:K1057,"0",B212:B1057,"1 2 4 6 5 12 31111 6 M78 15000 171*")</f>
        <v>17600</v>
      </c>
      <c r="G211" s="31">
        <f>SUMIFS(G212:G1057,K212:K1057,"0",B212:B1057,"1 2 4 6 5 12 31111 6 M78 15000 171*")</f>
        <v>53000.05</v>
      </c>
      <c r="H211" s="31">
        <f t="shared" si="3"/>
        <v>17600</v>
      </c>
      <c r="I211" s="31"/>
      <c r="K211" t="s">
        <v>14</v>
      </c>
    </row>
    <row r="212" spans="2:11" ht="13" x14ac:dyDescent="0.15">
      <c r="B212" s="29" t="s">
        <v>324</v>
      </c>
      <c r="C212" s="29" t="s">
        <v>180</v>
      </c>
      <c r="D212" s="31">
        <f>SUMIFS(D213:D1057,K213:K1057,"0",B213:B1057,"1 2 4 6 5 12 31111 6 M78 15000 171 00I*")-SUMIFS(E213:E1057,K213:K1057,"0",B213:B1057,"1 2 4 6 5 12 31111 6 M78 15000 171 00I*")</f>
        <v>53000.05</v>
      </c>
      <c r="E212"/>
      <c r="F212" s="31">
        <f>SUMIFS(F213:F1057,K213:K1057,"0",B213:B1057,"1 2 4 6 5 12 31111 6 M78 15000 171 00I*")</f>
        <v>17600</v>
      </c>
      <c r="G212" s="31">
        <f>SUMIFS(G213:G1057,K213:K1057,"0",B213:B1057,"1 2 4 6 5 12 31111 6 M78 15000 171 00I*")</f>
        <v>53000.05</v>
      </c>
      <c r="H212" s="31">
        <f t="shared" si="3"/>
        <v>17600</v>
      </c>
      <c r="I212" s="31"/>
      <c r="K212" t="s">
        <v>14</v>
      </c>
    </row>
    <row r="213" spans="2:11" ht="13" x14ac:dyDescent="0.15">
      <c r="B213" s="29" t="s">
        <v>325</v>
      </c>
      <c r="C213" s="29" t="s">
        <v>182</v>
      </c>
      <c r="D213" s="31">
        <f>SUMIFS(D214:D1057,K214:K1057,"0",B214:B1057,"1 2 4 6 5 12 31111 6 M78 15000 171 00I 002*")-SUMIFS(E214:E1057,K214:K1057,"0",B214:B1057,"1 2 4 6 5 12 31111 6 M78 15000 171 00I 002*")</f>
        <v>53000.05</v>
      </c>
      <c r="E213"/>
      <c r="F213" s="31">
        <f>SUMIFS(F214:F1057,K214:K1057,"0",B214:B1057,"1 2 4 6 5 12 31111 6 M78 15000 171 00I 002*")</f>
        <v>17600</v>
      </c>
      <c r="G213" s="31">
        <f>SUMIFS(G214:G1057,K214:K1057,"0",B214:B1057,"1 2 4 6 5 12 31111 6 M78 15000 171 00I 002*")</f>
        <v>53000.05</v>
      </c>
      <c r="H213" s="31">
        <f t="shared" si="3"/>
        <v>17600</v>
      </c>
      <c r="I213" s="31"/>
      <c r="K213" t="s">
        <v>14</v>
      </c>
    </row>
    <row r="214" spans="2:11" ht="13" x14ac:dyDescent="0.15">
      <c r="B214" s="29" t="s">
        <v>326</v>
      </c>
      <c r="C214" s="29" t="s">
        <v>327</v>
      </c>
      <c r="D214" s="31">
        <f>SUMIFS(D215:D1057,K215:K1057,"0",B215:B1057,"1 2 4 6 5 12 31111 6 M78 15000 171 00I 002 56501*")-SUMIFS(E215:E1057,K215:K1057,"0",B215:B1057,"1 2 4 6 5 12 31111 6 M78 15000 171 00I 002 56501*")</f>
        <v>53000.05</v>
      </c>
      <c r="E214"/>
      <c r="F214" s="31">
        <f>SUMIFS(F215:F1057,K215:K1057,"0",B215:B1057,"1 2 4 6 5 12 31111 6 M78 15000 171 00I 002 56501*")</f>
        <v>17600</v>
      </c>
      <c r="G214" s="31">
        <f>SUMIFS(G215:G1057,K215:K1057,"0",B215:B1057,"1 2 4 6 5 12 31111 6 M78 15000 171 00I 002 56501*")</f>
        <v>53000.05</v>
      </c>
      <c r="H214" s="31">
        <f t="shared" si="3"/>
        <v>17600</v>
      </c>
      <c r="I214" s="31"/>
      <c r="K214" t="s">
        <v>14</v>
      </c>
    </row>
    <row r="215" spans="2:11" ht="13" x14ac:dyDescent="0.15">
      <c r="B215" s="29" t="s">
        <v>328</v>
      </c>
      <c r="C215" s="29" t="s">
        <v>186</v>
      </c>
      <c r="D215" s="31">
        <f>SUMIFS(D216:D1057,K216:K1057,"0",B216:B1057,"1 2 4 6 5 12 31111 6 M78 15000 171 00I 002 56501 025*")-SUMIFS(E216:E1057,K216:K1057,"0",B216:B1057,"1 2 4 6 5 12 31111 6 M78 15000 171 00I 002 56501 025*")</f>
        <v>53000.05</v>
      </c>
      <c r="E215"/>
      <c r="F215" s="31">
        <f>SUMIFS(F216:F1057,K216:K1057,"0",B216:B1057,"1 2 4 6 5 12 31111 6 M78 15000 171 00I 002 56501 025*")</f>
        <v>17600</v>
      </c>
      <c r="G215" s="31">
        <f>SUMIFS(G216:G1057,K216:K1057,"0",B216:B1057,"1 2 4 6 5 12 31111 6 M78 15000 171 00I 002 56501 025*")</f>
        <v>53000.05</v>
      </c>
      <c r="H215" s="31">
        <f t="shared" si="3"/>
        <v>17600</v>
      </c>
      <c r="I215" s="31"/>
      <c r="K215" t="s">
        <v>14</v>
      </c>
    </row>
    <row r="216" spans="2:11" ht="22" x14ac:dyDescent="0.15">
      <c r="B216" s="29" t="s">
        <v>329</v>
      </c>
      <c r="C216" s="29" t="s">
        <v>188</v>
      </c>
      <c r="D216" s="31">
        <f>SUMIFS(D217:D1057,K217:K1057,"0",B217:B1057,"1 2 4 6 5 12 31111 6 M78 15000 171 00I 002 56501 025 2112000*")-SUMIFS(E217:E1057,K217:K1057,"0",B217:B1057,"1 2 4 6 5 12 31111 6 M78 15000 171 00I 002 56501 025 2112000*")</f>
        <v>53000.05</v>
      </c>
      <c r="E216"/>
      <c r="F216" s="31">
        <f>SUMIFS(F217:F1057,K217:K1057,"0",B217:B1057,"1 2 4 6 5 12 31111 6 M78 15000 171 00I 002 56501 025 2112000*")</f>
        <v>17600</v>
      </c>
      <c r="G216" s="31">
        <f>SUMIFS(G217:G1057,K217:K1057,"0",B217:B1057,"1 2 4 6 5 12 31111 6 M78 15000 171 00I 002 56501 025 2112000*")</f>
        <v>53000.05</v>
      </c>
      <c r="H216" s="31">
        <f t="shared" si="3"/>
        <v>17600</v>
      </c>
      <c r="I216" s="31"/>
      <c r="K216" t="s">
        <v>14</v>
      </c>
    </row>
    <row r="217" spans="2:11" ht="22" x14ac:dyDescent="0.15">
      <c r="B217" s="29" t="s">
        <v>330</v>
      </c>
      <c r="C217" s="29" t="s">
        <v>190</v>
      </c>
      <c r="D217" s="31">
        <f>SUMIFS(D218:D1057,K218:K1057,"0",B218:B1057,"1 2 4 6 5 12 31111 6 M78 15000 171 00I 002 56501 025 2112000 2019*")-SUMIFS(E218:E1057,K218:K1057,"0",B218:B1057,"1 2 4 6 5 12 31111 6 M78 15000 171 00I 002 56501 025 2112000 2019*")</f>
        <v>53000.05</v>
      </c>
      <c r="E217"/>
      <c r="F217" s="31">
        <f>SUMIFS(F218:F1057,K218:K1057,"0",B218:B1057,"1 2 4 6 5 12 31111 6 M78 15000 171 00I 002 56501 025 2112000 2019*")</f>
        <v>0</v>
      </c>
      <c r="G217" s="31">
        <f>SUMIFS(G218:G1057,K218:K1057,"0",B218:B1057,"1 2 4 6 5 12 31111 6 M78 15000 171 00I 002 56501 025 2112000 2019*")</f>
        <v>53000.05</v>
      </c>
      <c r="H217" s="31">
        <f t="shared" si="3"/>
        <v>0</v>
      </c>
      <c r="I217" s="31"/>
      <c r="K217" t="s">
        <v>14</v>
      </c>
    </row>
    <row r="218" spans="2:11" ht="22" x14ac:dyDescent="0.15">
      <c r="B218" s="29" t="s">
        <v>331</v>
      </c>
      <c r="C218" s="29" t="s">
        <v>192</v>
      </c>
      <c r="D218" s="31">
        <f>SUMIFS(D219:D1057,K219:K1057,"0",B219:B1057,"1 2 4 6 5 12 31111 6 M78 15000 171 00I 002 56501 025 2112000 2019 00000000*")-SUMIFS(E219:E1057,K219:K1057,"0",B219:B1057,"1 2 4 6 5 12 31111 6 M78 15000 171 00I 002 56501 025 2112000 2019 00000000*")</f>
        <v>53000.05</v>
      </c>
      <c r="E218"/>
      <c r="F218" s="31">
        <f>SUMIFS(F219:F1057,K219:K1057,"0",B219:B1057,"1 2 4 6 5 12 31111 6 M78 15000 171 00I 002 56501 025 2112000 2019 00000000*")</f>
        <v>0</v>
      </c>
      <c r="G218" s="31">
        <f>SUMIFS(G219:G1057,K219:K1057,"0",B219:B1057,"1 2 4 6 5 12 31111 6 M78 15000 171 00I 002 56501 025 2112000 2019 00000000*")</f>
        <v>53000.05</v>
      </c>
      <c r="H218" s="31">
        <f t="shared" si="3"/>
        <v>0</v>
      </c>
      <c r="I218" s="31"/>
      <c r="K218" t="s">
        <v>14</v>
      </c>
    </row>
    <row r="219" spans="2:11" ht="22" x14ac:dyDescent="0.15">
      <c r="B219" s="29" t="s">
        <v>332</v>
      </c>
      <c r="C219" s="29" t="s">
        <v>9</v>
      </c>
      <c r="D219" s="31">
        <f>SUMIFS(D220:D1057,K220:K1057,"0",B220:B1057,"1 2 4 6 5 12 31111 6 M78 15000 171 00I 002 56501 025 2112000 2019 00000000 003*")-SUMIFS(E220:E1057,K220:K1057,"0",B220:B1057,"1 2 4 6 5 12 31111 6 M78 15000 171 00I 002 56501 025 2112000 2019 00000000 003*")</f>
        <v>53000.05</v>
      </c>
      <c r="E219"/>
      <c r="F219" s="31">
        <f>SUMIFS(F220:F1057,K220:K1057,"0",B220:B1057,"1 2 4 6 5 12 31111 6 M78 15000 171 00I 002 56501 025 2112000 2019 00000000 003*")</f>
        <v>0</v>
      </c>
      <c r="G219" s="31">
        <f>SUMIFS(G220:G1057,K220:K1057,"0",B220:B1057,"1 2 4 6 5 12 31111 6 M78 15000 171 00I 002 56501 025 2112000 2019 00000000 003*")</f>
        <v>53000.05</v>
      </c>
      <c r="H219" s="31">
        <f t="shared" si="3"/>
        <v>0</v>
      </c>
      <c r="I219" s="31"/>
      <c r="K219" t="s">
        <v>14</v>
      </c>
    </row>
    <row r="220" spans="2:11" ht="22" x14ac:dyDescent="0.15">
      <c r="B220" s="29" t="s">
        <v>333</v>
      </c>
      <c r="C220" s="29" t="s">
        <v>334</v>
      </c>
      <c r="D220" s="31">
        <f>SUMIFS(D221:D1057,K221:K1057,"0",B221:B1057,"1 2 4 6 5 12 31111 6 M78 15000 171 00I 002 56501 025 2112000 2019 00000000 003 015*")-SUMIFS(E221:E1057,K221:K1057,"0",B221:B1057,"1 2 4 6 5 12 31111 6 M78 15000 171 00I 002 56501 025 2112000 2019 00000000 003 015*")</f>
        <v>53000.05</v>
      </c>
      <c r="E220"/>
      <c r="F220" s="31">
        <f>SUMIFS(F221:F1057,K221:K1057,"0",B221:B1057,"1 2 4 6 5 12 31111 6 M78 15000 171 00I 002 56501 025 2112000 2019 00000000 003 015*")</f>
        <v>0</v>
      </c>
      <c r="G220" s="31">
        <f>SUMIFS(G221:G1057,K221:K1057,"0",B221:B1057,"1 2 4 6 5 12 31111 6 M78 15000 171 00I 002 56501 025 2112000 2019 00000000 003 015*")</f>
        <v>53000.05</v>
      </c>
      <c r="H220" s="31">
        <f t="shared" si="3"/>
        <v>0</v>
      </c>
      <c r="I220" s="31"/>
      <c r="K220" t="s">
        <v>14</v>
      </c>
    </row>
    <row r="221" spans="2:11" ht="22" x14ac:dyDescent="0.15">
      <c r="B221" s="27" t="s">
        <v>335</v>
      </c>
      <c r="C221" s="27" t="s">
        <v>336</v>
      </c>
      <c r="D221" s="30">
        <v>53000.05</v>
      </c>
      <c r="E221" s="30"/>
      <c r="F221" s="30">
        <v>0</v>
      </c>
      <c r="G221" s="30">
        <v>53000.05</v>
      </c>
      <c r="H221" s="30">
        <f t="shared" si="3"/>
        <v>0</v>
      </c>
      <c r="I221" s="30"/>
      <c r="K221" t="s">
        <v>38</v>
      </c>
    </row>
    <row r="222" spans="2:11" ht="22" x14ac:dyDescent="0.15">
      <c r="B222" s="29" t="s">
        <v>337</v>
      </c>
      <c r="C222" s="29" t="s">
        <v>294</v>
      </c>
      <c r="D222" s="31">
        <f>SUMIFS(D223:D1057,K223:K1057,"0",B223:B1057,"1 2 4 6 5 12 31111 6 M78 15000 171 00I 002 56501 025 2112000 2024*")-SUMIFS(E223:E1057,K223:K1057,"0",B223:B1057,"1 2 4 6 5 12 31111 6 M78 15000 171 00I 002 56501 025 2112000 2024*")</f>
        <v>0</v>
      </c>
      <c r="E222"/>
      <c r="F222" s="31">
        <f>SUMIFS(F223:F1057,K223:K1057,"0",B223:B1057,"1 2 4 6 5 12 31111 6 M78 15000 171 00I 002 56501 025 2112000 2024*")</f>
        <v>17600</v>
      </c>
      <c r="G222" s="31">
        <f>SUMIFS(G223:G1057,K223:K1057,"0",B223:B1057,"1 2 4 6 5 12 31111 6 M78 15000 171 00I 002 56501 025 2112000 2024*")</f>
        <v>0</v>
      </c>
      <c r="H222" s="31">
        <f t="shared" si="3"/>
        <v>17600</v>
      </c>
      <c r="I222" s="31"/>
      <c r="K222" t="s">
        <v>14</v>
      </c>
    </row>
    <row r="223" spans="2:11" ht="22" x14ac:dyDescent="0.15">
      <c r="B223" s="29" t="s">
        <v>338</v>
      </c>
      <c r="C223" s="29" t="s">
        <v>192</v>
      </c>
      <c r="D223" s="31">
        <f>SUMIFS(D224:D1057,K224:K1057,"0",B224:B1057,"1 2 4 6 5 12 31111 6 M78 15000 171 00I 002 56501 025 2112000 2024 00000000*")-SUMIFS(E224:E1057,K224:K1057,"0",B224:B1057,"1 2 4 6 5 12 31111 6 M78 15000 171 00I 002 56501 025 2112000 2024 00000000*")</f>
        <v>0</v>
      </c>
      <c r="E223"/>
      <c r="F223" s="31">
        <f>SUMIFS(F224:F1057,K224:K1057,"0",B224:B1057,"1 2 4 6 5 12 31111 6 M78 15000 171 00I 002 56501 025 2112000 2024 00000000*")</f>
        <v>17600</v>
      </c>
      <c r="G223" s="31">
        <f>SUMIFS(G224:G1057,K224:K1057,"0",B224:B1057,"1 2 4 6 5 12 31111 6 M78 15000 171 00I 002 56501 025 2112000 2024 00000000*")</f>
        <v>0</v>
      </c>
      <c r="H223" s="31">
        <f t="shared" si="3"/>
        <v>17600</v>
      </c>
      <c r="I223" s="31"/>
      <c r="K223" t="s">
        <v>14</v>
      </c>
    </row>
    <row r="224" spans="2:11" ht="22" x14ac:dyDescent="0.15">
      <c r="B224" s="29" t="s">
        <v>339</v>
      </c>
      <c r="C224" s="29" t="s">
        <v>9</v>
      </c>
      <c r="D224" s="31">
        <f>SUMIFS(D225:D1057,K225:K1057,"0",B225:B1057,"1 2 4 6 5 12 31111 6 M78 15000 171 00I 002 56501 025 2112000 2024 00000000 003*")-SUMIFS(E225:E1057,K225:K1057,"0",B225:B1057,"1 2 4 6 5 12 31111 6 M78 15000 171 00I 002 56501 025 2112000 2024 00000000 003*")</f>
        <v>0</v>
      </c>
      <c r="E224"/>
      <c r="F224" s="31">
        <f>SUMIFS(F225:F1057,K225:K1057,"0",B225:B1057,"1 2 4 6 5 12 31111 6 M78 15000 171 00I 002 56501 025 2112000 2024 00000000 003*")</f>
        <v>17600</v>
      </c>
      <c r="G224" s="31">
        <f>SUMIFS(G225:G1057,K225:K1057,"0",B225:B1057,"1 2 4 6 5 12 31111 6 M78 15000 171 00I 002 56501 025 2112000 2024 00000000 003*")</f>
        <v>0</v>
      </c>
      <c r="H224" s="31">
        <f t="shared" si="3"/>
        <v>17600</v>
      </c>
      <c r="I224" s="31"/>
      <c r="K224" t="s">
        <v>14</v>
      </c>
    </row>
    <row r="225" spans="2:11" ht="22" x14ac:dyDescent="0.15">
      <c r="B225" s="29" t="s">
        <v>340</v>
      </c>
      <c r="C225" s="29" t="s">
        <v>334</v>
      </c>
      <c r="D225" s="31">
        <f>SUMIFS(D226:D1057,K226:K1057,"0",B226:B1057,"1 2 4 6 5 12 31111 6 M78 15000 171 00I 002 56501 025 2112000 2024 00000000 003 015*")-SUMIFS(E226:E1057,K226:K1057,"0",B226:B1057,"1 2 4 6 5 12 31111 6 M78 15000 171 00I 002 56501 025 2112000 2024 00000000 003 015*")</f>
        <v>0</v>
      </c>
      <c r="E225"/>
      <c r="F225" s="31">
        <f>SUMIFS(F226:F1057,K226:K1057,"0",B226:B1057,"1 2 4 6 5 12 31111 6 M78 15000 171 00I 002 56501 025 2112000 2024 00000000 003 015*")</f>
        <v>17600</v>
      </c>
      <c r="G225" s="31">
        <f>SUMIFS(G226:G1057,K226:K1057,"0",B226:B1057,"1 2 4 6 5 12 31111 6 M78 15000 171 00I 002 56501 025 2112000 2024 00000000 003 015*")</f>
        <v>0</v>
      </c>
      <c r="H225" s="31">
        <f t="shared" si="3"/>
        <v>17600</v>
      </c>
      <c r="I225" s="31"/>
      <c r="K225" t="s">
        <v>14</v>
      </c>
    </row>
    <row r="226" spans="2:11" ht="22" x14ac:dyDescent="0.15">
      <c r="B226" s="27" t="s">
        <v>341</v>
      </c>
      <c r="C226" s="27" t="s">
        <v>342</v>
      </c>
      <c r="D226" s="30">
        <v>0</v>
      </c>
      <c r="E226" s="30"/>
      <c r="F226" s="30">
        <v>8400</v>
      </c>
      <c r="G226" s="30">
        <v>0</v>
      </c>
      <c r="H226" s="30">
        <f t="shared" si="3"/>
        <v>8400</v>
      </c>
      <c r="I226" s="30"/>
      <c r="K226" t="s">
        <v>38</v>
      </c>
    </row>
    <row r="227" spans="2:11" ht="22" x14ac:dyDescent="0.15">
      <c r="B227" s="27" t="s">
        <v>343</v>
      </c>
      <c r="C227" s="27" t="s">
        <v>344</v>
      </c>
      <c r="D227" s="30">
        <v>0</v>
      </c>
      <c r="E227" s="30"/>
      <c r="F227" s="30">
        <v>4700</v>
      </c>
      <c r="G227" s="30">
        <v>0</v>
      </c>
      <c r="H227" s="30">
        <f t="shared" si="3"/>
        <v>4700</v>
      </c>
      <c r="I227" s="30"/>
      <c r="K227" t="s">
        <v>38</v>
      </c>
    </row>
    <row r="228" spans="2:11" ht="22" x14ac:dyDescent="0.15">
      <c r="B228" s="27" t="s">
        <v>345</v>
      </c>
      <c r="C228" s="27" t="s">
        <v>346</v>
      </c>
      <c r="D228" s="30">
        <v>0</v>
      </c>
      <c r="E228" s="30"/>
      <c r="F228" s="30">
        <v>4500</v>
      </c>
      <c r="G228" s="30">
        <v>0</v>
      </c>
      <c r="H228" s="30">
        <f t="shared" si="3"/>
        <v>4500</v>
      </c>
      <c r="I228" s="30"/>
      <c r="K228" t="s">
        <v>38</v>
      </c>
    </row>
    <row r="229" spans="2:11" ht="13" x14ac:dyDescent="0.15">
      <c r="B229" s="29" t="s">
        <v>347</v>
      </c>
      <c r="C229" s="29" t="s">
        <v>348</v>
      </c>
      <c r="D229" s="31">
        <f>SUMIFS(D230:D1057,K230:K1057,"0",B230:B1057,"1 2 5*")-SUMIFS(E230:E1057,K230:K1057,"0",B230:B1057,"1 2 5*")</f>
        <v>0</v>
      </c>
      <c r="E229"/>
      <c r="F229" s="31">
        <f>SUMIFS(F230:F1057,K230:K1057,"0",B230:B1057,"1 2 5*")</f>
        <v>0</v>
      </c>
      <c r="G229" s="31">
        <f>SUMIFS(G230:G1057,K230:K1057,"0",B230:B1057,"1 2 5*")</f>
        <v>0</v>
      </c>
      <c r="H229" s="31">
        <f t="shared" si="3"/>
        <v>0</v>
      </c>
      <c r="I229" s="31"/>
      <c r="K229" t="s">
        <v>14</v>
      </c>
    </row>
    <row r="230" spans="2:11" ht="13" x14ac:dyDescent="0.15">
      <c r="B230" s="29" t="s">
        <v>349</v>
      </c>
      <c r="C230" s="29" t="s">
        <v>350</v>
      </c>
      <c r="D230"/>
      <c r="E230" s="31">
        <f>SUMIFS(E231:E1057,K231:K1057,"0",B231:B1057,"1 2 6*")-SUMIFS(D231:D1057,K231:K1057,"0",B231:B1057,"1 2 6*")</f>
        <v>0</v>
      </c>
      <c r="F230" s="31">
        <f>SUMIFS(F231:F1057,K231:K1057,"0",B231:B1057,"1 2 6*")</f>
        <v>0</v>
      </c>
      <c r="G230" s="31">
        <f>SUMIFS(G231:G1057,K231:K1057,"0",B231:B1057,"1 2 6*")</f>
        <v>0</v>
      </c>
      <c r="H230" s="31"/>
      <c r="I230" s="31">
        <f>E230 - F230 + G230</f>
        <v>0</v>
      </c>
      <c r="K230" t="s">
        <v>14</v>
      </c>
    </row>
    <row r="231" spans="2:11" ht="13" x14ac:dyDescent="0.15">
      <c r="B231" s="29" t="s">
        <v>351</v>
      </c>
      <c r="C231" s="29" t="s">
        <v>352</v>
      </c>
      <c r="D231" s="31">
        <f>SUMIFS(D232:D1057,K232:K1057,"0",B232:B1057,"1 2 7*")-SUMIFS(E232:E1057,K232:K1057,"0",B232:B1057,"1 2 7*")</f>
        <v>0</v>
      </c>
      <c r="E231"/>
      <c r="F231" s="31">
        <f>SUMIFS(F232:F1057,K232:K1057,"0",B232:B1057,"1 2 7*")</f>
        <v>0</v>
      </c>
      <c r="G231" s="31">
        <f>SUMIFS(G232:G1057,K232:K1057,"0",B232:B1057,"1 2 7*")</f>
        <v>0</v>
      </c>
      <c r="H231" s="31">
        <f>D231 + F231 - G231</f>
        <v>0</v>
      </c>
      <c r="I231" s="31"/>
      <c r="K231" t="s">
        <v>14</v>
      </c>
    </row>
    <row r="232" spans="2:11" ht="13" x14ac:dyDescent="0.15">
      <c r="B232" s="29" t="s">
        <v>353</v>
      </c>
      <c r="C232" s="29" t="s">
        <v>354</v>
      </c>
      <c r="D232" s="31">
        <f>SUMIFS(D233:D1057,K233:K1057,"0",B233:B1057,"1 2 8*")-SUMIFS(E233:E1057,K233:K1057,"0",B233:B1057,"1 2 8*")</f>
        <v>0</v>
      </c>
      <c r="E232"/>
      <c r="F232" s="31">
        <f>SUMIFS(F233:F1057,K233:K1057,"0",B233:B1057,"1 2 8*")</f>
        <v>0</v>
      </c>
      <c r="G232" s="31">
        <f>SUMIFS(G233:G1057,K233:K1057,"0",B233:B1057,"1 2 8*")</f>
        <v>0</v>
      </c>
      <c r="H232" s="31">
        <f>D232 + F232 - G232</f>
        <v>0</v>
      </c>
      <c r="I232" s="31"/>
      <c r="K232" t="s">
        <v>14</v>
      </c>
    </row>
    <row r="233" spans="2:11" ht="13" x14ac:dyDescent="0.15">
      <c r="B233" s="29" t="s">
        <v>355</v>
      </c>
      <c r="C233" s="29" t="s">
        <v>356</v>
      </c>
      <c r="D233" s="31">
        <f>SUMIFS(D234:D1057,K234:K1057,"0",B234:B1057,"1 2 9*")-SUMIFS(E234:E1057,K234:K1057,"0",B234:B1057,"1 2 9*")</f>
        <v>0</v>
      </c>
      <c r="E233"/>
      <c r="F233" s="31">
        <f>SUMIFS(F234:F1057,K234:K1057,"0",B234:B1057,"1 2 9*")</f>
        <v>0</v>
      </c>
      <c r="G233" s="31">
        <f>SUMIFS(G234:G1057,K234:K1057,"0",B234:B1057,"1 2 9*")</f>
        <v>0</v>
      </c>
      <c r="H233" s="31">
        <f>D233 + F233 - G233</f>
        <v>0</v>
      </c>
      <c r="I233" s="31"/>
      <c r="K233" t="s">
        <v>14</v>
      </c>
    </row>
    <row r="234" spans="2:11" ht="13" x14ac:dyDescent="0.15">
      <c r="B234" s="29" t="s">
        <v>357</v>
      </c>
      <c r="C234" s="29" t="s">
        <v>358</v>
      </c>
      <c r="D234"/>
      <c r="E234" s="31">
        <f>SUMIFS(E235:E1057,K235:K1057,"0",B235:B1057,"2*")-SUMIFS(D235:D1057,K235:K1057,"0",B235:B1057,"2*")</f>
        <v>391304.82</v>
      </c>
      <c r="F234" s="31">
        <f>SUMIFS(F235:F1057,K235:K1057,"0",B235:B1057,"2*")</f>
        <v>12291656.469999999</v>
      </c>
      <c r="G234" s="31">
        <f>SUMIFS(G235:G1057,K235:K1057,"0",B235:B1057,"2*")</f>
        <v>11903495.969999999</v>
      </c>
      <c r="H234" s="31"/>
      <c r="I234" s="31">
        <f t="shared" ref="I234:I265" si="4">E234 - F234 + G234</f>
        <v>3144.320000000298</v>
      </c>
      <c r="K234" t="s">
        <v>14</v>
      </c>
    </row>
    <row r="235" spans="2:11" ht="13" x14ac:dyDescent="0.15">
      <c r="B235" s="29" t="s">
        <v>359</v>
      </c>
      <c r="C235" s="29" t="s">
        <v>360</v>
      </c>
      <c r="D235"/>
      <c r="E235" s="31">
        <f>SUMIFS(E236:E1057,K236:K1057,"0",B236:B1057,"2 1*")-SUMIFS(D236:D1057,K236:K1057,"0",B236:B1057,"2 1*")</f>
        <v>391304.82</v>
      </c>
      <c r="F235" s="31">
        <f>SUMIFS(F236:F1057,K236:K1057,"0",B236:B1057,"2 1*")</f>
        <v>12291656.469999999</v>
      </c>
      <c r="G235" s="31">
        <f>SUMIFS(G236:G1057,K236:K1057,"0",B236:B1057,"2 1*")</f>
        <v>11903495.969999999</v>
      </c>
      <c r="H235" s="31"/>
      <c r="I235" s="31">
        <f t="shared" si="4"/>
        <v>3144.320000000298</v>
      </c>
      <c r="K235" t="s">
        <v>14</v>
      </c>
    </row>
    <row r="236" spans="2:11" ht="13" x14ac:dyDescent="0.15">
      <c r="B236" s="29" t="s">
        <v>361</v>
      </c>
      <c r="C236" s="29" t="s">
        <v>362</v>
      </c>
      <c r="D236"/>
      <c r="E236" s="31">
        <f>SUMIFS(E237:E1057,K237:K1057,"0",B237:B1057,"2 1 1*")-SUMIFS(D237:D1057,K237:K1057,"0",B237:B1057,"2 1 1*")</f>
        <v>391304.82</v>
      </c>
      <c r="F236" s="31">
        <f>SUMIFS(F237:F1057,K237:K1057,"0",B237:B1057,"2 1 1*")</f>
        <v>12291656.469999999</v>
      </c>
      <c r="G236" s="31">
        <f>SUMIFS(G237:G1057,K237:K1057,"0",B237:B1057,"2 1 1*")</f>
        <v>11903495.969999999</v>
      </c>
      <c r="H236" s="31"/>
      <c r="I236" s="31">
        <f t="shared" si="4"/>
        <v>3144.320000000298</v>
      </c>
      <c r="K236" t="s">
        <v>14</v>
      </c>
    </row>
    <row r="237" spans="2:11" ht="13" x14ac:dyDescent="0.15">
      <c r="B237" s="29" t="s">
        <v>363</v>
      </c>
      <c r="C237" s="29" t="s">
        <v>364</v>
      </c>
      <c r="D237"/>
      <c r="E237" s="31">
        <f>SUMIFS(E238:E1057,K238:K1057,"0",B238:B1057,"2 1 1 1*")-SUMIFS(D238:D1057,K238:K1057,"0",B238:B1057,"2 1 1 1*")</f>
        <v>1100</v>
      </c>
      <c r="F237" s="31">
        <f>SUMIFS(F238:F1057,K238:K1057,"0",B238:B1057,"2 1 1 1*")</f>
        <v>6269345.7999999998</v>
      </c>
      <c r="G237" s="31">
        <f>SUMIFS(G238:G1057,K238:K1057,"0",B238:B1057,"2 1 1 1*")</f>
        <v>6268245.7999999998</v>
      </c>
      <c r="H237" s="31"/>
      <c r="I237" s="31">
        <f t="shared" si="4"/>
        <v>0</v>
      </c>
      <c r="K237" t="s">
        <v>14</v>
      </c>
    </row>
    <row r="238" spans="2:11" ht="13" x14ac:dyDescent="0.15">
      <c r="B238" s="29" t="s">
        <v>365</v>
      </c>
      <c r="C238" s="29" t="s">
        <v>366</v>
      </c>
      <c r="D238"/>
      <c r="E238" s="31">
        <f>SUMIFS(E239:E1057,K239:K1057,"0",B239:B1057,"2 1 1 1 1*")-SUMIFS(D239:D1057,K239:K1057,"0",B239:B1057,"2 1 1 1 1*")</f>
        <v>1100</v>
      </c>
      <c r="F238" s="31">
        <f>SUMIFS(F239:F1057,K239:K1057,"0",B239:B1057,"2 1 1 1 1*")</f>
        <v>6269345.7999999998</v>
      </c>
      <c r="G238" s="31">
        <f>SUMIFS(G239:G1057,K239:K1057,"0",B239:B1057,"2 1 1 1 1*")</f>
        <v>6268245.7999999998</v>
      </c>
      <c r="H238" s="31"/>
      <c r="I238" s="31">
        <f t="shared" si="4"/>
        <v>0</v>
      </c>
      <c r="K238" t="s">
        <v>14</v>
      </c>
    </row>
    <row r="239" spans="2:11" ht="13" x14ac:dyDescent="0.15">
      <c r="B239" s="29" t="s">
        <v>367</v>
      </c>
      <c r="C239" s="29" t="s">
        <v>25</v>
      </c>
      <c r="D239"/>
      <c r="E239" s="31">
        <f>SUMIFS(E240:E1057,K240:K1057,"0",B240:B1057,"2 1 1 1 1 12*")-SUMIFS(D240:D1057,K240:K1057,"0",B240:B1057,"2 1 1 1 1 12*")</f>
        <v>1100</v>
      </c>
      <c r="F239" s="31">
        <f>SUMIFS(F240:F1057,K240:K1057,"0",B240:B1057,"2 1 1 1 1 12*")</f>
        <v>6269345.7999999998</v>
      </c>
      <c r="G239" s="31">
        <f>SUMIFS(G240:G1057,K240:K1057,"0",B240:B1057,"2 1 1 1 1 12*")</f>
        <v>6268245.7999999998</v>
      </c>
      <c r="H239" s="31"/>
      <c r="I239" s="31">
        <f t="shared" si="4"/>
        <v>0</v>
      </c>
      <c r="K239" t="s">
        <v>14</v>
      </c>
    </row>
    <row r="240" spans="2:11" ht="13" x14ac:dyDescent="0.15">
      <c r="B240" s="29" t="s">
        <v>368</v>
      </c>
      <c r="C240" s="29" t="s">
        <v>27</v>
      </c>
      <c r="D240"/>
      <c r="E240" s="31">
        <f>SUMIFS(E241:E1057,K241:K1057,"0",B241:B1057,"2 1 1 1 1 12 31111*")-SUMIFS(D241:D1057,K241:K1057,"0",B241:B1057,"2 1 1 1 1 12 31111*")</f>
        <v>1100</v>
      </c>
      <c r="F240" s="31">
        <f>SUMIFS(F241:F1057,K241:K1057,"0",B241:B1057,"2 1 1 1 1 12 31111*")</f>
        <v>6269345.7999999998</v>
      </c>
      <c r="G240" s="31">
        <f>SUMIFS(G241:G1057,K241:K1057,"0",B241:B1057,"2 1 1 1 1 12 31111*")</f>
        <v>6268245.7999999998</v>
      </c>
      <c r="H240" s="31"/>
      <c r="I240" s="31">
        <f t="shared" si="4"/>
        <v>0</v>
      </c>
      <c r="K240" t="s">
        <v>14</v>
      </c>
    </row>
    <row r="241" spans="2:11" ht="13" x14ac:dyDescent="0.15">
      <c r="B241" s="29" t="s">
        <v>369</v>
      </c>
      <c r="C241" s="29" t="s">
        <v>29</v>
      </c>
      <c r="D241"/>
      <c r="E241" s="31">
        <f>SUMIFS(E242:E1057,K242:K1057,"0",B242:B1057,"2 1 1 1 1 12 31111 6*")-SUMIFS(D242:D1057,K242:K1057,"0",B242:B1057,"2 1 1 1 1 12 31111 6*")</f>
        <v>1100</v>
      </c>
      <c r="F241" s="31">
        <f>SUMIFS(F242:F1057,K242:K1057,"0",B242:B1057,"2 1 1 1 1 12 31111 6*")</f>
        <v>6269345.7999999998</v>
      </c>
      <c r="G241" s="31">
        <f>SUMIFS(G242:G1057,K242:K1057,"0",B242:B1057,"2 1 1 1 1 12 31111 6*")</f>
        <v>6268245.7999999998</v>
      </c>
      <c r="H241" s="31"/>
      <c r="I241" s="31">
        <f t="shared" si="4"/>
        <v>0</v>
      </c>
      <c r="K241" t="s">
        <v>14</v>
      </c>
    </row>
    <row r="242" spans="2:11" ht="13" x14ac:dyDescent="0.15">
      <c r="B242" s="29" t="s">
        <v>370</v>
      </c>
      <c r="C242" s="29" t="s">
        <v>31</v>
      </c>
      <c r="D242"/>
      <c r="E242" s="31">
        <f>SUMIFS(E243:E1057,K243:K1057,"0",B243:B1057,"2 1 1 1 1 12 31111 6 M78*")-SUMIFS(D243:D1057,K243:K1057,"0",B243:B1057,"2 1 1 1 1 12 31111 6 M78*")</f>
        <v>1100</v>
      </c>
      <c r="F242" s="31">
        <f>SUMIFS(F243:F1057,K243:K1057,"0",B243:B1057,"2 1 1 1 1 12 31111 6 M78*")</f>
        <v>6269345.7999999998</v>
      </c>
      <c r="G242" s="31">
        <f>SUMIFS(G243:G1057,K243:K1057,"0",B243:B1057,"2 1 1 1 1 12 31111 6 M78*")</f>
        <v>6268245.7999999998</v>
      </c>
      <c r="H242" s="31"/>
      <c r="I242" s="31">
        <f t="shared" si="4"/>
        <v>0</v>
      </c>
      <c r="K242" t="s">
        <v>14</v>
      </c>
    </row>
    <row r="243" spans="2:11" ht="13" x14ac:dyDescent="0.15">
      <c r="B243" s="29" t="s">
        <v>371</v>
      </c>
      <c r="C243" s="29" t="s">
        <v>372</v>
      </c>
      <c r="D243"/>
      <c r="E243" s="31">
        <f>SUMIFS(E244:E1057,K244:K1057,"0",B244:B1057,"2 1 1 1 1 12 31111 6 M78 00003*")-SUMIFS(D244:D1057,K244:K1057,"0",B244:B1057,"2 1 1 1 1 12 31111 6 M78 00003*")</f>
        <v>1100</v>
      </c>
      <c r="F243" s="31">
        <f>SUMIFS(F244:F1057,K244:K1057,"0",B244:B1057,"2 1 1 1 1 12 31111 6 M78 00003*")</f>
        <v>6269345.7999999998</v>
      </c>
      <c r="G243" s="31">
        <f>SUMIFS(G244:G1057,K244:K1057,"0",B244:B1057,"2 1 1 1 1 12 31111 6 M78 00003*")</f>
        <v>6268245.7999999998</v>
      </c>
      <c r="H243" s="31"/>
      <c r="I243" s="31">
        <f t="shared" si="4"/>
        <v>0</v>
      </c>
      <c r="K243" t="s">
        <v>14</v>
      </c>
    </row>
    <row r="244" spans="2:11" ht="13" x14ac:dyDescent="0.15">
      <c r="B244" s="27" t="s">
        <v>373</v>
      </c>
      <c r="C244" s="27" t="s">
        <v>374</v>
      </c>
      <c r="D244" s="30"/>
      <c r="E244" s="30">
        <v>0</v>
      </c>
      <c r="F244" s="30">
        <v>345500</v>
      </c>
      <c r="G244" s="30">
        <v>345500</v>
      </c>
      <c r="H244" s="30"/>
      <c r="I244" s="30">
        <f t="shared" si="4"/>
        <v>0</v>
      </c>
      <c r="K244" t="s">
        <v>38</v>
      </c>
    </row>
    <row r="245" spans="2:11" ht="13" x14ac:dyDescent="0.15">
      <c r="B245" s="27" t="s">
        <v>375</v>
      </c>
      <c r="C245" s="27" t="s">
        <v>376</v>
      </c>
      <c r="D245" s="30"/>
      <c r="E245" s="30">
        <v>1100</v>
      </c>
      <c r="F245" s="30">
        <v>5923845.7999999998</v>
      </c>
      <c r="G245" s="30">
        <v>5922745.7999999998</v>
      </c>
      <c r="H245" s="30"/>
      <c r="I245" s="30">
        <f t="shared" si="4"/>
        <v>0</v>
      </c>
      <c r="K245" t="s">
        <v>38</v>
      </c>
    </row>
    <row r="246" spans="2:11" ht="13" x14ac:dyDescent="0.15">
      <c r="B246" s="29" t="s">
        <v>377</v>
      </c>
      <c r="C246" s="29" t="s">
        <v>378</v>
      </c>
      <c r="D246"/>
      <c r="E246" s="31">
        <f>SUMIFS(E247:E1057,K247:K1057,"0",B247:B1057,"2 1 1 2*")-SUMIFS(D247:D1057,K247:K1057,"0",B247:B1057,"2 1 1 2*")</f>
        <v>181783.22</v>
      </c>
      <c r="F246" s="31">
        <f>SUMIFS(F247:F1057,K247:K1057,"0",B247:B1057,"2 1 1 2*")</f>
        <v>4853858.7</v>
      </c>
      <c r="G246" s="31">
        <f>SUMIFS(G247:G1057,K247:K1057,"0",B247:B1057,"2 1 1 2*")</f>
        <v>4672075.4799999995</v>
      </c>
      <c r="H246" s="31"/>
      <c r="I246" s="31">
        <f t="shared" si="4"/>
        <v>0</v>
      </c>
      <c r="K246" t="s">
        <v>14</v>
      </c>
    </row>
    <row r="247" spans="2:11" ht="22" x14ac:dyDescent="0.15">
      <c r="B247" s="29" t="s">
        <v>379</v>
      </c>
      <c r="C247" s="29" t="s">
        <v>380</v>
      </c>
      <c r="D247"/>
      <c r="E247" s="31">
        <f>SUMIFS(E248:E1057,K248:K1057,"0",B248:B1057,"2 1 1 2 1*")-SUMIFS(D248:D1057,K248:K1057,"0",B248:B1057,"2 1 1 2 1*")</f>
        <v>181783.22</v>
      </c>
      <c r="F247" s="31">
        <f>SUMIFS(F248:F1057,K248:K1057,"0",B248:B1057,"2 1 1 2 1*")</f>
        <v>4853858.7</v>
      </c>
      <c r="G247" s="31">
        <f>SUMIFS(G248:G1057,K248:K1057,"0",B248:B1057,"2 1 1 2 1*")</f>
        <v>4672075.4799999995</v>
      </c>
      <c r="H247" s="31"/>
      <c r="I247" s="31">
        <f t="shared" si="4"/>
        <v>0</v>
      </c>
      <c r="K247" t="s">
        <v>14</v>
      </c>
    </row>
    <row r="248" spans="2:11" ht="13" x14ac:dyDescent="0.15">
      <c r="B248" s="29" t="s">
        <v>381</v>
      </c>
      <c r="C248" s="29" t="s">
        <v>25</v>
      </c>
      <c r="D248"/>
      <c r="E248" s="31">
        <f>SUMIFS(E249:E1057,K249:K1057,"0",B249:B1057,"2 1 1 2 1 12*")-SUMIFS(D249:D1057,K249:K1057,"0",B249:B1057,"2 1 1 2 1 12*")</f>
        <v>181783.22</v>
      </c>
      <c r="F248" s="31">
        <f>SUMIFS(F249:F1057,K249:K1057,"0",B249:B1057,"2 1 1 2 1 12*")</f>
        <v>4853858.7</v>
      </c>
      <c r="G248" s="31">
        <f>SUMIFS(G249:G1057,K249:K1057,"0",B249:B1057,"2 1 1 2 1 12*")</f>
        <v>4672075.4799999995</v>
      </c>
      <c r="H248" s="31"/>
      <c r="I248" s="31">
        <f t="shared" si="4"/>
        <v>0</v>
      </c>
      <c r="K248" t="s">
        <v>14</v>
      </c>
    </row>
    <row r="249" spans="2:11" ht="13" x14ac:dyDescent="0.15">
      <c r="B249" s="29" t="s">
        <v>382</v>
      </c>
      <c r="C249" s="29" t="s">
        <v>27</v>
      </c>
      <c r="D249"/>
      <c r="E249" s="31">
        <f>SUMIFS(E250:E1057,K250:K1057,"0",B250:B1057,"2 1 1 2 1 12 31111*")-SUMIFS(D250:D1057,K250:K1057,"0",B250:B1057,"2 1 1 2 1 12 31111*")</f>
        <v>181783.22</v>
      </c>
      <c r="F249" s="31">
        <f>SUMIFS(F250:F1057,K250:K1057,"0",B250:B1057,"2 1 1 2 1 12 31111*")</f>
        <v>4853858.7</v>
      </c>
      <c r="G249" s="31">
        <f>SUMIFS(G250:G1057,K250:K1057,"0",B250:B1057,"2 1 1 2 1 12 31111*")</f>
        <v>4672075.4799999995</v>
      </c>
      <c r="H249" s="31"/>
      <c r="I249" s="31">
        <f t="shared" si="4"/>
        <v>0</v>
      </c>
      <c r="K249" t="s">
        <v>14</v>
      </c>
    </row>
    <row r="250" spans="2:11" ht="13" x14ac:dyDescent="0.15">
      <c r="B250" s="29" t="s">
        <v>383</v>
      </c>
      <c r="C250" s="29" t="s">
        <v>29</v>
      </c>
      <c r="D250"/>
      <c r="E250" s="31">
        <f>SUMIFS(E251:E1057,K251:K1057,"0",B251:B1057,"2 1 1 2 1 12 31111 6*")-SUMIFS(D251:D1057,K251:K1057,"0",B251:B1057,"2 1 1 2 1 12 31111 6*")</f>
        <v>181783.22</v>
      </c>
      <c r="F250" s="31">
        <f>SUMIFS(F251:F1057,K251:K1057,"0",B251:B1057,"2 1 1 2 1 12 31111 6*")</f>
        <v>4853858.7</v>
      </c>
      <c r="G250" s="31">
        <f>SUMIFS(G251:G1057,K251:K1057,"0",B251:B1057,"2 1 1 2 1 12 31111 6*")</f>
        <v>4672075.4799999995</v>
      </c>
      <c r="H250" s="31"/>
      <c r="I250" s="31">
        <f t="shared" si="4"/>
        <v>0</v>
      </c>
      <c r="K250" t="s">
        <v>14</v>
      </c>
    </row>
    <row r="251" spans="2:11" ht="13" x14ac:dyDescent="0.15">
      <c r="B251" s="29" t="s">
        <v>384</v>
      </c>
      <c r="C251" s="29" t="s">
        <v>31</v>
      </c>
      <c r="D251"/>
      <c r="E251" s="31">
        <f>SUMIFS(E252:E1057,K252:K1057,"0",B252:B1057,"2 1 1 2 1 12 31111 6 M78*")-SUMIFS(D252:D1057,K252:K1057,"0",B252:B1057,"2 1 1 2 1 12 31111 6 M78*")</f>
        <v>181783.22</v>
      </c>
      <c r="F251" s="31">
        <f>SUMIFS(F252:F1057,K252:K1057,"0",B252:B1057,"2 1 1 2 1 12 31111 6 M78*")</f>
        <v>4853858.7</v>
      </c>
      <c r="G251" s="31">
        <f>SUMIFS(G252:G1057,K252:K1057,"0",B252:B1057,"2 1 1 2 1 12 31111 6 M78*")</f>
        <v>4672075.4799999995</v>
      </c>
      <c r="H251" s="31"/>
      <c r="I251" s="31">
        <f t="shared" si="4"/>
        <v>0</v>
      </c>
      <c r="K251" t="s">
        <v>14</v>
      </c>
    </row>
    <row r="252" spans="2:11" ht="13" x14ac:dyDescent="0.15">
      <c r="B252" s="29" t="s">
        <v>385</v>
      </c>
      <c r="C252" s="29" t="s">
        <v>372</v>
      </c>
      <c r="D252"/>
      <c r="E252" s="31">
        <f>SUMIFS(E253:E1057,K253:K1057,"0",B253:B1057,"2 1 1 2 1 12 31111 6 M78 00003*")-SUMIFS(D253:D1057,K253:K1057,"0",B253:B1057,"2 1 1 2 1 12 31111 6 M78 00003*")</f>
        <v>181783.22</v>
      </c>
      <c r="F252" s="31">
        <f>SUMIFS(F253:F1057,K253:K1057,"0",B253:B1057,"2 1 1 2 1 12 31111 6 M78 00003*")</f>
        <v>4853858.7</v>
      </c>
      <c r="G252" s="31">
        <f>SUMIFS(G253:G1057,K253:K1057,"0",B253:B1057,"2 1 1 2 1 12 31111 6 M78 00003*")</f>
        <v>4672075.4799999995</v>
      </c>
      <c r="H252" s="31"/>
      <c r="I252" s="31">
        <f t="shared" si="4"/>
        <v>0</v>
      </c>
      <c r="K252" t="s">
        <v>14</v>
      </c>
    </row>
    <row r="253" spans="2:11" ht="13" x14ac:dyDescent="0.15">
      <c r="B253" s="27" t="s">
        <v>386</v>
      </c>
      <c r="C253" s="27" t="s">
        <v>78</v>
      </c>
      <c r="D253" s="30"/>
      <c r="E253" s="30">
        <v>181783.22</v>
      </c>
      <c r="F253" s="30">
        <v>551385.89</v>
      </c>
      <c r="G253" s="30">
        <v>369602.67</v>
      </c>
      <c r="H253" s="30"/>
      <c r="I253" s="30">
        <f t="shared" si="4"/>
        <v>0</v>
      </c>
      <c r="K253" t="s">
        <v>38</v>
      </c>
    </row>
    <row r="254" spans="2:11" ht="13" x14ac:dyDescent="0.15">
      <c r="B254" s="27" t="s">
        <v>387</v>
      </c>
      <c r="C254" s="27" t="s">
        <v>388</v>
      </c>
      <c r="D254" s="30"/>
      <c r="E254" s="30">
        <v>0</v>
      </c>
      <c r="F254" s="30">
        <v>1257207.29</v>
      </c>
      <c r="G254" s="30">
        <v>1257207.29</v>
      </c>
      <c r="H254" s="30"/>
      <c r="I254" s="30">
        <f t="shared" si="4"/>
        <v>0</v>
      </c>
      <c r="K254" t="s">
        <v>38</v>
      </c>
    </row>
    <row r="255" spans="2:11" ht="13" x14ac:dyDescent="0.15">
      <c r="B255" s="27" t="s">
        <v>389</v>
      </c>
      <c r="C255" s="27" t="s">
        <v>390</v>
      </c>
      <c r="D255" s="30"/>
      <c r="E255" s="30">
        <v>0</v>
      </c>
      <c r="F255" s="30">
        <v>210175.26</v>
      </c>
      <c r="G255" s="30">
        <v>210175.26</v>
      </c>
      <c r="H255" s="30"/>
      <c r="I255" s="30">
        <f t="shared" si="4"/>
        <v>0</v>
      </c>
      <c r="K255" t="s">
        <v>38</v>
      </c>
    </row>
    <row r="256" spans="2:11" ht="13" x14ac:dyDescent="0.15">
      <c r="B256" s="27" t="s">
        <v>391</v>
      </c>
      <c r="C256" s="27" t="s">
        <v>392</v>
      </c>
      <c r="D256" s="30"/>
      <c r="E256" s="30">
        <v>0</v>
      </c>
      <c r="F256" s="30">
        <v>610660</v>
      </c>
      <c r="G256" s="30">
        <v>610660</v>
      </c>
      <c r="H256" s="30"/>
      <c r="I256" s="30">
        <f t="shared" si="4"/>
        <v>0</v>
      </c>
      <c r="K256" t="s">
        <v>38</v>
      </c>
    </row>
    <row r="257" spans="2:11" ht="13" x14ac:dyDescent="0.15">
      <c r="B257" s="27" t="s">
        <v>393</v>
      </c>
      <c r="C257" s="27" t="s">
        <v>394</v>
      </c>
      <c r="D257" s="30"/>
      <c r="E257" s="30">
        <v>0</v>
      </c>
      <c r="F257" s="30">
        <v>1111532.6299999999</v>
      </c>
      <c r="G257" s="30">
        <v>1111532.6299999999</v>
      </c>
      <c r="H257" s="30"/>
      <c r="I257" s="30">
        <f t="shared" si="4"/>
        <v>0</v>
      </c>
      <c r="K257" t="s">
        <v>38</v>
      </c>
    </row>
    <row r="258" spans="2:11" ht="13" x14ac:dyDescent="0.15">
      <c r="B258" s="27" t="s">
        <v>395</v>
      </c>
      <c r="C258" s="27" t="s">
        <v>396</v>
      </c>
      <c r="D258" s="30"/>
      <c r="E258" s="30">
        <v>0</v>
      </c>
      <c r="F258" s="30">
        <v>104980</v>
      </c>
      <c r="G258" s="30">
        <v>104980</v>
      </c>
      <c r="H258" s="30"/>
      <c r="I258" s="30">
        <f t="shared" si="4"/>
        <v>0</v>
      </c>
      <c r="K258" t="s">
        <v>38</v>
      </c>
    </row>
    <row r="259" spans="2:11" ht="13" x14ac:dyDescent="0.15">
      <c r="B259" s="27" t="s">
        <v>397</v>
      </c>
      <c r="C259" s="27" t="s">
        <v>398</v>
      </c>
      <c r="D259" s="30"/>
      <c r="E259" s="30">
        <v>0</v>
      </c>
      <c r="F259" s="30">
        <v>157400</v>
      </c>
      <c r="G259" s="30">
        <v>157400</v>
      </c>
      <c r="H259" s="30"/>
      <c r="I259" s="30">
        <f t="shared" si="4"/>
        <v>0</v>
      </c>
      <c r="K259" t="s">
        <v>38</v>
      </c>
    </row>
    <row r="260" spans="2:11" ht="13" x14ac:dyDescent="0.15">
      <c r="B260" s="27" t="s">
        <v>399</v>
      </c>
      <c r="C260" s="27" t="s">
        <v>400</v>
      </c>
      <c r="D260" s="30"/>
      <c r="E260" s="30">
        <v>0</v>
      </c>
      <c r="F260" s="30">
        <v>9120</v>
      </c>
      <c r="G260" s="30">
        <v>9120</v>
      </c>
      <c r="H260" s="30"/>
      <c r="I260" s="30">
        <f t="shared" si="4"/>
        <v>0</v>
      </c>
      <c r="K260" t="s">
        <v>38</v>
      </c>
    </row>
    <row r="261" spans="2:11" ht="13" x14ac:dyDescent="0.15">
      <c r="B261" s="27" t="s">
        <v>401</v>
      </c>
      <c r="C261" s="27" t="s">
        <v>402</v>
      </c>
      <c r="D261" s="30"/>
      <c r="E261" s="30">
        <v>0</v>
      </c>
      <c r="F261" s="30">
        <v>89150</v>
      </c>
      <c r="G261" s="30">
        <v>89150</v>
      </c>
      <c r="H261" s="30"/>
      <c r="I261" s="30">
        <f t="shared" si="4"/>
        <v>0</v>
      </c>
      <c r="K261" t="s">
        <v>38</v>
      </c>
    </row>
    <row r="262" spans="2:11" ht="13" x14ac:dyDescent="0.15">
      <c r="B262" s="27" t="s">
        <v>403</v>
      </c>
      <c r="C262" s="27" t="s">
        <v>404</v>
      </c>
      <c r="D262" s="30"/>
      <c r="E262" s="30">
        <v>0</v>
      </c>
      <c r="F262" s="30">
        <v>80000</v>
      </c>
      <c r="G262" s="30">
        <v>80000</v>
      </c>
      <c r="H262" s="30"/>
      <c r="I262" s="30">
        <f t="shared" si="4"/>
        <v>0</v>
      </c>
      <c r="K262" t="s">
        <v>38</v>
      </c>
    </row>
    <row r="263" spans="2:11" ht="13" x14ac:dyDescent="0.15">
      <c r="B263" s="27" t="s">
        <v>405</v>
      </c>
      <c r="C263" s="27" t="s">
        <v>406</v>
      </c>
      <c r="D263" s="30"/>
      <c r="E263" s="30">
        <v>0</v>
      </c>
      <c r="F263" s="30">
        <v>158590</v>
      </c>
      <c r="G263" s="30">
        <v>158590</v>
      </c>
      <c r="H263" s="30"/>
      <c r="I263" s="30">
        <f t="shared" si="4"/>
        <v>0</v>
      </c>
      <c r="K263" t="s">
        <v>38</v>
      </c>
    </row>
    <row r="264" spans="2:11" ht="13" x14ac:dyDescent="0.15">
      <c r="B264" s="27" t="s">
        <v>407</v>
      </c>
      <c r="C264" s="27" t="s">
        <v>408</v>
      </c>
      <c r="D264" s="30"/>
      <c r="E264" s="30">
        <v>0</v>
      </c>
      <c r="F264" s="30">
        <v>107700</v>
      </c>
      <c r="G264" s="30">
        <v>107700</v>
      </c>
      <c r="H264" s="30"/>
      <c r="I264" s="30">
        <f t="shared" si="4"/>
        <v>0</v>
      </c>
      <c r="K264" t="s">
        <v>38</v>
      </c>
    </row>
    <row r="265" spans="2:11" ht="13" x14ac:dyDescent="0.15">
      <c r="B265" s="27" t="s">
        <v>409</v>
      </c>
      <c r="C265" s="27" t="s">
        <v>410</v>
      </c>
      <c r="D265" s="30"/>
      <c r="E265" s="30">
        <v>0</v>
      </c>
      <c r="F265" s="30">
        <v>80794</v>
      </c>
      <c r="G265" s="30">
        <v>80794</v>
      </c>
      <c r="H265" s="30"/>
      <c r="I265" s="30">
        <f t="shared" si="4"/>
        <v>0</v>
      </c>
      <c r="K265" t="s">
        <v>38</v>
      </c>
    </row>
    <row r="266" spans="2:11" ht="13" x14ac:dyDescent="0.15">
      <c r="B266" s="27" t="s">
        <v>411</v>
      </c>
      <c r="C266" s="27" t="s">
        <v>412</v>
      </c>
      <c r="D266" s="30"/>
      <c r="E266" s="30">
        <v>0</v>
      </c>
      <c r="F266" s="30">
        <v>17600</v>
      </c>
      <c r="G266" s="30">
        <v>17600</v>
      </c>
      <c r="H266" s="30"/>
      <c r="I266" s="30">
        <f t="shared" ref="I266:I297" si="5">E266 - F266 + G266</f>
        <v>0</v>
      </c>
      <c r="K266" t="s">
        <v>38</v>
      </c>
    </row>
    <row r="267" spans="2:11" ht="13" x14ac:dyDescent="0.15">
      <c r="B267" s="27" t="s">
        <v>413</v>
      </c>
      <c r="C267" s="27" t="s">
        <v>414</v>
      </c>
      <c r="D267" s="30"/>
      <c r="E267" s="30">
        <v>0</v>
      </c>
      <c r="F267" s="30">
        <v>210683.63</v>
      </c>
      <c r="G267" s="30">
        <v>210683.63</v>
      </c>
      <c r="H267" s="30"/>
      <c r="I267" s="30">
        <f t="shared" si="5"/>
        <v>0</v>
      </c>
      <c r="K267" t="s">
        <v>38</v>
      </c>
    </row>
    <row r="268" spans="2:11" ht="13" x14ac:dyDescent="0.15">
      <c r="B268" s="27" t="s">
        <v>415</v>
      </c>
      <c r="C268" s="27" t="s">
        <v>416</v>
      </c>
      <c r="D268" s="30"/>
      <c r="E268" s="30">
        <v>0</v>
      </c>
      <c r="F268" s="30">
        <v>3480</v>
      </c>
      <c r="G268" s="30">
        <v>3480</v>
      </c>
      <c r="H268" s="30"/>
      <c r="I268" s="30">
        <f t="shared" si="5"/>
        <v>0</v>
      </c>
      <c r="K268" t="s">
        <v>38</v>
      </c>
    </row>
    <row r="269" spans="2:11" ht="13" x14ac:dyDescent="0.15">
      <c r="B269" s="27" t="s">
        <v>417</v>
      </c>
      <c r="C269" s="27" t="s">
        <v>418</v>
      </c>
      <c r="D269" s="30"/>
      <c r="E269" s="30">
        <v>0</v>
      </c>
      <c r="F269" s="30">
        <v>13400</v>
      </c>
      <c r="G269" s="30">
        <v>13400</v>
      </c>
      <c r="H269" s="30"/>
      <c r="I269" s="30">
        <f t="shared" si="5"/>
        <v>0</v>
      </c>
      <c r="K269" t="s">
        <v>38</v>
      </c>
    </row>
    <row r="270" spans="2:11" ht="13" x14ac:dyDescent="0.15">
      <c r="B270" s="27" t="s">
        <v>419</v>
      </c>
      <c r="C270" s="27" t="s">
        <v>420</v>
      </c>
      <c r="D270" s="30"/>
      <c r="E270" s="30">
        <v>0</v>
      </c>
      <c r="F270" s="30">
        <v>80000</v>
      </c>
      <c r="G270" s="30">
        <v>80000</v>
      </c>
      <c r="H270" s="30"/>
      <c r="I270" s="30">
        <f t="shared" si="5"/>
        <v>0</v>
      </c>
      <c r="K270" t="s">
        <v>38</v>
      </c>
    </row>
    <row r="271" spans="2:11" ht="13" x14ac:dyDescent="0.15">
      <c r="B271" s="29" t="s">
        <v>421</v>
      </c>
      <c r="C271" s="29" t="s">
        <v>422</v>
      </c>
      <c r="D271"/>
      <c r="E271" s="31">
        <f>SUMIFS(E272:E1057,K272:K1057,"0",B272:B1057,"2 1 1 5*")-SUMIFS(D272:D1057,K272:K1057,"0",B272:B1057,"2 1 1 5*")</f>
        <v>0</v>
      </c>
      <c r="F271" s="31">
        <f>SUMIFS(F272:F1057,K272:K1057,"0",B272:B1057,"2 1 1 5*")</f>
        <v>136000</v>
      </c>
      <c r="G271" s="31">
        <f>SUMIFS(G272:G1057,K272:K1057,"0",B272:B1057,"2 1 1 5*")</f>
        <v>136000</v>
      </c>
      <c r="H271" s="31"/>
      <c r="I271" s="31">
        <f t="shared" si="5"/>
        <v>0</v>
      </c>
      <c r="K271" t="s">
        <v>14</v>
      </c>
    </row>
    <row r="272" spans="2:11" ht="13" x14ac:dyDescent="0.15">
      <c r="B272" s="29" t="s">
        <v>423</v>
      </c>
      <c r="C272" s="29" t="s">
        <v>424</v>
      </c>
      <c r="D272"/>
      <c r="E272" s="31">
        <f>SUMIFS(E273:E1057,K273:K1057,"0",B273:B1057,"2 1 1 5 6*")-SUMIFS(D273:D1057,K273:K1057,"0",B273:B1057,"2 1 1 5 6*")</f>
        <v>0</v>
      </c>
      <c r="F272" s="31">
        <f>SUMIFS(F273:F1057,K273:K1057,"0",B273:B1057,"2 1 1 5 6*")</f>
        <v>136000</v>
      </c>
      <c r="G272" s="31">
        <f>SUMIFS(G273:G1057,K273:K1057,"0",B273:B1057,"2 1 1 5 6*")</f>
        <v>136000</v>
      </c>
      <c r="H272" s="31"/>
      <c r="I272" s="31">
        <f t="shared" si="5"/>
        <v>0</v>
      </c>
      <c r="K272" t="s">
        <v>14</v>
      </c>
    </row>
    <row r="273" spans="2:11" ht="13" x14ac:dyDescent="0.15">
      <c r="B273" s="29" t="s">
        <v>425</v>
      </c>
      <c r="C273" s="29" t="s">
        <v>25</v>
      </c>
      <c r="D273"/>
      <c r="E273" s="31">
        <f>SUMIFS(E274:E1057,K274:K1057,"0",B274:B1057,"2 1 1 5 6 12*")-SUMIFS(D274:D1057,K274:K1057,"0",B274:B1057,"2 1 1 5 6 12*")</f>
        <v>0</v>
      </c>
      <c r="F273" s="31">
        <f>SUMIFS(F274:F1057,K274:K1057,"0",B274:B1057,"2 1 1 5 6 12*")</f>
        <v>136000</v>
      </c>
      <c r="G273" s="31">
        <f>SUMIFS(G274:G1057,K274:K1057,"0",B274:B1057,"2 1 1 5 6 12*")</f>
        <v>136000</v>
      </c>
      <c r="H273" s="31"/>
      <c r="I273" s="31">
        <f t="shared" si="5"/>
        <v>0</v>
      </c>
      <c r="K273" t="s">
        <v>14</v>
      </c>
    </row>
    <row r="274" spans="2:11" ht="13" x14ac:dyDescent="0.15">
      <c r="B274" s="29" t="s">
        <v>426</v>
      </c>
      <c r="C274" s="29" t="s">
        <v>27</v>
      </c>
      <c r="D274"/>
      <c r="E274" s="31">
        <f>SUMIFS(E275:E1057,K275:K1057,"0",B275:B1057,"2 1 1 5 6 12 31111*")-SUMIFS(D275:D1057,K275:K1057,"0",B275:B1057,"2 1 1 5 6 12 31111*")</f>
        <v>0</v>
      </c>
      <c r="F274" s="31">
        <f>SUMIFS(F275:F1057,K275:K1057,"0",B275:B1057,"2 1 1 5 6 12 31111*")</f>
        <v>136000</v>
      </c>
      <c r="G274" s="31">
        <f>SUMIFS(G275:G1057,K275:K1057,"0",B275:B1057,"2 1 1 5 6 12 31111*")</f>
        <v>136000</v>
      </c>
      <c r="H274" s="31"/>
      <c r="I274" s="31">
        <f t="shared" si="5"/>
        <v>0</v>
      </c>
      <c r="K274" t="s">
        <v>14</v>
      </c>
    </row>
    <row r="275" spans="2:11" ht="13" x14ac:dyDescent="0.15">
      <c r="B275" s="29" t="s">
        <v>427</v>
      </c>
      <c r="C275" s="29" t="s">
        <v>29</v>
      </c>
      <c r="D275"/>
      <c r="E275" s="31">
        <f>SUMIFS(E276:E1057,K276:K1057,"0",B276:B1057,"2 1 1 5 6 12 31111 6*")-SUMIFS(D276:D1057,K276:K1057,"0",B276:B1057,"2 1 1 5 6 12 31111 6*")</f>
        <v>0</v>
      </c>
      <c r="F275" s="31">
        <f>SUMIFS(F276:F1057,K276:K1057,"0",B276:B1057,"2 1 1 5 6 12 31111 6*")</f>
        <v>136000</v>
      </c>
      <c r="G275" s="31">
        <f>SUMIFS(G276:G1057,K276:K1057,"0",B276:B1057,"2 1 1 5 6 12 31111 6*")</f>
        <v>136000</v>
      </c>
      <c r="H275" s="31"/>
      <c r="I275" s="31">
        <f t="shared" si="5"/>
        <v>0</v>
      </c>
      <c r="K275" t="s">
        <v>14</v>
      </c>
    </row>
    <row r="276" spans="2:11" ht="13" x14ac:dyDescent="0.15">
      <c r="B276" s="29" t="s">
        <v>428</v>
      </c>
      <c r="C276" s="29" t="s">
        <v>31</v>
      </c>
      <c r="D276"/>
      <c r="E276" s="31">
        <f>SUMIFS(E277:E1057,K277:K1057,"0",B277:B1057,"2 1 1 5 6 12 31111 6 M78*")-SUMIFS(D277:D1057,K277:K1057,"0",B277:B1057,"2 1 1 5 6 12 31111 6 M78*")</f>
        <v>0</v>
      </c>
      <c r="F276" s="31">
        <f>SUMIFS(F277:F1057,K277:K1057,"0",B277:B1057,"2 1 1 5 6 12 31111 6 M78*")</f>
        <v>136000</v>
      </c>
      <c r="G276" s="31">
        <f>SUMIFS(G277:G1057,K277:K1057,"0",B277:B1057,"2 1 1 5 6 12 31111 6 M78*")</f>
        <v>136000</v>
      </c>
      <c r="H276" s="31"/>
      <c r="I276" s="31">
        <f t="shared" si="5"/>
        <v>0</v>
      </c>
      <c r="K276" t="s">
        <v>14</v>
      </c>
    </row>
    <row r="277" spans="2:11" ht="13" x14ac:dyDescent="0.15">
      <c r="B277" s="29" t="s">
        <v>429</v>
      </c>
      <c r="C277" s="29" t="s">
        <v>430</v>
      </c>
      <c r="D277"/>
      <c r="E277" s="31">
        <f>SUMIFS(E278:E1057,K278:K1057,"0",B278:B1057,"2 1 1 5 6 12 31111 6 M78 00003*")-SUMIFS(D278:D1057,K278:K1057,"0",B278:B1057,"2 1 1 5 6 12 31111 6 M78 00003*")</f>
        <v>0</v>
      </c>
      <c r="F277" s="31">
        <f>SUMIFS(F278:F1057,K278:K1057,"0",B278:B1057,"2 1 1 5 6 12 31111 6 M78 00003*")</f>
        <v>136000</v>
      </c>
      <c r="G277" s="31">
        <f>SUMIFS(G278:G1057,K278:K1057,"0",B278:B1057,"2 1 1 5 6 12 31111 6 M78 00003*")</f>
        <v>136000</v>
      </c>
      <c r="H277" s="31"/>
      <c r="I277" s="31">
        <f t="shared" si="5"/>
        <v>0</v>
      </c>
      <c r="K277" t="s">
        <v>14</v>
      </c>
    </row>
    <row r="278" spans="2:11" ht="13" x14ac:dyDescent="0.15">
      <c r="B278" s="27" t="s">
        <v>431</v>
      </c>
      <c r="C278" s="27" t="s">
        <v>432</v>
      </c>
      <c r="D278" s="30"/>
      <c r="E278" s="30">
        <v>0</v>
      </c>
      <c r="F278" s="30">
        <v>136000</v>
      </c>
      <c r="G278" s="30">
        <v>136000</v>
      </c>
      <c r="H278" s="30"/>
      <c r="I278" s="30">
        <f t="shared" si="5"/>
        <v>0</v>
      </c>
      <c r="K278" t="s">
        <v>38</v>
      </c>
    </row>
    <row r="279" spans="2:11" ht="13" x14ac:dyDescent="0.15">
      <c r="B279" s="29" t="s">
        <v>433</v>
      </c>
      <c r="C279" s="29" t="s">
        <v>434</v>
      </c>
      <c r="D279"/>
      <c r="E279" s="31">
        <f>SUMIFS(E280:E1057,K280:K1057,"0",B280:B1057,"2 1 1 7*")-SUMIFS(D280:D1057,K280:K1057,"0",B280:B1057,"2 1 1 7*")</f>
        <v>193421.59999999998</v>
      </c>
      <c r="F279" s="31">
        <f>SUMIFS(F280:F1057,K280:K1057,"0",B280:B1057,"2 1 1 7*")</f>
        <v>617451.97</v>
      </c>
      <c r="G279" s="31">
        <f>SUMIFS(G280:G1057,K280:K1057,"0",B280:B1057,"2 1 1 7*")</f>
        <v>427174.69</v>
      </c>
      <c r="H279" s="31"/>
      <c r="I279" s="31">
        <f t="shared" si="5"/>
        <v>3144.320000000007</v>
      </c>
      <c r="K279" t="s">
        <v>14</v>
      </c>
    </row>
    <row r="280" spans="2:11" ht="13" x14ac:dyDescent="0.15">
      <c r="B280" s="29" t="s">
        <v>435</v>
      </c>
      <c r="C280" s="29" t="s">
        <v>436</v>
      </c>
      <c r="D280"/>
      <c r="E280" s="31">
        <f>SUMIFS(E281:E1057,K281:K1057,"0",B281:B1057,"2 1 1 7 1*")-SUMIFS(D281:D1057,K281:K1057,"0",B281:B1057,"2 1 1 7 1*")</f>
        <v>193421.59999999998</v>
      </c>
      <c r="F280" s="31">
        <f>SUMIFS(F281:F1057,K281:K1057,"0",B281:B1057,"2 1 1 7 1*")</f>
        <v>617451.97</v>
      </c>
      <c r="G280" s="31">
        <f>SUMIFS(G281:G1057,K281:K1057,"0",B281:B1057,"2 1 1 7 1*")</f>
        <v>427174.69</v>
      </c>
      <c r="H280" s="31"/>
      <c r="I280" s="31">
        <f t="shared" si="5"/>
        <v>3144.320000000007</v>
      </c>
      <c r="K280" t="s">
        <v>14</v>
      </c>
    </row>
    <row r="281" spans="2:11" ht="13" x14ac:dyDescent="0.15">
      <c r="B281" s="29" t="s">
        <v>437</v>
      </c>
      <c r="C281" s="29" t="s">
        <v>25</v>
      </c>
      <c r="D281"/>
      <c r="E281" s="31">
        <f>SUMIFS(E282:E1057,K282:K1057,"0",B282:B1057,"2 1 1 7 1 12*")-SUMIFS(D282:D1057,K282:K1057,"0",B282:B1057,"2 1 1 7 1 12*")</f>
        <v>193421.59999999998</v>
      </c>
      <c r="F281" s="31">
        <f>SUMIFS(F282:F1057,K282:K1057,"0",B282:B1057,"2 1 1 7 1 12*")</f>
        <v>617451.97</v>
      </c>
      <c r="G281" s="31">
        <f>SUMIFS(G282:G1057,K282:K1057,"0",B282:B1057,"2 1 1 7 1 12*")</f>
        <v>427174.69</v>
      </c>
      <c r="H281" s="31"/>
      <c r="I281" s="31">
        <f t="shared" si="5"/>
        <v>3144.320000000007</v>
      </c>
      <c r="K281" t="s">
        <v>14</v>
      </c>
    </row>
    <row r="282" spans="2:11" ht="13" x14ac:dyDescent="0.15">
      <c r="B282" s="29" t="s">
        <v>438</v>
      </c>
      <c r="C282" s="29" t="s">
        <v>27</v>
      </c>
      <c r="D282"/>
      <c r="E282" s="31">
        <f>SUMIFS(E283:E1057,K283:K1057,"0",B283:B1057,"2 1 1 7 1 12 31111*")-SUMIFS(D283:D1057,K283:K1057,"0",B283:B1057,"2 1 1 7 1 12 31111*")</f>
        <v>193421.59999999998</v>
      </c>
      <c r="F282" s="31">
        <f>SUMIFS(F283:F1057,K283:K1057,"0",B283:B1057,"2 1 1 7 1 12 31111*")</f>
        <v>617451.97</v>
      </c>
      <c r="G282" s="31">
        <f>SUMIFS(G283:G1057,K283:K1057,"0",B283:B1057,"2 1 1 7 1 12 31111*")</f>
        <v>427174.69</v>
      </c>
      <c r="H282" s="31"/>
      <c r="I282" s="31">
        <f t="shared" si="5"/>
        <v>3144.320000000007</v>
      </c>
      <c r="K282" t="s">
        <v>14</v>
      </c>
    </row>
    <row r="283" spans="2:11" ht="13" x14ac:dyDescent="0.15">
      <c r="B283" s="29" t="s">
        <v>439</v>
      </c>
      <c r="C283" s="29" t="s">
        <v>29</v>
      </c>
      <c r="D283"/>
      <c r="E283" s="31">
        <f>SUMIFS(E284:E1057,K284:K1057,"0",B284:B1057,"2 1 1 7 1 12 31111 6*")-SUMIFS(D284:D1057,K284:K1057,"0",B284:B1057,"2 1 1 7 1 12 31111 6*")</f>
        <v>193421.59999999998</v>
      </c>
      <c r="F283" s="31">
        <f>SUMIFS(F284:F1057,K284:K1057,"0",B284:B1057,"2 1 1 7 1 12 31111 6*")</f>
        <v>617451.97</v>
      </c>
      <c r="G283" s="31">
        <f>SUMIFS(G284:G1057,K284:K1057,"0",B284:B1057,"2 1 1 7 1 12 31111 6*")</f>
        <v>427174.69</v>
      </c>
      <c r="H283" s="31"/>
      <c r="I283" s="31">
        <f t="shared" si="5"/>
        <v>3144.320000000007</v>
      </c>
      <c r="K283" t="s">
        <v>14</v>
      </c>
    </row>
    <row r="284" spans="2:11" ht="13" x14ac:dyDescent="0.15">
      <c r="B284" s="29" t="s">
        <v>440</v>
      </c>
      <c r="C284" s="29" t="s">
        <v>31</v>
      </c>
      <c r="D284"/>
      <c r="E284" s="31">
        <f>SUMIFS(E285:E1057,K285:K1057,"0",B285:B1057,"2 1 1 7 1 12 31111 6 M78*")-SUMIFS(D285:D1057,K285:K1057,"0",B285:B1057,"2 1 1 7 1 12 31111 6 M78*")</f>
        <v>193421.59999999998</v>
      </c>
      <c r="F284" s="31">
        <f>SUMIFS(F285:F1057,K285:K1057,"0",B285:B1057,"2 1 1 7 1 12 31111 6 M78*")</f>
        <v>617451.97</v>
      </c>
      <c r="G284" s="31">
        <f>SUMIFS(G285:G1057,K285:K1057,"0",B285:B1057,"2 1 1 7 1 12 31111 6 M78*")</f>
        <v>427174.69</v>
      </c>
      <c r="H284" s="31"/>
      <c r="I284" s="31">
        <f t="shared" si="5"/>
        <v>3144.320000000007</v>
      </c>
      <c r="K284" t="s">
        <v>14</v>
      </c>
    </row>
    <row r="285" spans="2:11" ht="13" x14ac:dyDescent="0.15">
      <c r="B285" s="29" t="s">
        <v>441</v>
      </c>
      <c r="C285" s="29" t="s">
        <v>110</v>
      </c>
      <c r="D285"/>
      <c r="E285" s="31">
        <f>SUMIFS(E286:E1057,K286:K1057,"0",B286:B1057,"2 1 1 7 1 12 31111 6 M78 00003*")-SUMIFS(D286:D1057,K286:K1057,"0",B286:B1057,"2 1 1 7 1 12 31111 6 M78 00003*")</f>
        <v>193421.59999999998</v>
      </c>
      <c r="F285" s="31">
        <f>SUMIFS(F286:F1057,K286:K1057,"0",B286:B1057,"2 1 1 7 1 12 31111 6 M78 00003*")</f>
        <v>617451.97</v>
      </c>
      <c r="G285" s="31">
        <f>SUMIFS(G286:G1057,K286:K1057,"0",B286:B1057,"2 1 1 7 1 12 31111 6 M78 00003*")</f>
        <v>427174.69</v>
      </c>
      <c r="H285" s="31"/>
      <c r="I285" s="31">
        <f t="shared" si="5"/>
        <v>3144.320000000007</v>
      </c>
      <c r="K285" t="s">
        <v>14</v>
      </c>
    </row>
    <row r="286" spans="2:11" ht="13" x14ac:dyDescent="0.15">
      <c r="B286" s="27" t="s">
        <v>442</v>
      </c>
      <c r="C286" s="27" t="s">
        <v>443</v>
      </c>
      <c r="D286" s="30"/>
      <c r="E286" s="30">
        <v>-0.02</v>
      </c>
      <c r="F286" s="30">
        <v>0</v>
      </c>
      <c r="G286" s="30">
        <v>0</v>
      </c>
      <c r="H286" s="30"/>
      <c r="I286" s="30">
        <f t="shared" si="5"/>
        <v>-0.02</v>
      </c>
      <c r="K286" t="s">
        <v>38</v>
      </c>
    </row>
    <row r="287" spans="2:11" ht="13" x14ac:dyDescent="0.15">
      <c r="B287" s="27" t="s">
        <v>444</v>
      </c>
      <c r="C287" s="27" t="s">
        <v>445</v>
      </c>
      <c r="D287" s="30"/>
      <c r="E287" s="30">
        <v>-465.44</v>
      </c>
      <c r="F287" s="30">
        <v>0</v>
      </c>
      <c r="G287" s="30">
        <v>465.44</v>
      </c>
      <c r="H287" s="30"/>
      <c r="I287" s="30">
        <f t="shared" si="5"/>
        <v>0</v>
      </c>
      <c r="K287" t="s">
        <v>38</v>
      </c>
    </row>
    <row r="288" spans="2:11" ht="13" x14ac:dyDescent="0.15">
      <c r="B288" s="27" t="s">
        <v>446</v>
      </c>
      <c r="C288" s="27" t="s">
        <v>447</v>
      </c>
      <c r="D288" s="30"/>
      <c r="E288" s="30">
        <v>30773.599999999999</v>
      </c>
      <c r="F288" s="30">
        <v>30773.599999999999</v>
      </c>
      <c r="G288" s="30">
        <v>0</v>
      </c>
      <c r="H288" s="30"/>
      <c r="I288" s="30">
        <f t="shared" si="5"/>
        <v>0</v>
      </c>
      <c r="K288" t="s">
        <v>38</v>
      </c>
    </row>
    <row r="289" spans="2:11" ht="13" x14ac:dyDescent="0.15">
      <c r="B289" s="27" t="s">
        <v>448</v>
      </c>
      <c r="C289" s="27" t="s">
        <v>449</v>
      </c>
      <c r="D289" s="30"/>
      <c r="E289" s="30">
        <v>163113.46</v>
      </c>
      <c r="F289" s="30">
        <v>163113.46</v>
      </c>
      <c r="G289" s="30">
        <v>0</v>
      </c>
      <c r="H289" s="30"/>
      <c r="I289" s="30">
        <f t="shared" si="5"/>
        <v>0</v>
      </c>
      <c r="K289" t="s">
        <v>38</v>
      </c>
    </row>
    <row r="290" spans="2:11" ht="13" x14ac:dyDescent="0.15">
      <c r="B290" s="27" t="s">
        <v>450</v>
      </c>
      <c r="C290" s="27" t="s">
        <v>451</v>
      </c>
      <c r="D290" s="30"/>
      <c r="E290" s="30">
        <v>0</v>
      </c>
      <c r="F290" s="30">
        <v>423564.91</v>
      </c>
      <c r="G290" s="30">
        <v>426709.25</v>
      </c>
      <c r="H290" s="30"/>
      <c r="I290" s="30">
        <f t="shared" si="5"/>
        <v>3144.3400000000256</v>
      </c>
      <c r="K290" t="s">
        <v>38</v>
      </c>
    </row>
    <row r="291" spans="2:11" ht="13" x14ac:dyDescent="0.15">
      <c r="B291" s="29" t="s">
        <v>452</v>
      </c>
      <c r="C291" s="29" t="s">
        <v>453</v>
      </c>
      <c r="D291"/>
      <c r="E291" s="31">
        <f>SUMIFS(E292:E1057,K292:K1057,"0",B292:B1057,"2 1 1 9*")-SUMIFS(D292:D1057,K292:K1057,"0",B292:B1057,"2 1 1 9*")</f>
        <v>15000</v>
      </c>
      <c r="F291" s="31">
        <f>SUMIFS(F292:F1057,K292:K1057,"0",B292:B1057,"2 1 1 9*")</f>
        <v>415000</v>
      </c>
      <c r="G291" s="31">
        <f>SUMIFS(G292:G1057,K292:K1057,"0",B292:B1057,"2 1 1 9*")</f>
        <v>400000</v>
      </c>
      <c r="H291" s="31"/>
      <c r="I291" s="31">
        <f t="shared" si="5"/>
        <v>0</v>
      </c>
      <c r="K291" t="s">
        <v>14</v>
      </c>
    </row>
    <row r="292" spans="2:11" ht="13" x14ac:dyDescent="0.15">
      <c r="B292" s="29" t="s">
        <v>454</v>
      </c>
      <c r="C292" s="29" t="s">
        <v>455</v>
      </c>
      <c r="D292"/>
      <c r="E292" s="31">
        <f>SUMIFS(E293:E1057,K293:K1057,"0",B293:B1057,"2 1 1 9 9*")-SUMIFS(D293:D1057,K293:K1057,"0",B293:B1057,"2 1 1 9 9*")</f>
        <v>15000</v>
      </c>
      <c r="F292" s="31">
        <f>SUMIFS(F293:F1057,K293:K1057,"0",B293:B1057,"2 1 1 9 9*")</f>
        <v>415000</v>
      </c>
      <c r="G292" s="31">
        <f>SUMIFS(G293:G1057,K293:K1057,"0",B293:B1057,"2 1 1 9 9*")</f>
        <v>400000</v>
      </c>
      <c r="H292" s="31"/>
      <c r="I292" s="31">
        <f t="shared" si="5"/>
        <v>0</v>
      </c>
      <c r="K292" t="s">
        <v>14</v>
      </c>
    </row>
    <row r="293" spans="2:11" ht="13" x14ac:dyDescent="0.15">
      <c r="B293" s="29" t="s">
        <v>456</v>
      </c>
      <c r="C293" s="29" t="s">
        <v>25</v>
      </c>
      <c r="D293"/>
      <c r="E293" s="31">
        <f>SUMIFS(E294:E1057,K294:K1057,"0",B294:B1057,"2 1 1 9 9 12*")-SUMIFS(D294:D1057,K294:K1057,"0",B294:B1057,"2 1 1 9 9 12*")</f>
        <v>15000</v>
      </c>
      <c r="F293" s="31">
        <f>SUMIFS(F294:F1057,K294:K1057,"0",B294:B1057,"2 1 1 9 9 12*")</f>
        <v>415000</v>
      </c>
      <c r="G293" s="31">
        <f>SUMIFS(G294:G1057,K294:K1057,"0",B294:B1057,"2 1 1 9 9 12*")</f>
        <v>400000</v>
      </c>
      <c r="H293" s="31"/>
      <c r="I293" s="31">
        <f t="shared" si="5"/>
        <v>0</v>
      </c>
      <c r="K293" t="s">
        <v>14</v>
      </c>
    </row>
    <row r="294" spans="2:11" ht="13" x14ac:dyDescent="0.15">
      <c r="B294" s="29" t="s">
        <v>457</v>
      </c>
      <c r="C294" s="29" t="s">
        <v>27</v>
      </c>
      <c r="D294"/>
      <c r="E294" s="31">
        <f>SUMIFS(E295:E1057,K295:K1057,"0",B295:B1057,"2 1 1 9 9 12 31111*")-SUMIFS(D295:D1057,K295:K1057,"0",B295:B1057,"2 1 1 9 9 12 31111*")</f>
        <v>15000</v>
      </c>
      <c r="F294" s="31">
        <f>SUMIFS(F295:F1057,K295:K1057,"0",B295:B1057,"2 1 1 9 9 12 31111*")</f>
        <v>415000</v>
      </c>
      <c r="G294" s="31">
        <f>SUMIFS(G295:G1057,K295:K1057,"0",B295:B1057,"2 1 1 9 9 12 31111*")</f>
        <v>400000</v>
      </c>
      <c r="H294" s="31"/>
      <c r="I294" s="31">
        <f t="shared" si="5"/>
        <v>0</v>
      </c>
      <c r="K294" t="s">
        <v>14</v>
      </c>
    </row>
    <row r="295" spans="2:11" ht="13" x14ac:dyDescent="0.15">
      <c r="B295" s="29" t="s">
        <v>458</v>
      </c>
      <c r="C295" s="29" t="s">
        <v>29</v>
      </c>
      <c r="D295"/>
      <c r="E295" s="31">
        <f>SUMIFS(E296:E1057,K296:K1057,"0",B296:B1057,"2 1 1 9 9 12 31111 6*")-SUMIFS(D296:D1057,K296:K1057,"0",B296:B1057,"2 1 1 9 9 12 31111 6*")</f>
        <v>15000</v>
      </c>
      <c r="F295" s="31">
        <f>SUMIFS(F296:F1057,K296:K1057,"0",B296:B1057,"2 1 1 9 9 12 31111 6*")</f>
        <v>415000</v>
      </c>
      <c r="G295" s="31">
        <f>SUMIFS(G296:G1057,K296:K1057,"0",B296:B1057,"2 1 1 9 9 12 31111 6*")</f>
        <v>400000</v>
      </c>
      <c r="H295" s="31"/>
      <c r="I295" s="31">
        <f t="shared" si="5"/>
        <v>0</v>
      </c>
      <c r="K295" t="s">
        <v>14</v>
      </c>
    </row>
    <row r="296" spans="2:11" ht="13" x14ac:dyDescent="0.15">
      <c r="B296" s="29" t="s">
        <v>459</v>
      </c>
      <c r="C296" s="29" t="s">
        <v>31</v>
      </c>
      <c r="D296"/>
      <c r="E296" s="31">
        <f>SUMIFS(E297:E1057,K297:K1057,"0",B297:B1057,"2 1 1 9 9 12 31111 6 M78*")-SUMIFS(D297:D1057,K297:K1057,"0",B297:B1057,"2 1 1 9 9 12 31111 6 M78*")</f>
        <v>15000</v>
      </c>
      <c r="F296" s="31">
        <f>SUMIFS(F297:F1057,K297:K1057,"0",B297:B1057,"2 1 1 9 9 12 31111 6 M78*")</f>
        <v>415000</v>
      </c>
      <c r="G296" s="31">
        <f>SUMIFS(G297:G1057,K297:K1057,"0",B297:B1057,"2 1 1 9 9 12 31111 6 M78*")</f>
        <v>400000</v>
      </c>
      <c r="H296" s="31"/>
      <c r="I296" s="31">
        <f t="shared" si="5"/>
        <v>0</v>
      </c>
      <c r="K296" t="s">
        <v>14</v>
      </c>
    </row>
    <row r="297" spans="2:11" ht="13" x14ac:dyDescent="0.15">
      <c r="B297" s="29" t="s">
        <v>460</v>
      </c>
      <c r="C297" s="29" t="s">
        <v>461</v>
      </c>
      <c r="D297"/>
      <c r="E297" s="31">
        <f>SUMIFS(E298:E1057,K298:K1057,"0",B298:B1057,"2 1 1 9 9 12 31111 6 M78 00003*")-SUMIFS(D298:D1057,K298:K1057,"0",B298:B1057,"2 1 1 9 9 12 31111 6 M78 00003*")</f>
        <v>15000</v>
      </c>
      <c r="F297" s="31">
        <f>SUMIFS(F298:F1057,K298:K1057,"0",B298:B1057,"2 1 1 9 9 12 31111 6 M78 00003*")</f>
        <v>415000</v>
      </c>
      <c r="G297" s="31">
        <f>SUMIFS(G298:G1057,K298:K1057,"0",B298:B1057,"2 1 1 9 9 12 31111 6 M78 00003*")</f>
        <v>400000</v>
      </c>
      <c r="H297" s="31"/>
      <c r="I297" s="31">
        <f t="shared" si="5"/>
        <v>0</v>
      </c>
      <c r="K297" t="s">
        <v>14</v>
      </c>
    </row>
    <row r="298" spans="2:11" ht="13" x14ac:dyDescent="0.15">
      <c r="B298" s="29" t="s">
        <v>462</v>
      </c>
      <c r="C298" s="29" t="s">
        <v>35</v>
      </c>
      <c r="D298"/>
      <c r="E298" s="31">
        <f>SUMIFS(E299:E1057,K299:K1057,"0",B299:B1057,"2 1 1 9 9 12 31111 6 M78 00003 001*")-SUMIFS(D299:D1057,K299:K1057,"0",B299:B1057,"2 1 1 9 9 12 31111 6 M78 00003 001*")</f>
        <v>15000</v>
      </c>
      <c r="F298" s="31">
        <f>SUMIFS(F299:F1057,K299:K1057,"0",B299:B1057,"2 1 1 9 9 12 31111 6 M78 00003 001*")</f>
        <v>415000</v>
      </c>
      <c r="G298" s="31">
        <f>SUMIFS(G299:G1057,K299:K1057,"0",B299:B1057,"2 1 1 9 9 12 31111 6 M78 00003 001*")</f>
        <v>400000</v>
      </c>
      <c r="H298" s="31"/>
      <c r="I298" s="31">
        <f t="shared" ref="I298:I329" si="6">E298 - F298 + G298</f>
        <v>0</v>
      </c>
      <c r="K298" t="s">
        <v>14</v>
      </c>
    </row>
    <row r="299" spans="2:11" ht="13" x14ac:dyDescent="0.15">
      <c r="B299" s="27" t="s">
        <v>463</v>
      </c>
      <c r="C299" s="27" t="s">
        <v>464</v>
      </c>
      <c r="D299" s="30"/>
      <c r="E299" s="30">
        <v>15000</v>
      </c>
      <c r="F299" s="30">
        <v>15000</v>
      </c>
      <c r="G299" s="30">
        <v>0</v>
      </c>
      <c r="H299" s="30"/>
      <c r="I299" s="30">
        <f t="shared" si="6"/>
        <v>0</v>
      </c>
      <c r="K299" t="s">
        <v>38</v>
      </c>
    </row>
    <row r="300" spans="2:11" ht="13" x14ac:dyDescent="0.15">
      <c r="B300" s="27" t="s">
        <v>465</v>
      </c>
      <c r="C300" s="27" t="s">
        <v>466</v>
      </c>
      <c r="D300" s="30"/>
      <c r="E300" s="30">
        <v>0</v>
      </c>
      <c r="F300" s="30">
        <v>400000</v>
      </c>
      <c r="G300" s="30">
        <v>400000</v>
      </c>
      <c r="H300" s="30"/>
      <c r="I300" s="30">
        <f t="shared" si="6"/>
        <v>0</v>
      </c>
      <c r="K300" t="s">
        <v>38</v>
      </c>
    </row>
    <row r="301" spans="2:11" ht="13" x14ac:dyDescent="0.15">
      <c r="B301" s="29" t="s">
        <v>467</v>
      </c>
      <c r="C301" s="29" t="s">
        <v>468</v>
      </c>
      <c r="D301"/>
      <c r="E301" s="31">
        <f>SUMIFS(E302:E1057,K302:K1057,"0",B302:B1057,"2 1 2*")-SUMIFS(D302:D1057,K302:K1057,"0",B302:B1057,"2 1 2*")</f>
        <v>0</v>
      </c>
      <c r="F301" s="31">
        <f>SUMIFS(F302:F1057,K302:K1057,"0",B302:B1057,"2 1 2*")</f>
        <v>0</v>
      </c>
      <c r="G301" s="31">
        <f>SUMIFS(G302:G1057,K302:K1057,"0",B302:B1057,"2 1 2*")</f>
        <v>0</v>
      </c>
      <c r="H301" s="31"/>
      <c r="I301" s="31">
        <f t="shared" si="6"/>
        <v>0</v>
      </c>
      <c r="K301" t="s">
        <v>14</v>
      </c>
    </row>
    <row r="302" spans="2:11" ht="13" x14ac:dyDescent="0.15">
      <c r="B302" s="29" t="s">
        <v>469</v>
      </c>
      <c r="C302" s="29" t="s">
        <v>470</v>
      </c>
      <c r="D302"/>
      <c r="E302" s="31">
        <f>SUMIFS(E303:E1057,K303:K1057,"0",B303:B1057,"2 1 3*")-SUMIFS(D303:D1057,K303:K1057,"0",B303:B1057,"2 1 3*")</f>
        <v>0</v>
      </c>
      <c r="F302" s="31">
        <f>SUMIFS(F303:F1057,K303:K1057,"0",B303:B1057,"2 1 3*")</f>
        <v>0</v>
      </c>
      <c r="G302" s="31">
        <f>SUMIFS(G303:G1057,K303:K1057,"0",B303:B1057,"2 1 3*")</f>
        <v>0</v>
      </c>
      <c r="H302" s="31"/>
      <c r="I302" s="31">
        <f t="shared" si="6"/>
        <v>0</v>
      </c>
      <c r="K302" t="s">
        <v>14</v>
      </c>
    </row>
    <row r="303" spans="2:11" ht="13" x14ac:dyDescent="0.15">
      <c r="B303" s="29" t="s">
        <v>471</v>
      </c>
      <c r="C303" s="29" t="s">
        <v>472</v>
      </c>
      <c r="D303"/>
      <c r="E303" s="31">
        <f>SUMIFS(E304:E1057,K304:K1057,"0",B304:B1057,"2 1 4*")-SUMIFS(D304:D1057,K304:K1057,"0",B304:B1057,"2 1 4*")</f>
        <v>0</v>
      </c>
      <c r="F303" s="31">
        <f>SUMIFS(F304:F1057,K304:K1057,"0",B304:B1057,"2 1 4*")</f>
        <v>0</v>
      </c>
      <c r="G303" s="31">
        <f>SUMIFS(G304:G1057,K304:K1057,"0",B304:B1057,"2 1 4*")</f>
        <v>0</v>
      </c>
      <c r="H303" s="31"/>
      <c r="I303" s="31">
        <f t="shared" si="6"/>
        <v>0</v>
      </c>
      <c r="K303" t="s">
        <v>14</v>
      </c>
    </row>
    <row r="304" spans="2:11" ht="13" x14ac:dyDescent="0.15">
      <c r="B304" s="29" t="s">
        <v>473</v>
      </c>
      <c r="C304" s="29" t="s">
        <v>474</v>
      </c>
      <c r="D304"/>
      <c r="E304" s="31">
        <f>SUMIFS(E305:E1057,K305:K1057,"0",B305:B1057,"2 1 5*")-SUMIFS(D305:D1057,K305:K1057,"0",B305:B1057,"2 1 5*")</f>
        <v>0</v>
      </c>
      <c r="F304" s="31">
        <f>SUMIFS(F305:F1057,K305:K1057,"0",B305:B1057,"2 1 5*")</f>
        <v>0</v>
      </c>
      <c r="G304" s="31">
        <f>SUMIFS(G305:G1057,K305:K1057,"0",B305:B1057,"2 1 5*")</f>
        <v>0</v>
      </c>
      <c r="H304" s="31"/>
      <c r="I304" s="31">
        <f t="shared" si="6"/>
        <v>0</v>
      </c>
      <c r="K304" t="s">
        <v>14</v>
      </c>
    </row>
    <row r="305" spans="2:11" ht="22" x14ac:dyDescent="0.15">
      <c r="B305" s="29" t="s">
        <v>475</v>
      </c>
      <c r="C305" s="29" t="s">
        <v>476</v>
      </c>
      <c r="D305"/>
      <c r="E305" s="31">
        <f>SUMIFS(E306:E1057,K306:K1057,"0",B306:B1057,"2 1 6*")-SUMIFS(D306:D1057,K306:K1057,"0",B306:B1057,"2 1 6*")</f>
        <v>0</v>
      </c>
      <c r="F305" s="31">
        <f>SUMIFS(F306:F1057,K306:K1057,"0",B306:B1057,"2 1 6*")</f>
        <v>0</v>
      </c>
      <c r="G305" s="31">
        <f>SUMIFS(G306:G1057,K306:K1057,"0",B306:B1057,"2 1 6*")</f>
        <v>0</v>
      </c>
      <c r="H305" s="31"/>
      <c r="I305" s="31">
        <f t="shared" si="6"/>
        <v>0</v>
      </c>
      <c r="K305" t="s">
        <v>14</v>
      </c>
    </row>
    <row r="306" spans="2:11" ht="13" x14ac:dyDescent="0.15">
      <c r="B306" s="29" t="s">
        <v>477</v>
      </c>
      <c r="C306" s="29" t="s">
        <v>478</v>
      </c>
      <c r="D306"/>
      <c r="E306" s="31">
        <f>SUMIFS(E307:E1057,K307:K1057,"0",B307:B1057,"2 1 7*")-SUMIFS(D307:D1057,K307:K1057,"0",B307:B1057,"2 1 7*")</f>
        <v>0</v>
      </c>
      <c r="F306" s="31">
        <f>SUMIFS(F307:F1057,K307:K1057,"0",B307:B1057,"2 1 7*")</f>
        <v>0</v>
      </c>
      <c r="G306" s="31">
        <f>SUMIFS(G307:G1057,K307:K1057,"0",B307:B1057,"2 1 7*")</f>
        <v>0</v>
      </c>
      <c r="H306" s="31"/>
      <c r="I306" s="31">
        <f t="shared" si="6"/>
        <v>0</v>
      </c>
      <c r="K306" t="s">
        <v>14</v>
      </c>
    </row>
    <row r="307" spans="2:11" ht="13" x14ac:dyDescent="0.15">
      <c r="B307" s="29" t="s">
        <v>479</v>
      </c>
      <c r="C307" s="29" t="s">
        <v>480</v>
      </c>
      <c r="D307"/>
      <c r="E307" s="31">
        <f>SUMIFS(E308:E1057,K308:K1057,"0",B308:B1057,"2 1 9*")-SUMIFS(D308:D1057,K308:K1057,"0",B308:B1057,"2 1 9*")</f>
        <v>0</v>
      </c>
      <c r="F307" s="31">
        <f>SUMIFS(F308:F1057,K308:K1057,"0",B308:B1057,"2 1 9*")</f>
        <v>0</v>
      </c>
      <c r="G307" s="31">
        <f>SUMIFS(G308:G1057,K308:K1057,"0",B308:B1057,"2 1 9*")</f>
        <v>0</v>
      </c>
      <c r="H307" s="31"/>
      <c r="I307" s="31">
        <f t="shared" si="6"/>
        <v>0</v>
      </c>
      <c r="K307" t="s">
        <v>14</v>
      </c>
    </row>
    <row r="308" spans="2:11" ht="13" x14ac:dyDescent="0.15">
      <c r="B308" s="29" t="s">
        <v>481</v>
      </c>
      <c r="C308" s="29" t="s">
        <v>482</v>
      </c>
      <c r="D308"/>
      <c r="E308" s="31">
        <f>SUMIFS(E309:E1057,K309:K1057,"0",B309:B1057,"2 2*")-SUMIFS(D309:D1057,K309:K1057,"0",B309:B1057,"2 2*")</f>
        <v>0</v>
      </c>
      <c r="F308" s="31">
        <f>SUMIFS(F309:F1057,K309:K1057,"0",B309:B1057,"2 2*")</f>
        <v>0</v>
      </c>
      <c r="G308" s="31">
        <f>SUMIFS(G309:G1057,K309:K1057,"0",B309:B1057,"2 2*")</f>
        <v>0</v>
      </c>
      <c r="H308" s="31"/>
      <c r="I308" s="31">
        <f t="shared" si="6"/>
        <v>0</v>
      </c>
      <c r="K308" t="s">
        <v>14</v>
      </c>
    </row>
    <row r="309" spans="2:11" ht="13" x14ac:dyDescent="0.15">
      <c r="B309" s="29" t="s">
        <v>483</v>
      </c>
      <c r="C309" s="29" t="s">
        <v>484</v>
      </c>
      <c r="D309"/>
      <c r="E309" s="31">
        <f>SUMIFS(E310:E1057,K310:K1057,"0",B310:B1057,"2 2 1*")-SUMIFS(D310:D1057,K310:K1057,"0",B310:B1057,"2 2 1*")</f>
        <v>0</v>
      </c>
      <c r="F309" s="31">
        <f>SUMIFS(F310:F1057,K310:K1057,"0",B310:B1057,"2 2 1*")</f>
        <v>0</v>
      </c>
      <c r="G309" s="31">
        <f>SUMIFS(G310:G1057,K310:K1057,"0",B310:B1057,"2 2 1*")</f>
        <v>0</v>
      </c>
      <c r="H309" s="31"/>
      <c r="I309" s="31">
        <f t="shared" si="6"/>
        <v>0</v>
      </c>
      <c r="K309" t="s">
        <v>14</v>
      </c>
    </row>
    <row r="310" spans="2:11" ht="13" x14ac:dyDescent="0.15">
      <c r="B310" s="29" t="s">
        <v>485</v>
      </c>
      <c r="C310" s="29" t="s">
        <v>486</v>
      </c>
      <c r="D310"/>
      <c r="E310" s="31">
        <f>SUMIFS(E311:E1057,K311:K1057,"0",B311:B1057,"2 2 2*")-SUMIFS(D311:D1057,K311:K1057,"0",B311:B1057,"2 2 2*")</f>
        <v>0</v>
      </c>
      <c r="F310" s="31">
        <f>SUMIFS(F311:F1057,K311:K1057,"0",B311:B1057,"2 2 2*")</f>
        <v>0</v>
      </c>
      <c r="G310" s="31">
        <f>SUMIFS(G311:G1057,K311:K1057,"0",B311:B1057,"2 2 2*")</f>
        <v>0</v>
      </c>
      <c r="H310" s="31"/>
      <c r="I310" s="31">
        <f t="shared" si="6"/>
        <v>0</v>
      </c>
      <c r="K310" t="s">
        <v>14</v>
      </c>
    </row>
    <row r="311" spans="2:11" ht="13" x14ac:dyDescent="0.15">
      <c r="B311" s="29" t="s">
        <v>487</v>
      </c>
      <c r="C311" s="29" t="s">
        <v>488</v>
      </c>
      <c r="D311"/>
      <c r="E311" s="31">
        <f>SUMIFS(E312:E1057,K312:K1057,"0",B312:B1057,"2 2 3*")-SUMIFS(D312:D1057,K312:K1057,"0",B312:B1057,"2 2 3*")</f>
        <v>0</v>
      </c>
      <c r="F311" s="31">
        <f>SUMIFS(F312:F1057,K312:K1057,"0",B312:B1057,"2 2 3*")</f>
        <v>0</v>
      </c>
      <c r="G311" s="31">
        <f>SUMIFS(G312:G1057,K312:K1057,"0",B312:B1057,"2 2 3*")</f>
        <v>0</v>
      </c>
      <c r="H311" s="31"/>
      <c r="I311" s="31">
        <f t="shared" si="6"/>
        <v>0</v>
      </c>
      <c r="K311" t="s">
        <v>14</v>
      </c>
    </row>
    <row r="312" spans="2:11" ht="13" x14ac:dyDescent="0.15">
      <c r="B312" s="29" t="s">
        <v>489</v>
      </c>
      <c r="C312" s="29" t="s">
        <v>490</v>
      </c>
      <c r="D312"/>
      <c r="E312" s="31">
        <f>SUMIFS(E313:E1057,K313:K1057,"0",B313:B1057,"2 2 4*")-SUMIFS(D313:D1057,K313:K1057,"0",B313:B1057,"2 2 4*")</f>
        <v>0</v>
      </c>
      <c r="F312" s="31">
        <f>SUMIFS(F313:F1057,K313:K1057,"0",B313:B1057,"2 2 4*")</f>
        <v>0</v>
      </c>
      <c r="G312" s="31">
        <f>SUMIFS(G313:G1057,K313:K1057,"0",B313:B1057,"2 2 4*")</f>
        <v>0</v>
      </c>
      <c r="H312" s="31"/>
      <c r="I312" s="31">
        <f t="shared" si="6"/>
        <v>0</v>
      </c>
      <c r="K312" t="s">
        <v>14</v>
      </c>
    </row>
    <row r="313" spans="2:11" ht="22" x14ac:dyDescent="0.15">
      <c r="B313" s="29" t="s">
        <v>491</v>
      </c>
      <c r="C313" s="29" t="s">
        <v>492</v>
      </c>
      <c r="D313"/>
      <c r="E313" s="31">
        <f>SUMIFS(E314:E1057,K314:K1057,"0",B314:B1057,"2 2 5*")-SUMIFS(D314:D1057,K314:K1057,"0",B314:B1057,"2 2 5*")</f>
        <v>0</v>
      </c>
      <c r="F313" s="31">
        <f>SUMIFS(F314:F1057,K314:K1057,"0",B314:B1057,"2 2 5*")</f>
        <v>0</v>
      </c>
      <c r="G313" s="31">
        <f>SUMIFS(G314:G1057,K314:K1057,"0",B314:B1057,"2 2 5*")</f>
        <v>0</v>
      </c>
      <c r="H313" s="31"/>
      <c r="I313" s="31">
        <f t="shared" si="6"/>
        <v>0</v>
      </c>
      <c r="K313" t="s">
        <v>14</v>
      </c>
    </row>
    <row r="314" spans="2:11" ht="13" x14ac:dyDescent="0.15">
      <c r="B314" s="29" t="s">
        <v>493</v>
      </c>
      <c r="C314" s="29" t="s">
        <v>494</v>
      </c>
      <c r="D314"/>
      <c r="E314" s="31">
        <f>SUMIFS(E315:E1057,K315:K1057,"0",B315:B1057,"2 2 6*")-SUMIFS(D315:D1057,K315:K1057,"0",B315:B1057,"2 2 6*")</f>
        <v>0</v>
      </c>
      <c r="F314" s="31">
        <f>SUMIFS(F315:F1057,K315:K1057,"0",B315:B1057,"2 2 6*")</f>
        <v>0</v>
      </c>
      <c r="G314" s="31">
        <f>SUMIFS(G315:G1057,K315:K1057,"0",B315:B1057,"2 2 6*")</f>
        <v>0</v>
      </c>
      <c r="H314" s="31"/>
      <c r="I314" s="31">
        <f t="shared" si="6"/>
        <v>0</v>
      </c>
      <c r="K314" t="s">
        <v>14</v>
      </c>
    </row>
    <row r="315" spans="2:11" ht="13" x14ac:dyDescent="0.15">
      <c r="B315" s="29" t="s">
        <v>495</v>
      </c>
      <c r="C315" s="29" t="s">
        <v>496</v>
      </c>
      <c r="D315"/>
      <c r="E315" s="31">
        <f>SUMIFS(E316:E1057,K316:K1057,"0",B316:B1057,"3*")-SUMIFS(D316:D1057,K316:K1057,"0",B316:B1057,"3*")</f>
        <v>2801274.31</v>
      </c>
      <c r="F315" s="31">
        <f>SUMIFS(F316:F1057,K316:K1057,"0",B316:B1057,"3*")</f>
        <v>928565.52</v>
      </c>
      <c r="G315" s="31">
        <f>SUMIFS(G316:G1057,K316:K1057,"0",B316:B1057,"3*")</f>
        <v>218540</v>
      </c>
      <c r="H315" s="31"/>
      <c r="I315" s="31">
        <f t="shared" si="6"/>
        <v>2091248.79</v>
      </c>
      <c r="K315" t="s">
        <v>14</v>
      </c>
    </row>
    <row r="316" spans="2:11" ht="13" x14ac:dyDescent="0.15">
      <c r="B316" s="29" t="s">
        <v>497</v>
      </c>
      <c r="C316" s="29" t="s">
        <v>498</v>
      </c>
      <c r="D316"/>
      <c r="E316" s="31">
        <f>SUMIFS(E317:E1057,K317:K1057,"0",B317:B1057,"3 1*")-SUMIFS(D317:D1057,K317:K1057,"0",B317:B1057,"3 1*")</f>
        <v>1479343.47</v>
      </c>
      <c r="F316" s="31">
        <f>SUMIFS(F317:F1057,K317:K1057,"0",B317:B1057,"3 1*")</f>
        <v>0</v>
      </c>
      <c r="G316" s="31">
        <f>SUMIFS(G317:G1057,K317:K1057,"0",B317:B1057,"3 1*")</f>
        <v>0</v>
      </c>
      <c r="H316" s="31"/>
      <c r="I316" s="31">
        <f t="shared" si="6"/>
        <v>1479343.47</v>
      </c>
      <c r="K316" t="s">
        <v>14</v>
      </c>
    </row>
    <row r="317" spans="2:11" ht="13" x14ac:dyDescent="0.15">
      <c r="B317" s="29" t="s">
        <v>499</v>
      </c>
      <c r="C317" s="29" t="s">
        <v>500</v>
      </c>
      <c r="D317"/>
      <c r="E317" s="31">
        <f>SUMIFS(E318:E1057,K318:K1057,"0",B318:B1057,"3 1 1*")-SUMIFS(D318:D1057,K318:K1057,"0",B318:B1057,"3 1 1*")</f>
        <v>1479343.47</v>
      </c>
      <c r="F317" s="31">
        <f>SUMIFS(F318:F1057,K318:K1057,"0",B318:B1057,"3 1 1*")</f>
        <v>0</v>
      </c>
      <c r="G317" s="31">
        <f>SUMIFS(G318:G1057,K318:K1057,"0",B318:B1057,"3 1 1*")</f>
        <v>0</v>
      </c>
      <c r="H317" s="31"/>
      <c r="I317" s="31">
        <f t="shared" si="6"/>
        <v>1479343.47</v>
      </c>
      <c r="K317" t="s">
        <v>14</v>
      </c>
    </row>
    <row r="318" spans="2:11" ht="13" x14ac:dyDescent="0.15">
      <c r="B318" s="29" t="s">
        <v>501</v>
      </c>
      <c r="C318" s="29" t="s">
        <v>500</v>
      </c>
      <c r="D318"/>
      <c r="E318" s="31">
        <f>SUMIFS(E319:E1057,K319:K1057,"0",B319:B1057,"3 1 1 1*")-SUMIFS(D319:D1057,K319:K1057,"0",B319:B1057,"3 1 1 1*")</f>
        <v>1479343.47</v>
      </c>
      <c r="F318" s="31">
        <f>SUMIFS(F319:F1057,K319:K1057,"0",B319:B1057,"3 1 1 1*")</f>
        <v>0</v>
      </c>
      <c r="G318" s="31">
        <f>SUMIFS(G319:G1057,K319:K1057,"0",B319:B1057,"3 1 1 1*")</f>
        <v>0</v>
      </c>
      <c r="H318" s="31"/>
      <c r="I318" s="31">
        <f t="shared" si="6"/>
        <v>1479343.47</v>
      </c>
      <c r="K318" t="s">
        <v>14</v>
      </c>
    </row>
    <row r="319" spans="2:11" ht="13" x14ac:dyDescent="0.15">
      <c r="B319" s="29" t="s">
        <v>502</v>
      </c>
      <c r="C319" s="29" t="s">
        <v>500</v>
      </c>
      <c r="D319"/>
      <c r="E319" s="31">
        <f>SUMIFS(E320:E1057,K320:K1057,"0",B320:B1057,"3 1 1 1 1*")-SUMIFS(D320:D1057,K320:K1057,"0",B320:B1057,"3 1 1 1 1*")</f>
        <v>1479343.47</v>
      </c>
      <c r="F319" s="31">
        <f>SUMIFS(F320:F1057,K320:K1057,"0",B320:B1057,"3 1 1 1 1*")</f>
        <v>0</v>
      </c>
      <c r="G319" s="31">
        <f>SUMIFS(G320:G1057,K320:K1057,"0",B320:B1057,"3 1 1 1 1*")</f>
        <v>0</v>
      </c>
      <c r="H319" s="31"/>
      <c r="I319" s="31">
        <f t="shared" si="6"/>
        <v>1479343.47</v>
      </c>
      <c r="K319" t="s">
        <v>14</v>
      </c>
    </row>
    <row r="320" spans="2:11" ht="13" x14ac:dyDescent="0.15">
      <c r="B320" s="29" t="s">
        <v>503</v>
      </c>
      <c r="C320" s="29" t="s">
        <v>25</v>
      </c>
      <c r="D320"/>
      <c r="E320" s="31">
        <f>SUMIFS(E321:E1057,K321:K1057,"0",B321:B1057,"3 1 1 1 1 12*")-SUMIFS(D321:D1057,K321:K1057,"0",B321:B1057,"3 1 1 1 1 12*")</f>
        <v>1479343.47</v>
      </c>
      <c r="F320" s="31">
        <f>SUMIFS(F321:F1057,K321:K1057,"0",B321:B1057,"3 1 1 1 1 12*")</f>
        <v>0</v>
      </c>
      <c r="G320" s="31">
        <f>SUMIFS(G321:G1057,K321:K1057,"0",B321:B1057,"3 1 1 1 1 12*")</f>
        <v>0</v>
      </c>
      <c r="H320" s="31"/>
      <c r="I320" s="31">
        <f t="shared" si="6"/>
        <v>1479343.47</v>
      </c>
      <c r="K320" t="s">
        <v>14</v>
      </c>
    </row>
    <row r="321" spans="2:11" ht="13" x14ac:dyDescent="0.15">
      <c r="B321" s="29" t="s">
        <v>504</v>
      </c>
      <c r="C321" s="29" t="s">
        <v>27</v>
      </c>
      <c r="D321"/>
      <c r="E321" s="31">
        <f>SUMIFS(E322:E1057,K322:K1057,"0",B322:B1057,"3 1 1 1 1 12 31111*")-SUMIFS(D322:D1057,K322:K1057,"0",B322:B1057,"3 1 1 1 1 12 31111*")</f>
        <v>1479343.47</v>
      </c>
      <c r="F321" s="31">
        <f>SUMIFS(F322:F1057,K322:K1057,"0",B322:B1057,"3 1 1 1 1 12 31111*")</f>
        <v>0</v>
      </c>
      <c r="G321" s="31">
        <f>SUMIFS(G322:G1057,K322:K1057,"0",B322:B1057,"3 1 1 1 1 12 31111*")</f>
        <v>0</v>
      </c>
      <c r="H321" s="31"/>
      <c r="I321" s="31">
        <f t="shared" si="6"/>
        <v>1479343.47</v>
      </c>
      <c r="K321" t="s">
        <v>14</v>
      </c>
    </row>
    <row r="322" spans="2:11" ht="13" x14ac:dyDescent="0.15">
      <c r="B322" s="29" t="s">
        <v>505</v>
      </c>
      <c r="C322" s="29" t="s">
        <v>29</v>
      </c>
      <c r="D322"/>
      <c r="E322" s="31">
        <f>SUMIFS(E323:E1057,K323:K1057,"0",B323:B1057,"3 1 1 1 1 12 31111 6*")-SUMIFS(D323:D1057,K323:K1057,"0",B323:B1057,"3 1 1 1 1 12 31111 6*")</f>
        <v>1479343.47</v>
      </c>
      <c r="F322" s="31">
        <f>SUMIFS(F323:F1057,K323:K1057,"0",B323:B1057,"3 1 1 1 1 12 31111 6*")</f>
        <v>0</v>
      </c>
      <c r="G322" s="31">
        <f>SUMIFS(G323:G1057,K323:K1057,"0",B323:B1057,"3 1 1 1 1 12 31111 6*")</f>
        <v>0</v>
      </c>
      <c r="H322" s="31"/>
      <c r="I322" s="31">
        <f t="shared" si="6"/>
        <v>1479343.47</v>
      </c>
      <c r="K322" t="s">
        <v>14</v>
      </c>
    </row>
    <row r="323" spans="2:11" ht="13" x14ac:dyDescent="0.15">
      <c r="B323" s="29" t="s">
        <v>506</v>
      </c>
      <c r="C323" s="29" t="s">
        <v>31</v>
      </c>
      <c r="D323"/>
      <c r="E323" s="31">
        <f>SUMIFS(E324:E1057,K324:K1057,"0",B324:B1057,"3 1 1 1 1 12 31111 6 M78*")-SUMIFS(D324:D1057,K324:K1057,"0",B324:B1057,"3 1 1 1 1 12 31111 6 M78*")</f>
        <v>1479343.47</v>
      </c>
      <c r="F323" s="31">
        <f>SUMIFS(F324:F1057,K324:K1057,"0",B324:B1057,"3 1 1 1 1 12 31111 6 M78*")</f>
        <v>0</v>
      </c>
      <c r="G323" s="31">
        <f>SUMIFS(G324:G1057,K324:K1057,"0",B324:B1057,"3 1 1 1 1 12 31111 6 M78*")</f>
        <v>0</v>
      </c>
      <c r="H323" s="31"/>
      <c r="I323" s="31">
        <f t="shared" si="6"/>
        <v>1479343.47</v>
      </c>
      <c r="K323" t="s">
        <v>14</v>
      </c>
    </row>
    <row r="324" spans="2:11" ht="13" x14ac:dyDescent="0.15">
      <c r="B324" s="27" t="s">
        <v>507</v>
      </c>
      <c r="C324" s="27" t="s">
        <v>110</v>
      </c>
      <c r="D324" s="30"/>
      <c r="E324" s="30">
        <v>1479343.47</v>
      </c>
      <c r="F324" s="30">
        <v>0</v>
      </c>
      <c r="G324" s="30">
        <v>0</v>
      </c>
      <c r="H324" s="30"/>
      <c r="I324" s="30">
        <f t="shared" si="6"/>
        <v>1479343.47</v>
      </c>
      <c r="K324" t="s">
        <v>38</v>
      </c>
    </row>
    <row r="325" spans="2:11" ht="13" x14ac:dyDescent="0.15">
      <c r="B325" s="29" t="s">
        <v>508</v>
      </c>
      <c r="C325" s="29" t="s">
        <v>509</v>
      </c>
      <c r="D325"/>
      <c r="E325" s="31">
        <f>SUMIFS(E326:E1057,K326:K1057,"0",B326:B1057,"3 1 2*")-SUMIFS(D326:D1057,K326:K1057,"0",B326:B1057,"3 1 2*")</f>
        <v>0</v>
      </c>
      <c r="F325" s="31">
        <f>SUMIFS(F326:F1057,K326:K1057,"0",B326:B1057,"3 1 2*")</f>
        <v>0</v>
      </c>
      <c r="G325" s="31">
        <f>SUMIFS(G326:G1057,K326:K1057,"0",B326:B1057,"3 1 2*")</f>
        <v>0</v>
      </c>
      <c r="H325" s="31"/>
      <c r="I325" s="31">
        <f t="shared" si="6"/>
        <v>0</v>
      </c>
      <c r="K325" t="s">
        <v>14</v>
      </c>
    </row>
    <row r="326" spans="2:11" ht="13" x14ac:dyDescent="0.15">
      <c r="B326" s="29" t="s">
        <v>510</v>
      </c>
      <c r="C326" s="29" t="s">
        <v>511</v>
      </c>
      <c r="D326"/>
      <c r="E326" s="31">
        <f>SUMIFS(E327:E1057,K327:K1057,"0",B327:B1057,"3 1 3*")-SUMIFS(D327:D1057,K327:K1057,"0",B327:B1057,"3 1 3*")</f>
        <v>0</v>
      </c>
      <c r="F326" s="31">
        <f>SUMIFS(F327:F1057,K327:K1057,"0",B327:B1057,"3 1 3*")</f>
        <v>0</v>
      </c>
      <c r="G326" s="31">
        <f>SUMIFS(G327:G1057,K327:K1057,"0",B327:B1057,"3 1 3*")</f>
        <v>0</v>
      </c>
      <c r="H326" s="31"/>
      <c r="I326" s="31">
        <f t="shared" si="6"/>
        <v>0</v>
      </c>
      <c r="K326" t="s">
        <v>14</v>
      </c>
    </row>
    <row r="327" spans="2:11" ht="13" x14ac:dyDescent="0.15">
      <c r="B327" s="29" t="s">
        <v>512</v>
      </c>
      <c r="C327" s="29" t="s">
        <v>513</v>
      </c>
      <c r="D327"/>
      <c r="E327" s="31">
        <f>SUMIFS(E328:E1057,K328:K1057,"0",B328:B1057,"3 2*")-SUMIFS(D328:D1057,K328:K1057,"0",B328:B1057,"3 2*")</f>
        <v>1321930.8400000001</v>
      </c>
      <c r="F327" s="31">
        <f>SUMIFS(F328:F1057,K328:K1057,"0",B328:B1057,"3 2*")</f>
        <v>928565.52</v>
      </c>
      <c r="G327" s="31">
        <f>SUMIFS(G328:G1057,K328:K1057,"0",B328:B1057,"3 2*")</f>
        <v>218540</v>
      </c>
      <c r="H327" s="31"/>
      <c r="I327" s="31">
        <f t="shared" si="6"/>
        <v>611905.32000000007</v>
      </c>
      <c r="K327" t="s">
        <v>14</v>
      </c>
    </row>
    <row r="328" spans="2:11" ht="13" x14ac:dyDescent="0.15">
      <c r="B328" s="29" t="s">
        <v>514</v>
      </c>
      <c r="C328" s="29" t="s">
        <v>515</v>
      </c>
      <c r="D328"/>
      <c r="E328" s="31">
        <f>SUMIFS(E329:E1057,K329:K1057,"0",B329:B1057,"3 2 1*")-SUMIFS(D329:D1057,K329:K1057,"0",B329:B1057,"3 2 1*")</f>
        <v>0</v>
      </c>
      <c r="F328" s="31">
        <f>SUMIFS(F329:F1057,K329:K1057,"0",B329:B1057,"3 2 1*")</f>
        <v>0</v>
      </c>
      <c r="G328" s="31">
        <f>SUMIFS(G329:G1057,K329:K1057,"0",B329:B1057,"3 2 1*")</f>
        <v>0</v>
      </c>
      <c r="H328" s="31"/>
      <c r="I328" s="31">
        <f t="shared" si="6"/>
        <v>0</v>
      </c>
      <c r="K328" t="s">
        <v>14</v>
      </c>
    </row>
    <row r="329" spans="2:11" ht="13" x14ac:dyDescent="0.15">
      <c r="B329" s="29" t="s">
        <v>516</v>
      </c>
      <c r="C329" s="29" t="s">
        <v>517</v>
      </c>
      <c r="D329"/>
      <c r="E329" s="31">
        <f>SUMIFS(E330:E1057,K330:K1057,"0",B330:B1057,"3 2 2*")-SUMIFS(D330:D1057,K330:K1057,"0",B330:B1057,"3 2 2*")</f>
        <v>1321930.8400000001</v>
      </c>
      <c r="F329" s="31">
        <f>SUMIFS(F330:F1057,K330:K1057,"0",B330:B1057,"3 2 2*")</f>
        <v>928565.52</v>
      </c>
      <c r="G329" s="31">
        <f>SUMIFS(G330:G1057,K330:K1057,"0",B330:B1057,"3 2 2*")</f>
        <v>218540</v>
      </c>
      <c r="H329" s="31"/>
      <c r="I329" s="31">
        <f t="shared" si="6"/>
        <v>611905.32000000007</v>
      </c>
      <c r="K329" t="s">
        <v>14</v>
      </c>
    </row>
    <row r="330" spans="2:11" ht="13" x14ac:dyDescent="0.15">
      <c r="B330" s="29" t="s">
        <v>518</v>
      </c>
      <c r="C330" s="29" t="s">
        <v>517</v>
      </c>
      <c r="D330"/>
      <c r="E330" s="31">
        <f>SUMIFS(E331:E1057,K331:K1057,"0",B331:B1057,"3 2 2 1*")-SUMIFS(D331:D1057,K331:K1057,"0",B331:B1057,"3 2 2 1*")</f>
        <v>1321930.8400000001</v>
      </c>
      <c r="F330" s="31">
        <f>SUMIFS(F331:F1057,K331:K1057,"0",B331:B1057,"3 2 2 1*")</f>
        <v>928565.52</v>
      </c>
      <c r="G330" s="31">
        <f>SUMIFS(G331:G1057,K331:K1057,"0",B331:B1057,"3 2 2 1*")</f>
        <v>218540</v>
      </c>
      <c r="H330" s="31"/>
      <c r="I330" s="31">
        <f t="shared" ref="I330:I361" si="7">E330 - F330 + G330</f>
        <v>611905.32000000007</v>
      </c>
      <c r="K330" t="s">
        <v>14</v>
      </c>
    </row>
    <row r="331" spans="2:11" ht="13" x14ac:dyDescent="0.15">
      <c r="B331" s="29" t="s">
        <v>519</v>
      </c>
      <c r="C331" s="29" t="s">
        <v>520</v>
      </c>
      <c r="D331"/>
      <c r="E331" s="31">
        <f>SUMIFS(E332:E1057,K332:K1057,"0",B332:B1057,"3 2 2 1 1*")-SUMIFS(D332:D1057,K332:K1057,"0",B332:B1057,"3 2 2 1 1*")</f>
        <v>1321930.8400000001</v>
      </c>
      <c r="F331" s="31">
        <f>SUMIFS(F332:F1057,K332:K1057,"0",B332:B1057,"3 2 2 1 1*")</f>
        <v>928565.52</v>
      </c>
      <c r="G331" s="31">
        <f>SUMIFS(G332:G1057,K332:K1057,"0",B332:B1057,"3 2 2 1 1*")</f>
        <v>218540</v>
      </c>
      <c r="H331" s="31"/>
      <c r="I331" s="31">
        <f t="shared" si="7"/>
        <v>611905.32000000007</v>
      </c>
      <c r="K331" t="s">
        <v>14</v>
      </c>
    </row>
    <row r="332" spans="2:11" ht="13" x14ac:dyDescent="0.15">
      <c r="B332" s="29" t="s">
        <v>521</v>
      </c>
      <c r="C332" s="29" t="s">
        <v>25</v>
      </c>
      <c r="D332"/>
      <c r="E332" s="31">
        <f>SUMIFS(E333:E1057,K333:K1057,"0",B333:B1057,"3 2 2 1 1 12*")-SUMIFS(D333:D1057,K333:K1057,"0",B333:B1057,"3 2 2 1 1 12*")</f>
        <v>1321930.8400000001</v>
      </c>
      <c r="F332" s="31">
        <f>SUMIFS(F333:F1057,K333:K1057,"0",B333:B1057,"3 2 2 1 1 12*")</f>
        <v>928565.52</v>
      </c>
      <c r="G332" s="31">
        <f>SUMIFS(G333:G1057,K333:K1057,"0",B333:B1057,"3 2 2 1 1 12*")</f>
        <v>218540</v>
      </c>
      <c r="H332" s="31"/>
      <c r="I332" s="31">
        <f t="shared" si="7"/>
        <v>611905.32000000007</v>
      </c>
      <c r="K332" t="s">
        <v>14</v>
      </c>
    </row>
    <row r="333" spans="2:11" ht="13" x14ac:dyDescent="0.15">
      <c r="B333" s="29" t="s">
        <v>522</v>
      </c>
      <c r="C333" s="29" t="s">
        <v>27</v>
      </c>
      <c r="D333"/>
      <c r="E333" s="31">
        <f>SUMIFS(E334:E1057,K334:K1057,"0",B334:B1057,"3 2 2 1 1 12 31111*")-SUMIFS(D334:D1057,K334:K1057,"0",B334:B1057,"3 2 2 1 1 12 31111*")</f>
        <v>1321930.8400000001</v>
      </c>
      <c r="F333" s="31">
        <f>SUMIFS(F334:F1057,K334:K1057,"0",B334:B1057,"3 2 2 1 1 12 31111*")</f>
        <v>928565.52</v>
      </c>
      <c r="G333" s="31">
        <f>SUMIFS(G334:G1057,K334:K1057,"0",B334:B1057,"3 2 2 1 1 12 31111*")</f>
        <v>218540</v>
      </c>
      <c r="H333" s="31"/>
      <c r="I333" s="31">
        <f t="shared" si="7"/>
        <v>611905.32000000007</v>
      </c>
      <c r="K333" t="s">
        <v>14</v>
      </c>
    </row>
    <row r="334" spans="2:11" ht="13" x14ac:dyDescent="0.15">
      <c r="B334" s="29" t="s">
        <v>523</v>
      </c>
      <c r="C334" s="29" t="s">
        <v>29</v>
      </c>
      <c r="D334"/>
      <c r="E334" s="31">
        <f>SUMIFS(E335:E1057,K335:K1057,"0",B335:B1057,"3 2 2 1 1 12 31111 6*")-SUMIFS(D335:D1057,K335:K1057,"0",B335:B1057,"3 2 2 1 1 12 31111 6*")</f>
        <v>1321930.8400000001</v>
      </c>
      <c r="F334" s="31">
        <f>SUMIFS(F335:F1057,K335:K1057,"0",B335:B1057,"3 2 2 1 1 12 31111 6*")</f>
        <v>928565.52</v>
      </c>
      <c r="G334" s="31">
        <f>SUMIFS(G335:G1057,K335:K1057,"0",B335:B1057,"3 2 2 1 1 12 31111 6*")</f>
        <v>218540</v>
      </c>
      <c r="H334" s="31"/>
      <c r="I334" s="31">
        <f t="shared" si="7"/>
        <v>611905.32000000007</v>
      </c>
      <c r="K334" t="s">
        <v>14</v>
      </c>
    </row>
    <row r="335" spans="2:11" ht="13" x14ac:dyDescent="0.15">
      <c r="B335" s="29" t="s">
        <v>524</v>
      </c>
      <c r="C335" s="29" t="s">
        <v>31</v>
      </c>
      <c r="D335"/>
      <c r="E335" s="31">
        <f>SUMIFS(E336:E1057,K336:K1057,"0",B336:B1057,"3 2 2 1 1 12 31111 6 M78*")-SUMIFS(D336:D1057,K336:K1057,"0",B336:B1057,"3 2 2 1 1 12 31111 6 M78*")</f>
        <v>1321930.8400000001</v>
      </c>
      <c r="F335" s="31">
        <f>SUMIFS(F336:F1057,K336:K1057,"0",B336:B1057,"3 2 2 1 1 12 31111 6 M78*")</f>
        <v>928565.52</v>
      </c>
      <c r="G335" s="31">
        <f>SUMIFS(G336:G1057,K336:K1057,"0",B336:B1057,"3 2 2 1 1 12 31111 6 M78*")</f>
        <v>218540</v>
      </c>
      <c r="H335" s="31"/>
      <c r="I335" s="31">
        <f t="shared" si="7"/>
        <v>611905.32000000007</v>
      </c>
      <c r="K335" t="s">
        <v>14</v>
      </c>
    </row>
    <row r="336" spans="2:11" ht="13" x14ac:dyDescent="0.15">
      <c r="B336" s="27" t="s">
        <v>525</v>
      </c>
      <c r="C336" s="27" t="s">
        <v>110</v>
      </c>
      <c r="D336" s="30"/>
      <c r="E336" s="30">
        <v>1321930.8400000001</v>
      </c>
      <c r="F336" s="30">
        <v>928565.52</v>
      </c>
      <c r="G336" s="30">
        <v>218540</v>
      </c>
      <c r="H336" s="30"/>
      <c r="I336" s="30">
        <f t="shared" si="7"/>
        <v>611905.32000000007</v>
      </c>
      <c r="K336" t="s">
        <v>38</v>
      </c>
    </row>
    <row r="337" spans="2:11" ht="13" x14ac:dyDescent="0.15">
      <c r="B337" s="29" t="s">
        <v>526</v>
      </c>
      <c r="C337" s="29" t="s">
        <v>527</v>
      </c>
      <c r="D337"/>
      <c r="E337" s="31">
        <f>SUMIFS(E338:E1057,K338:K1057,"0",B338:B1057,"3 2 3*")-SUMIFS(D338:D1057,K338:K1057,"0",B338:B1057,"3 2 3*")</f>
        <v>0</v>
      </c>
      <c r="F337" s="31">
        <f>SUMIFS(F338:F1057,K338:K1057,"0",B338:B1057,"3 2 3*")</f>
        <v>0</v>
      </c>
      <c r="G337" s="31">
        <f>SUMIFS(G338:G1057,K338:K1057,"0",B338:B1057,"3 2 3*")</f>
        <v>0</v>
      </c>
      <c r="H337" s="31"/>
      <c r="I337" s="31">
        <f t="shared" si="7"/>
        <v>0</v>
      </c>
      <c r="K337" t="s">
        <v>14</v>
      </c>
    </row>
    <row r="338" spans="2:11" ht="13" x14ac:dyDescent="0.15">
      <c r="B338" s="29" t="s">
        <v>528</v>
      </c>
      <c r="C338" s="29" t="s">
        <v>529</v>
      </c>
      <c r="D338"/>
      <c r="E338" s="31">
        <f>SUMIFS(E339:E1057,K339:K1057,"0",B339:B1057,"3 2 4*")-SUMIFS(D339:D1057,K339:K1057,"0",B339:B1057,"3 2 4*")</f>
        <v>0</v>
      </c>
      <c r="F338" s="31">
        <f>SUMIFS(F339:F1057,K339:K1057,"0",B339:B1057,"3 2 4*")</f>
        <v>0</v>
      </c>
      <c r="G338" s="31">
        <f>SUMIFS(G339:G1057,K339:K1057,"0",B339:B1057,"3 2 4*")</f>
        <v>0</v>
      </c>
      <c r="H338" s="31"/>
      <c r="I338" s="31">
        <f t="shared" si="7"/>
        <v>0</v>
      </c>
      <c r="K338" t="s">
        <v>14</v>
      </c>
    </row>
    <row r="339" spans="2:11" ht="13" x14ac:dyDescent="0.15">
      <c r="B339" s="29" t="s">
        <v>530</v>
      </c>
      <c r="C339" s="29" t="s">
        <v>531</v>
      </c>
      <c r="D339"/>
      <c r="E339" s="31">
        <f>SUMIFS(E340:E1057,K340:K1057,"0",B340:B1057,"3 2 5*")-SUMIFS(D340:D1057,K340:K1057,"0",B340:B1057,"3 2 5*")</f>
        <v>0</v>
      </c>
      <c r="F339" s="31">
        <f>SUMIFS(F340:F1057,K340:K1057,"0",B340:B1057,"3 2 5*")</f>
        <v>0</v>
      </c>
      <c r="G339" s="31">
        <f>SUMIFS(G340:G1057,K340:K1057,"0",B340:B1057,"3 2 5*")</f>
        <v>0</v>
      </c>
      <c r="H339" s="31"/>
      <c r="I339" s="31">
        <f t="shared" si="7"/>
        <v>0</v>
      </c>
      <c r="K339" t="s">
        <v>14</v>
      </c>
    </row>
    <row r="340" spans="2:11" ht="13" x14ac:dyDescent="0.15">
      <c r="B340" s="29" t="s">
        <v>532</v>
      </c>
      <c r="C340" s="29" t="s">
        <v>533</v>
      </c>
      <c r="D340"/>
      <c r="E340" s="31">
        <f>SUMIFS(E341:E1057,K341:K1057,"0",B341:B1057,"3 3*")-SUMIFS(D341:D1057,K341:K1057,"0",B341:B1057,"3 3*")</f>
        <v>0</v>
      </c>
      <c r="F340" s="31">
        <f>SUMIFS(F341:F1057,K341:K1057,"0",B341:B1057,"3 3*")</f>
        <v>0</v>
      </c>
      <c r="G340" s="31">
        <f>SUMIFS(G341:G1057,K341:K1057,"0",B341:B1057,"3 3*")</f>
        <v>0</v>
      </c>
      <c r="H340" s="31"/>
      <c r="I340" s="31">
        <f t="shared" si="7"/>
        <v>0</v>
      </c>
      <c r="K340" t="s">
        <v>14</v>
      </c>
    </row>
    <row r="341" spans="2:11" ht="13" x14ac:dyDescent="0.15">
      <c r="B341" s="29" t="s">
        <v>534</v>
      </c>
      <c r="C341" s="29" t="s">
        <v>535</v>
      </c>
      <c r="D341"/>
      <c r="E341" s="31">
        <f>SUMIFS(E342:E1057,K342:K1057,"0",B342:B1057,"3 3 1*")-SUMIFS(D342:D1057,K342:K1057,"0",B342:B1057,"3 3 1*")</f>
        <v>0</v>
      </c>
      <c r="F341" s="31">
        <f>SUMIFS(F342:F1057,K342:K1057,"0",B342:B1057,"3 3 1*")</f>
        <v>0</v>
      </c>
      <c r="G341" s="31">
        <f>SUMIFS(G342:G1057,K342:K1057,"0",B342:B1057,"3 3 1*")</f>
        <v>0</v>
      </c>
      <c r="H341" s="31"/>
      <c r="I341" s="31">
        <f t="shared" si="7"/>
        <v>0</v>
      </c>
      <c r="K341" t="s">
        <v>14</v>
      </c>
    </row>
    <row r="342" spans="2:11" ht="13" x14ac:dyDescent="0.15">
      <c r="B342" s="29" t="s">
        <v>536</v>
      </c>
      <c r="C342" s="29" t="s">
        <v>537</v>
      </c>
      <c r="D342"/>
      <c r="E342" s="31">
        <f>SUMIFS(E343:E1057,K343:K1057,"0",B343:B1057,"3 3 2*")-SUMIFS(D343:D1057,K343:K1057,"0",B343:B1057,"3 3 2*")</f>
        <v>0</v>
      </c>
      <c r="F342" s="31">
        <f>SUMIFS(F343:F1057,K343:K1057,"0",B343:B1057,"3 3 2*")</f>
        <v>0</v>
      </c>
      <c r="G342" s="31">
        <f>SUMIFS(G343:G1057,K343:K1057,"0",B343:B1057,"3 3 2*")</f>
        <v>0</v>
      </c>
      <c r="H342" s="31"/>
      <c r="I342" s="31">
        <f t="shared" si="7"/>
        <v>0</v>
      </c>
      <c r="K342" t="s">
        <v>14</v>
      </c>
    </row>
    <row r="343" spans="2:11" ht="13" x14ac:dyDescent="0.15">
      <c r="B343" s="29" t="s">
        <v>538</v>
      </c>
      <c r="C343" s="29" t="s">
        <v>539</v>
      </c>
      <c r="D343"/>
      <c r="E343" s="31">
        <f>SUMIFS(E344:E1057,K344:K1057,"0",B344:B1057,"4*")-SUMIFS(D344:D1057,K344:K1057,"0",B344:B1057,"4*")</f>
        <v>0</v>
      </c>
      <c r="F343" s="31">
        <f>SUMIFS(F344:F1057,K344:K1057,"0",B344:B1057,"4*")</f>
        <v>0</v>
      </c>
      <c r="G343" s="31">
        <f>SUMIFS(G344:G1057,K344:K1057,"0",B344:B1057,"4*")</f>
        <v>11176009.879999999</v>
      </c>
      <c r="H343" s="31"/>
      <c r="I343" s="31">
        <f t="shared" si="7"/>
        <v>11176009.879999999</v>
      </c>
      <c r="K343" t="s">
        <v>14</v>
      </c>
    </row>
    <row r="344" spans="2:11" ht="13" x14ac:dyDescent="0.15">
      <c r="B344" s="29" t="s">
        <v>540</v>
      </c>
      <c r="C344" s="29" t="s">
        <v>541</v>
      </c>
      <c r="D344"/>
      <c r="E344" s="31">
        <f>SUMIFS(E345:E1057,K345:K1057,"0",B345:B1057,"4 1*")-SUMIFS(D345:D1057,K345:K1057,"0",B345:B1057,"4 1*")</f>
        <v>0</v>
      </c>
      <c r="F344" s="31">
        <f>SUMIFS(F345:F1057,K345:K1057,"0",B345:B1057,"4 1*")</f>
        <v>0</v>
      </c>
      <c r="G344" s="31">
        <f>SUMIFS(G345:G1057,K345:K1057,"0",B345:B1057,"4 1*")</f>
        <v>16436.84</v>
      </c>
      <c r="H344" s="31"/>
      <c r="I344" s="31">
        <f t="shared" si="7"/>
        <v>16436.84</v>
      </c>
      <c r="K344" t="s">
        <v>14</v>
      </c>
    </row>
    <row r="345" spans="2:11" ht="13" x14ac:dyDescent="0.15">
      <c r="B345" s="29" t="s">
        <v>542</v>
      </c>
      <c r="C345" s="29" t="s">
        <v>543</v>
      </c>
      <c r="D345"/>
      <c r="E345" s="31">
        <f>SUMIFS(E346:E1057,K346:K1057,"0",B346:B1057,"4 1 1*")-SUMIFS(D346:D1057,K346:K1057,"0",B346:B1057,"4 1 1*")</f>
        <v>0</v>
      </c>
      <c r="F345" s="31">
        <f>SUMIFS(F346:F1057,K346:K1057,"0",B346:B1057,"4 1 1*")</f>
        <v>0</v>
      </c>
      <c r="G345" s="31">
        <f>SUMIFS(G346:G1057,K346:K1057,"0",B346:B1057,"4 1 1*")</f>
        <v>0</v>
      </c>
      <c r="H345" s="31"/>
      <c r="I345" s="31">
        <f t="shared" si="7"/>
        <v>0</v>
      </c>
      <c r="K345" t="s">
        <v>14</v>
      </c>
    </row>
    <row r="346" spans="2:11" ht="13" x14ac:dyDescent="0.15">
      <c r="B346" s="29" t="s">
        <v>544</v>
      </c>
      <c r="C346" s="29" t="s">
        <v>545</v>
      </c>
      <c r="D346"/>
      <c r="E346" s="31">
        <f>SUMIFS(E347:E1057,K347:K1057,"0",B347:B1057,"4 1 2*")-SUMIFS(D347:D1057,K347:K1057,"0",B347:B1057,"4 1 2*")</f>
        <v>0</v>
      </c>
      <c r="F346" s="31">
        <f>SUMIFS(F347:F1057,K347:K1057,"0",B347:B1057,"4 1 2*")</f>
        <v>0</v>
      </c>
      <c r="G346" s="31">
        <f>SUMIFS(G347:G1057,K347:K1057,"0",B347:B1057,"4 1 2*")</f>
        <v>0</v>
      </c>
      <c r="H346" s="31"/>
      <c r="I346" s="31">
        <f t="shared" si="7"/>
        <v>0</v>
      </c>
      <c r="K346" t="s">
        <v>14</v>
      </c>
    </row>
    <row r="347" spans="2:11" ht="13" x14ac:dyDescent="0.15">
      <c r="B347" s="29" t="s">
        <v>546</v>
      </c>
      <c r="C347" s="29" t="s">
        <v>547</v>
      </c>
      <c r="D347"/>
      <c r="E347" s="31">
        <f>SUMIFS(E348:E1057,K348:K1057,"0",B348:B1057,"4 1 3*")-SUMIFS(D348:D1057,K348:K1057,"0",B348:B1057,"4 1 3*")</f>
        <v>0</v>
      </c>
      <c r="F347" s="31">
        <f>SUMIFS(F348:F1057,K348:K1057,"0",B348:B1057,"4 1 3*")</f>
        <v>0</v>
      </c>
      <c r="G347" s="31">
        <f>SUMIFS(G348:G1057,K348:K1057,"0",B348:B1057,"4 1 3*")</f>
        <v>0</v>
      </c>
      <c r="H347" s="31"/>
      <c r="I347" s="31">
        <f t="shared" si="7"/>
        <v>0</v>
      </c>
      <c r="K347" t="s">
        <v>14</v>
      </c>
    </row>
    <row r="348" spans="2:11" ht="13" x14ac:dyDescent="0.15">
      <c r="B348" s="29" t="s">
        <v>548</v>
      </c>
      <c r="C348" s="29" t="s">
        <v>549</v>
      </c>
      <c r="D348"/>
      <c r="E348" s="31">
        <f>SUMIFS(E349:E1057,K349:K1057,"0",B349:B1057,"4 1 4*")-SUMIFS(D349:D1057,K349:K1057,"0",B349:B1057,"4 1 4*")</f>
        <v>0</v>
      </c>
      <c r="F348" s="31">
        <f>SUMIFS(F349:F1057,K349:K1057,"0",B349:B1057,"4 1 4*")</f>
        <v>0</v>
      </c>
      <c r="G348" s="31">
        <f>SUMIFS(G349:G1057,K349:K1057,"0",B349:B1057,"4 1 4*")</f>
        <v>0</v>
      </c>
      <c r="H348" s="31"/>
      <c r="I348" s="31">
        <f t="shared" si="7"/>
        <v>0</v>
      </c>
      <c r="K348" t="s">
        <v>14</v>
      </c>
    </row>
    <row r="349" spans="2:11" ht="13" x14ac:dyDescent="0.15">
      <c r="B349" s="29" t="s">
        <v>550</v>
      </c>
      <c r="C349" s="29" t="s">
        <v>98</v>
      </c>
      <c r="D349"/>
      <c r="E349" s="31">
        <f>SUMIFS(E350:E1057,K350:K1057,"0",B350:B1057,"4 1 5*")-SUMIFS(D350:D1057,K350:K1057,"0",B350:B1057,"4 1 5*")</f>
        <v>0</v>
      </c>
      <c r="F349" s="31">
        <f>SUMIFS(F350:F1057,K350:K1057,"0",B350:B1057,"4 1 5*")</f>
        <v>0</v>
      </c>
      <c r="G349" s="31">
        <f>SUMIFS(G350:G1057,K350:K1057,"0",B350:B1057,"4 1 5*")</f>
        <v>16436.84</v>
      </c>
      <c r="H349" s="31"/>
      <c r="I349" s="31">
        <f t="shared" si="7"/>
        <v>16436.84</v>
      </c>
      <c r="K349" t="s">
        <v>14</v>
      </c>
    </row>
    <row r="350" spans="2:11" ht="13" x14ac:dyDescent="0.15">
      <c r="B350" s="29" t="s">
        <v>551</v>
      </c>
      <c r="C350" s="29" t="s">
        <v>98</v>
      </c>
      <c r="D350"/>
      <c r="E350" s="31">
        <f>SUMIFS(E351:E1057,K351:K1057,"0",B351:B1057,"4 1 5 1*")-SUMIFS(D351:D1057,K351:K1057,"0",B351:B1057,"4 1 5 1*")</f>
        <v>0</v>
      </c>
      <c r="F350" s="31">
        <f>SUMIFS(F351:F1057,K351:K1057,"0",B351:B1057,"4 1 5 1*")</f>
        <v>0</v>
      </c>
      <c r="G350" s="31">
        <f>SUMIFS(G351:G1057,K351:K1057,"0",B351:B1057,"4 1 5 1*")</f>
        <v>16436.84</v>
      </c>
      <c r="H350" s="31"/>
      <c r="I350" s="31">
        <f t="shared" si="7"/>
        <v>16436.84</v>
      </c>
      <c r="K350" t="s">
        <v>14</v>
      </c>
    </row>
    <row r="351" spans="2:11" ht="22" x14ac:dyDescent="0.15">
      <c r="B351" s="29" t="s">
        <v>552</v>
      </c>
      <c r="C351" s="29" t="s">
        <v>553</v>
      </c>
      <c r="D351"/>
      <c r="E351" s="31">
        <f>SUMIFS(E352:E1057,K352:K1057,"0",B352:B1057,"4 1 5 1 1*")-SUMIFS(D352:D1057,K352:K1057,"0",B352:B1057,"4 1 5 1 1*")</f>
        <v>0</v>
      </c>
      <c r="F351" s="31">
        <f>SUMIFS(F352:F1057,K352:K1057,"0",B352:B1057,"4 1 5 1 1*")</f>
        <v>0</v>
      </c>
      <c r="G351" s="31">
        <f>SUMIFS(G352:G1057,K352:K1057,"0",B352:B1057,"4 1 5 1 1*")</f>
        <v>16436.84</v>
      </c>
      <c r="H351" s="31"/>
      <c r="I351" s="31">
        <f t="shared" si="7"/>
        <v>16436.84</v>
      </c>
      <c r="K351" t="s">
        <v>14</v>
      </c>
    </row>
    <row r="352" spans="2:11" ht="13" x14ac:dyDescent="0.15">
      <c r="B352" s="29" t="s">
        <v>554</v>
      </c>
      <c r="C352" s="29" t="s">
        <v>25</v>
      </c>
      <c r="D352"/>
      <c r="E352" s="31">
        <f>SUMIFS(E353:E1057,K353:K1057,"0",B353:B1057,"4 1 5 1 1 12*")-SUMIFS(D353:D1057,K353:K1057,"0",B353:B1057,"4 1 5 1 1 12*")</f>
        <v>0</v>
      </c>
      <c r="F352" s="31">
        <f>SUMIFS(F353:F1057,K353:K1057,"0",B353:B1057,"4 1 5 1 1 12*")</f>
        <v>0</v>
      </c>
      <c r="G352" s="31">
        <f>SUMIFS(G353:G1057,K353:K1057,"0",B353:B1057,"4 1 5 1 1 12*")</f>
        <v>16436.84</v>
      </c>
      <c r="H352" s="31"/>
      <c r="I352" s="31">
        <f t="shared" si="7"/>
        <v>16436.84</v>
      </c>
      <c r="K352" t="s">
        <v>14</v>
      </c>
    </row>
    <row r="353" spans="2:11" ht="13" x14ac:dyDescent="0.15">
      <c r="B353" s="29" t="s">
        <v>555</v>
      </c>
      <c r="C353" s="29" t="s">
        <v>27</v>
      </c>
      <c r="D353"/>
      <c r="E353" s="31">
        <f>SUMIFS(E354:E1057,K354:K1057,"0",B354:B1057,"4 1 5 1 1 12 31111*")-SUMIFS(D354:D1057,K354:K1057,"0",B354:B1057,"4 1 5 1 1 12 31111*")</f>
        <v>0</v>
      </c>
      <c r="F353" s="31">
        <f>SUMIFS(F354:F1057,K354:K1057,"0",B354:B1057,"4 1 5 1 1 12 31111*")</f>
        <v>0</v>
      </c>
      <c r="G353" s="31">
        <f>SUMIFS(G354:G1057,K354:K1057,"0",B354:B1057,"4 1 5 1 1 12 31111*")</f>
        <v>16436.84</v>
      </c>
      <c r="H353" s="31"/>
      <c r="I353" s="31">
        <f t="shared" si="7"/>
        <v>16436.84</v>
      </c>
      <c r="K353" t="s">
        <v>14</v>
      </c>
    </row>
    <row r="354" spans="2:11" ht="13" x14ac:dyDescent="0.15">
      <c r="B354" s="29" t="s">
        <v>556</v>
      </c>
      <c r="C354" s="29" t="s">
        <v>29</v>
      </c>
      <c r="D354"/>
      <c r="E354" s="31">
        <f>SUMIFS(E355:E1057,K355:K1057,"0",B355:B1057,"4 1 5 1 1 12 31111 6*")-SUMIFS(D355:D1057,K355:K1057,"0",B355:B1057,"4 1 5 1 1 12 31111 6*")</f>
        <v>0</v>
      </c>
      <c r="F354" s="31">
        <f>SUMIFS(F355:F1057,K355:K1057,"0",B355:B1057,"4 1 5 1 1 12 31111 6*")</f>
        <v>0</v>
      </c>
      <c r="G354" s="31">
        <f>SUMIFS(G355:G1057,K355:K1057,"0",B355:B1057,"4 1 5 1 1 12 31111 6*")</f>
        <v>16436.84</v>
      </c>
      <c r="H354" s="31"/>
      <c r="I354" s="31">
        <f t="shared" si="7"/>
        <v>16436.84</v>
      </c>
      <c r="K354" t="s">
        <v>14</v>
      </c>
    </row>
    <row r="355" spans="2:11" ht="13" x14ac:dyDescent="0.15">
      <c r="B355" s="29" t="s">
        <v>557</v>
      </c>
      <c r="C355" s="29" t="s">
        <v>108</v>
      </c>
      <c r="D355"/>
      <c r="E355" s="31">
        <f>SUMIFS(E356:E1057,K356:K1057,"0",B356:B1057,"4 1 5 1 1 12 31111 6 M78*")-SUMIFS(D356:D1057,K356:K1057,"0",B356:B1057,"4 1 5 1 1 12 31111 6 M78*")</f>
        <v>0</v>
      </c>
      <c r="F355" s="31">
        <f>SUMIFS(F356:F1057,K356:K1057,"0",B356:B1057,"4 1 5 1 1 12 31111 6 M78*")</f>
        <v>0</v>
      </c>
      <c r="G355" s="31">
        <f>SUMIFS(G356:G1057,K356:K1057,"0",B356:B1057,"4 1 5 1 1 12 31111 6 M78*")</f>
        <v>16436.84</v>
      </c>
      <c r="H355" s="31"/>
      <c r="I355" s="31">
        <f t="shared" si="7"/>
        <v>16436.84</v>
      </c>
      <c r="K355" t="s">
        <v>14</v>
      </c>
    </row>
    <row r="356" spans="2:11" ht="13" x14ac:dyDescent="0.15">
      <c r="B356" s="29" t="s">
        <v>558</v>
      </c>
      <c r="C356" s="29" t="s">
        <v>176</v>
      </c>
      <c r="D356"/>
      <c r="E356" s="31">
        <f>SUMIFS(E357:E1057,K357:K1057,"0",B357:B1057,"4 1 5 1 1 12 31111 6 M78 15000*")-SUMIFS(D357:D1057,K357:K1057,"0",B357:B1057,"4 1 5 1 1 12 31111 6 M78 15000*")</f>
        <v>0</v>
      </c>
      <c r="F356" s="31">
        <f>SUMIFS(F357:F1057,K357:K1057,"0",B357:B1057,"4 1 5 1 1 12 31111 6 M78 15000*")</f>
        <v>0</v>
      </c>
      <c r="G356" s="31">
        <f>SUMIFS(G357:G1057,K357:K1057,"0",B357:B1057,"4 1 5 1 1 12 31111 6 M78 15000*")</f>
        <v>16436.84</v>
      </c>
      <c r="H356" s="31"/>
      <c r="I356" s="31">
        <f t="shared" si="7"/>
        <v>16436.84</v>
      </c>
      <c r="K356" t="s">
        <v>14</v>
      </c>
    </row>
    <row r="357" spans="2:11" ht="13" x14ac:dyDescent="0.15">
      <c r="B357" s="29" t="s">
        <v>559</v>
      </c>
      <c r="C357" s="29" t="s">
        <v>178</v>
      </c>
      <c r="D357"/>
      <c r="E357" s="31">
        <f>SUMIFS(E358:E1057,K358:K1057,"0",B358:B1057,"4 1 5 1 1 12 31111 6 M78 15000 171*")-SUMIFS(D358:D1057,K358:K1057,"0",B358:B1057,"4 1 5 1 1 12 31111 6 M78 15000 171*")</f>
        <v>0</v>
      </c>
      <c r="F357" s="31">
        <f>SUMIFS(F358:F1057,K358:K1057,"0",B358:B1057,"4 1 5 1 1 12 31111 6 M78 15000 171*")</f>
        <v>0</v>
      </c>
      <c r="G357" s="31">
        <f>SUMIFS(G358:G1057,K358:K1057,"0",B358:B1057,"4 1 5 1 1 12 31111 6 M78 15000 171*")</f>
        <v>16436.84</v>
      </c>
      <c r="H357" s="31"/>
      <c r="I357" s="31">
        <f t="shared" si="7"/>
        <v>16436.84</v>
      </c>
      <c r="K357" t="s">
        <v>14</v>
      </c>
    </row>
    <row r="358" spans="2:11" ht="13" x14ac:dyDescent="0.15">
      <c r="B358" s="29" t="s">
        <v>560</v>
      </c>
      <c r="C358" s="29" t="s">
        <v>180</v>
      </c>
      <c r="D358"/>
      <c r="E358" s="31">
        <f>SUMIFS(E359:E1057,K359:K1057,"0",B359:B1057,"4 1 5 1 1 12 31111 6 M78 15000 171 00I*")-SUMIFS(D359:D1057,K359:K1057,"0",B359:B1057,"4 1 5 1 1 12 31111 6 M78 15000 171 00I*")</f>
        <v>0</v>
      </c>
      <c r="F358" s="31">
        <f>SUMIFS(F359:F1057,K359:K1057,"0",B359:B1057,"4 1 5 1 1 12 31111 6 M78 15000 171 00I*")</f>
        <v>0</v>
      </c>
      <c r="G358" s="31">
        <f>SUMIFS(G359:G1057,K359:K1057,"0",B359:B1057,"4 1 5 1 1 12 31111 6 M78 15000 171 00I*")</f>
        <v>16436.84</v>
      </c>
      <c r="H358" s="31"/>
      <c r="I358" s="31">
        <f t="shared" si="7"/>
        <v>16436.84</v>
      </c>
      <c r="K358" t="s">
        <v>14</v>
      </c>
    </row>
    <row r="359" spans="2:11" ht="13" x14ac:dyDescent="0.15">
      <c r="B359" s="29" t="s">
        <v>561</v>
      </c>
      <c r="C359" s="29" t="s">
        <v>562</v>
      </c>
      <c r="D359"/>
      <c r="E359" s="31">
        <f>SUMIFS(E360:E1057,K360:K1057,"0",B360:B1057,"4 1 5 1 1 12 31111 6 M78 15000 171 00I 001*")-SUMIFS(D360:D1057,K360:K1057,"0",B360:B1057,"4 1 5 1 1 12 31111 6 M78 15000 171 00I 001*")</f>
        <v>0</v>
      </c>
      <c r="F359" s="31">
        <f>SUMIFS(F360:F1057,K360:K1057,"0",B360:B1057,"4 1 5 1 1 12 31111 6 M78 15000 171 00I 001*")</f>
        <v>0</v>
      </c>
      <c r="G359" s="31">
        <f>SUMIFS(G360:G1057,K360:K1057,"0",B360:B1057,"4 1 5 1 1 12 31111 6 M78 15000 171 00I 001*")</f>
        <v>16436.84</v>
      </c>
      <c r="H359" s="31"/>
      <c r="I359" s="31">
        <f t="shared" si="7"/>
        <v>16436.84</v>
      </c>
      <c r="K359" t="s">
        <v>14</v>
      </c>
    </row>
    <row r="360" spans="2:11" ht="13" x14ac:dyDescent="0.15">
      <c r="B360" s="29" t="s">
        <v>563</v>
      </c>
      <c r="C360" s="29" t="s">
        <v>98</v>
      </c>
      <c r="D360"/>
      <c r="E360" s="31">
        <f>SUMIFS(E361:E1057,K361:K1057,"0",B361:B1057,"4 1 5 1 1 12 31111 6 M78 15000 171 00I 001 00051*")-SUMIFS(D361:D1057,K361:K1057,"0",B361:B1057,"4 1 5 1 1 12 31111 6 M78 15000 171 00I 001 00051*")</f>
        <v>0</v>
      </c>
      <c r="F360" s="31">
        <f>SUMIFS(F361:F1057,K361:K1057,"0",B361:B1057,"4 1 5 1 1 12 31111 6 M78 15000 171 00I 001 00051*")</f>
        <v>0</v>
      </c>
      <c r="G360" s="31">
        <f>SUMIFS(G361:G1057,K361:K1057,"0",B361:B1057,"4 1 5 1 1 12 31111 6 M78 15000 171 00I 001 00051*")</f>
        <v>16436.84</v>
      </c>
      <c r="H360" s="31"/>
      <c r="I360" s="31">
        <f t="shared" si="7"/>
        <v>16436.84</v>
      </c>
      <c r="K360" t="s">
        <v>14</v>
      </c>
    </row>
    <row r="361" spans="2:11" ht="13" x14ac:dyDescent="0.15">
      <c r="B361" s="29" t="s">
        <v>564</v>
      </c>
      <c r="C361" s="29" t="s">
        <v>186</v>
      </c>
      <c r="D361"/>
      <c r="E361" s="31">
        <f>SUMIFS(E362:E1057,K362:K1057,"0",B362:B1057,"4 1 5 1 1 12 31111 6 M78 15000 171 00I 001 00051 025*")-SUMIFS(D362:D1057,K362:K1057,"0",B362:B1057,"4 1 5 1 1 12 31111 6 M78 15000 171 00I 001 00051 025*")</f>
        <v>0</v>
      </c>
      <c r="F361" s="31">
        <f>SUMIFS(F362:F1057,K362:K1057,"0",B362:B1057,"4 1 5 1 1 12 31111 6 M78 15000 171 00I 001 00051 025*")</f>
        <v>0</v>
      </c>
      <c r="G361" s="31">
        <f>SUMIFS(G362:G1057,K362:K1057,"0",B362:B1057,"4 1 5 1 1 12 31111 6 M78 15000 171 00I 001 00051 025*")</f>
        <v>16436.84</v>
      </c>
      <c r="H361" s="31"/>
      <c r="I361" s="31">
        <f t="shared" si="7"/>
        <v>16436.84</v>
      </c>
      <c r="K361" t="s">
        <v>14</v>
      </c>
    </row>
    <row r="362" spans="2:11" ht="22" x14ac:dyDescent="0.15">
      <c r="B362" s="29" t="s">
        <v>565</v>
      </c>
      <c r="C362" s="29" t="s">
        <v>566</v>
      </c>
      <c r="D362"/>
      <c r="E362" s="31">
        <f>SUMIFS(E363:E1057,K363:K1057,"0",B363:B1057,"4 1 5 1 1 12 31111 6 M78 15000 171 00I 001 00051 025 1151100*")-SUMIFS(D363:D1057,K363:K1057,"0",B363:B1057,"4 1 5 1 1 12 31111 6 M78 15000 171 00I 001 00051 025 1151100*")</f>
        <v>0</v>
      </c>
      <c r="F362" s="31">
        <f>SUMIFS(F363:F1057,K363:K1057,"0",B363:B1057,"4 1 5 1 1 12 31111 6 M78 15000 171 00I 001 00051 025 1151100*")</f>
        <v>0</v>
      </c>
      <c r="G362" s="31">
        <f>SUMIFS(G363:G1057,K363:K1057,"0",B363:B1057,"4 1 5 1 1 12 31111 6 M78 15000 171 00I 001 00051 025 1151100*")</f>
        <v>16436.84</v>
      </c>
      <c r="H362" s="31"/>
      <c r="I362" s="31">
        <f t="shared" ref="I362:I395" si="8">E362 - F362 + G362</f>
        <v>16436.84</v>
      </c>
      <c r="K362" t="s">
        <v>14</v>
      </c>
    </row>
    <row r="363" spans="2:11" ht="22" x14ac:dyDescent="0.15">
      <c r="B363" s="29" t="s">
        <v>567</v>
      </c>
      <c r="C363" s="29" t="s">
        <v>294</v>
      </c>
      <c r="D363"/>
      <c r="E363" s="31">
        <f>SUMIFS(E364:E1057,K364:K1057,"0",B364:B1057,"4 1 5 1 1 12 31111 6 M78 15000 171 00I 001 00051 025 1151100 2024*")-SUMIFS(D364:D1057,K364:K1057,"0",B364:B1057,"4 1 5 1 1 12 31111 6 M78 15000 171 00I 001 00051 025 1151100 2024*")</f>
        <v>0</v>
      </c>
      <c r="F363" s="31">
        <f>SUMIFS(F364:F1057,K364:K1057,"0",B364:B1057,"4 1 5 1 1 12 31111 6 M78 15000 171 00I 001 00051 025 1151100 2024*")</f>
        <v>0</v>
      </c>
      <c r="G363" s="31">
        <f>SUMIFS(G364:G1057,K364:K1057,"0",B364:B1057,"4 1 5 1 1 12 31111 6 M78 15000 171 00I 001 00051 025 1151100 2024*")</f>
        <v>16436.84</v>
      </c>
      <c r="H363" s="31"/>
      <c r="I363" s="31">
        <f t="shared" si="8"/>
        <v>16436.84</v>
      </c>
      <c r="K363" t="s">
        <v>14</v>
      </c>
    </row>
    <row r="364" spans="2:11" ht="22" x14ac:dyDescent="0.15">
      <c r="B364" s="29" t="s">
        <v>568</v>
      </c>
      <c r="C364" s="29" t="s">
        <v>192</v>
      </c>
      <c r="D364"/>
      <c r="E364" s="31">
        <f>SUMIFS(E365:E1057,K365:K1057,"0",B365:B1057,"4 1 5 1 1 12 31111 6 M78 15000 171 00I 001 00051 025 1151100 2024 00000000*")-SUMIFS(D365:D1057,K365:K1057,"0",B365:B1057,"4 1 5 1 1 12 31111 6 M78 15000 171 00I 001 00051 025 1151100 2024 00000000*")</f>
        <v>0</v>
      </c>
      <c r="F364" s="31">
        <f>SUMIFS(F365:F1057,K365:K1057,"0",B365:B1057,"4 1 5 1 1 12 31111 6 M78 15000 171 00I 001 00051 025 1151100 2024 00000000*")</f>
        <v>0</v>
      </c>
      <c r="G364" s="31">
        <f>SUMIFS(G365:G1057,K365:K1057,"0",B365:B1057,"4 1 5 1 1 12 31111 6 M78 15000 171 00I 001 00051 025 1151100 2024 00000000*")</f>
        <v>16436.84</v>
      </c>
      <c r="H364" s="31"/>
      <c r="I364" s="31">
        <f t="shared" si="8"/>
        <v>16436.84</v>
      </c>
      <c r="K364" t="s">
        <v>14</v>
      </c>
    </row>
    <row r="365" spans="2:11" ht="22" x14ac:dyDescent="0.15">
      <c r="B365" s="29" t="s">
        <v>569</v>
      </c>
      <c r="C365" s="29" t="s">
        <v>9</v>
      </c>
      <c r="D365"/>
      <c r="E365" s="31">
        <f>SUMIFS(E366:E1057,K366:K1057,"0",B366:B1057,"4 1 5 1 1 12 31111 6 M78 15000 171 00I 001 00051 025 1151100 2024 00000000 003*")-SUMIFS(D366:D1057,K366:K1057,"0",B366:B1057,"4 1 5 1 1 12 31111 6 M78 15000 171 00I 001 00051 025 1151100 2024 00000000 003*")</f>
        <v>0</v>
      </c>
      <c r="F365" s="31">
        <f>SUMIFS(F366:F1057,K366:K1057,"0",B366:B1057,"4 1 5 1 1 12 31111 6 M78 15000 171 00I 001 00051 025 1151100 2024 00000000 003*")</f>
        <v>0</v>
      </c>
      <c r="G365" s="31">
        <f>SUMIFS(G366:G1057,K366:K1057,"0",B366:B1057,"4 1 5 1 1 12 31111 6 M78 15000 171 00I 001 00051 025 1151100 2024 00000000 003*")</f>
        <v>16436.84</v>
      </c>
      <c r="H365" s="31"/>
      <c r="I365" s="31">
        <f t="shared" si="8"/>
        <v>16436.84</v>
      </c>
      <c r="K365" t="s">
        <v>14</v>
      </c>
    </row>
    <row r="366" spans="2:11" ht="22" x14ac:dyDescent="0.15">
      <c r="B366" s="27" t="s">
        <v>570</v>
      </c>
      <c r="C366" s="27" t="s">
        <v>571</v>
      </c>
      <c r="D366" s="30"/>
      <c r="E366" s="30">
        <v>0</v>
      </c>
      <c r="F366" s="30">
        <v>0</v>
      </c>
      <c r="G366" s="30">
        <v>16436.84</v>
      </c>
      <c r="H366" s="30"/>
      <c r="I366" s="30">
        <f t="shared" si="8"/>
        <v>16436.84</v>
      </c>
      <c r="K366" t="s">
        <v>38</v>
      </c>
    </row>
    <row r="367" spans="2:11" ht="13" x14ac:dyDescent="0.15">
      <c r="B367" s="29" t="s">
        <v>572</v>
      </c>
      <c r="C367" s="29" t="s">
        <v>573</v>
      </c>
      <c r="D367"/>
      <c r="E367" s="31">
        <f>SUMIFS(E368:E1057,K368:K1057,"0",B368:B1057,"4 1 6*")-SUMIFS(D368:D1057,K368:K1057,"0",B368:B1057,"4 1 6*")</f>
        <v>0</v>
      </c>
      <c r="F367" s="31">
        <f>SUMIFS(F368:F1057,K368:K1057,"0",B368:B1057,"4 1 6*")</f>
        <v>0</v>
      </c>
      <c r="G367" s="31">
        <f>SUMIFS(G368:G1057,K368:K1057,"0",B368:B1057,"4 1 6*")</f>
        <v>0</v>
      </c>
      <c r="H367" s="31"/>
      <c r="I367" s="31">
        <f t="shared" si="8"/>
        <v>0</v>
      </c>
      <c r="K367" t="s">
        <v>14</v>
      </c>
    </row>
    <row r="368" spans="2:11" ht="13" x14ac:dyDescent="0.15">
      <c r="B368" s="29" t="s">
        <v>574</v>
      </c>
      <c r="C368" s="29" t="s">
        <v>575</v>
      </c>
      <c r="D368"/>
      <c r="E368" s="31">
        <f>SUMIFS(E369:E1057,K369:K1057,"0",B369:B1057,"4 1 7*")-SUMIFS(D369:D1057,K369:K1057,"0",B369:B1057,"4 1 7*")</f>
        <v>0</v>
      </c>
      <c r="F368" s="31">
        <f>SUMIFS(F369:F1057,K369:K1057,"0",B369:B1057,"4 1 7*")</f>
        <v>0</v>
      </c>
      <c r="G368" s="31">
        <f>SUMIFS(G369:G1057,K369:K1057,"0",B369:B1057,"4 1 7*")</f>
        <v>0</v>
      </c>
      <c r="H368" s="31"/>
      <c r="I368" s="31">
        <f t="shared" si="8"/>
        <v>0</v>
      </c>
      <c r="K368" t="s">
        <v>14</v>
      </c>
    </row>
    <row r="369" spans="2:11" ht="33" x14ac:dyDescent="0.15">
      <c r="B369" s="29" t="s">
        <v>576</v>
      </c>
      <c r="C369" s="29" t="s">
        <v>577</v>
      </c>
      <c r="D369"/>
      <c r="E369" s="31">
        <f>SUMIFS(E370:E1057,K370:K1057,"0",B370:B1057,"4 1 9*")-SUMIFS(D370:D1057,K370:K1057,"0",B370:B1057,"4 1 9*")</f>
        <v>0</v>
      </c>
      <c r="F369" s="31">
        <f>SUMIFS(F370:F1057,K370:K1057,"0",B370:B1057,"4 1 9*")</f>
        <v>0</v>
      </c>
      <c r="G369" s="31">
        <f>SUMIFS(G370:G1057,K370:K1057,"0",B370:B1057,"4 1 9*")</f>
        <v>0</v>
      </c>
      <c r="H369" s="31"/>
      <c r="I369" s="31">
        <f t="shared" si="8"/>
        <v>0</v>
      </c>
      <c r="K369" t="s">
        <v>14</v>
      </c>
    </row>
    <row r="370" spans="2:11" ht="44" x14ac:dyDescent="0.15">
      <c r="B370" s="29" t="s">
        <v>578</v>
      </c>
      <c r="C370" s="29" t="s">
        <v>579</v>
      </c>
      <c r="D370"/>
      <c r="E370" s="31">
        <f>SUMIFS(E371:E1057,K371:K1057,"0",B371:B1057,"4 2*")-SUMIFS(D371:D1057,K371:K1057,"0",B371:B1057,"4 2*")</f>
        <v>0</v>
      </c>
      <c r="F370" s="31">
        <f>SUMIFS(F371:F1057,K371:K1057,"0",B371:B1057,"4 2*")</f>
        <v>0</v>
      </c>
      <c r="G370" s="31">
        <f>SUMIFS(G371:G1057,K371:K1057,"0",B371:B1057,"4 2*")</f>
        <v>11159573.039999999</v>
      </c>
      <c r="H370" s="31"/>
      <c r="I370" s="31">
        <f t="shared" si="8"/>
        <v>11159573.039999999</v>
      </c>
      <c r="K370" t="s">
        <v>14</v>
      </c>
    </row>
    <row r="371" spans="2:11" ht="22" x14ac:dyDescent="0.15">
      <c r="B371" s="29" t="s">
        <v>580</v>
      </c>
      <c r="C371" s="29" t="s">
        <v>581</v>
      </c>
      <c r="D371"/>
      <c r="E371" s="31">
        <f>SUMIFS(E372:E1057,K372:K1057,"0",B372:B1057,"4 2 1*")-SUMIFS(D372:D1057,K372:K1057,"0",B372:B1057,"4 2 1*")</f>
        <v>0</v>
      </c>
      <c r="F371" s="31">
        <f>SUMIFS(F372:F1057,K372:K1057,"0",B372:B1057,"4 2 1*")</f>
        <v>0</v>
      </c>
      <c r="G371" s="31">
        <f>SUMIFS(G372:G1057,K372:K1057,"0",B372:B1057,"4 2 1*")</f>
        <v>11159573.039999999</v>
      </c>
      <c r="H371" s="31"/>
      <c r="I371" s="31">
        <f t="shared" si="8"/>
        <v>11159573.039999999</v>
      </c>
      <c r="K371" t="s">
        <v>14</v>
      </c>
    </row>
    <row r="372" spans="2:11" ht="13" x14ac:dyDescent="0.15">
      <c r="B372" s="29" t="s">
        <v>582</v>
      </c>
      <c r="C372" s="29" t="s">
        <v>500</v>
      </c>
      <c r="D372"/>
      <c r="E372" s="31">
        <f>SUMIFS(E373:E1057,K373:K1057,"0",B373:B1057,"4 2 1 2*")-SUMIFS(D373:D1057,K373:K1057,"0",B373:B1057,"4 2 1 2*")</f>
        <v>0</v>
      </c>
      <c r="F372" s="31">
        <f>SUMIFS(F373:F1057,K373:K1057,"0",B373:B1057,"4 2 1 2*")</f>
        <v>0</v>
      </c>
      <c r="G372" s="31">
        <f>SUMIFS(G373:G1057,K373:K1057,"0",B373:B1057,"4 2 1 2*")</f>
        <v>11159573.039999999</v>
      </c>
      <c r="H372" s="31"/>
      <c r="I372" s="31">
        <f t="shared" si="8"/>
        <v>11159573.039999999</v>
      </c>
      <c r="K372" t="s">
        <v>14</v>
      </c>
    </row>
    <row r="373" spans="2:11" ht="13" x14ac:dyDescent="0.15">
      <c r="B373" s="29" t="s">
        <v>583</v>
      </c>
      <c r="C373" s="29" t="s">
        <v>500</v>
      </c>
      <c r="D373"/>
      <c r="E373" s="31">
        <f>SUMIFS(E374:E1057,K374:K1057,"0",B374:B1057,"4 2 1 2 1*")-SUMIFS(D374:D1057,K374:K1057,"0",B374:B1057,"4 2 1 2 1*")</f>
        <v>0</v>
      </c>
      <c r="F373" s="31">
        <f>SUMIFS(F374:F1057,K374:K1057,"0",B374:B1057,"4 2 1 2 1*")</f>
        <v>0</v>
      </c>
      <c r="G373" s="31">
        <f>SUMIFS(G374:G1057,K374:K1057,"0",B374:B1057,"4 2 1 2 1*")</f>
        <v>11159573.039999999</v>
      </c>
      <c r="H373" s="31"/>
      <c r="I373" s="31">
        <f t="shared" si="8"/>
        <v>11159573.039999999</v>
      </c>
      <c r="K373" t="s">
        <v>14</v>
      </c>
    </row>
    <row r="374" spans="2:11" ht="13" x14ac:dyDescent="0.15">
      <c r="B374" s="29" t="s">
        <v>584</v>
      </c>
      <c r="C374" s="29" t="s">
        <v>25</v>
      </c>
      <c r="D374"/>
      <c r="E374" s="31">
        <f>SUMIFS(E375:E1057,K375:K1057,"0",B375:B1057,"4 2 1 2 1 12*")-SUMIFS(D375:D1057,K375:K1057,"0",B375:B1057,"4 2 1 2 1 12*")</f>
        <v>0</v>
      </c>
      <c r="F374" s="31">
        <f>SUMIFS(F375:F1057,K375:K1057,"0",B375:B1057,"4 2 1 2 1 12*")</f>
        <v>0</v>
      </c>
      <c r="G374" s="31">
        <f>SUMIFS(G375:G1057,K375:K1057,"0",B375:B1057,"4 2 1 2 1 12*")</f>
        <v>11159573.039999999</v>
      </c>
      <c r="H374" s="31"/>
      <c r="I374" s="31">
        <f t="shared" si="8"/>
        <v>11159573.039999999</v>
      </c>
      <c r="K374" t="s">
        <v>14</v>
      </c>
    </row>
    <row r="375" spans="2:11" ht="13" x14ac:dyDescent="0.15">
      <c r="B375" s="29" t="s">
        <v>585</v>
      </c>
      <c r="C375" s="29" t="s">
        <v>27</v>
      </c>
      <c r="D375"/>
      <c r="E375" s="31">
        <f>SUMIFS(E376:E1057,K376:K1057,"0",B376:B1057,"4 2 1 2 1 12 31111*")-SUMIFS(D376:D1057,K376:K1057,"0",B376:B1057,"4 2 1 2 1 12 31111*")</f>
        <v>0</v>
      </c>
      <c r="F375" s="31">
        <f>SUMIFS(F376:F1057,K376:K1057,"0",B376:B1057,"4 2 1 2 1 12 31111*")</f>
        <v>0</v>
      </c>
      <c r="G375" s="31">
        <f>SUMIFS(G376:G1057,K376:K1057,"0",B376:B1057,"4 2 1 2 1 12 31111*")</f>
        <v>11159573.039999999</v>
      </c>
      <c r="H375" s="31"/>
      <c r="I375" s="31">
        <f t="shared" si="8"/>
        <v>11159573.039999999</v>
      </c>
      <c r="K375" t="s">
        <v>14</v>
      </c>
    </row>
    <row r="376" spans="2:11" ht="13" x14ac:dyDescent="0.15">
      <c r="B376" s="29" t="s">
        <v>586</v>
      </c>
      <c r="C376" s="29" t="s">
        <v>29</v>
      </c>
      <c r="D376"/>
      <c r="E376" s="31">
        <f>SUMIFS(E377:E1057,K377:K1057,"0",B377:B1057,"4 2 1 2 1 12 31111 6*")-SUMIFS(D377:D1057,K377:K1057,"0",B377:B1057,"4 2 1 2 1 12 31111 6*")</f>
        <v>0</v>
      </c>
      <c r="F376" s="31">
        <f>SUMIFS(F377:F1057,K377:K1057,"0",B377:B1057,"4 2 1 2 1 12 31111 6*")</f>
        <v>0</v>
      </c>
      <c r="G376" s="31">
        <f>SUMIFS(G377:G1057,K377:K1057,"0",B377:B1057,"4 2 1 2 1 12 31111 6*")</f>
        <v>11159573.039999999</v>
      </c>
      <c r="H376" s="31"/>
      <c r="I376" s="31">
        <f t="shared" si="8"/>
        <v>11159573.039999999</v>
      </c>
      <c r="K376" t="s">
        <v>14</v>
      </c>
    </row>
    <row r="377" spans="2:11" ht="13" x14ac:dyDescent="0.15">
      <c r="B377" s="29" t="s">
        <v>587</v>
      </c>
      <c r="C377" s="29" t="s">
        <v>31</v>
      </c>
      <c r="D377"/>
      <c r="E377" s="31">
        <f>SUMIFS(E378:E1057,K378:K1057,"0",B378:B1057,"4 2 1 2 1 12 31111 6 M78*")-SUMIFS(D378:D1057,K378:K1057,"0",B378:B1057,"4 2 1 2 1 12 31111 6 M78*")</f>
        <v>0</v>
      </c>
      <c r="F377" s="31">
        <f>SUMIFS(F378:F1057,K378:K1057,"0",B378:B1057,"4 2 1 2 1 12 31111 6 M78*")</f>
        <v>0</v>
      </c>
      <c r="G377" s="31">
        <f>SUMIFS(G378:G1057,K378:K1057,"0",B378:B1057,"4 2 1 2 1 12 31111 6 M78*")</f>
        <v>11159573.039999999</v>
      </c>
      <c r="H377" s="31"/>
      <c r="I377" s="31">
        <f t="shared" si="8"/>
        <v>11159573.039999999</v>
      </c>
      <c r="K377" t="s">
        <v>14</v>
      </c>
    </row>
    <row r="378" spans="2:11" ht="13" x14ac:dyDescent="0.15">
      <c r="B378" s="29" t="s">
        <v>588</v>
      </c>
      <c r="C378" s="29" t="s">
        <v>176</v>
      </c>
      <c r="D378"/>
      <c r="E378" s="31">
        <f>SUMIFS(E379:E1057,K379:K1057,"0",B379:B1057,"4 2 1 2 1 12 31111 6 M78 15000*")-SUMIFS(D379:D1057,K379:K1057,"0",B379:B1057,"4 2 1 2 1 12 31111 6 M78 15000*")</f>
        <v>0</v>
      </c>
      <c r="F378" s="31">
        <f>SUMIFS(F379:F1057,K379:K1057,"0",B379:B1057,"4 2 1 2 1 12 31111 6 M78 15000*")</f>
        <v>0</v>
      </c>
      <c r="G378" s="31">
        <f>SUMIFS(G379:G1057,K379:K1057,"0",B379:B1057,"4 2 1 2 1 12 31111 6 M78 15000*")</f>
        <v>11159573.039999999</v>
      </c>
      <c r="H378" s="31"/>
      <c r="I378" s="31">
        <f t="shared" si="8"/>
        <v>11159573.039999999</v>
      </c>
      <c r="K378" t="s">
        <v>14</v>
      </c>
    </row>
    <row r="379" spans="2:11" ht="13" x14ac:dyDescent="0.15">
      <c r="B379" s="29" t="s">
        <v>589</v>
      </c>
      <c r="C379" s="29" t="s">
        <v>178</v>
      </c>
      <c r="D379"/>
      <c r="E379" s="31">
        <f>SUMIFS(E380:E1057,K380:K1057,"0",B380:B1057,"4 2 1 2 1 12 31111 6 M78 15000 171*")-SUMIFS(D380:D1057,K380:K1057,"0",B380:B1057,"4 2 1 2 1 12 31111 6 M78 15000 171*")</f>
        <v>0</v>
      </c>
      <c r="F379" s="31">
        <f>SUMIFS(F380:F1057,K380:K1057,"0",B380:B1057,"4 2 1 2 1 12 31111 6 M78 15000 171*")</f>
        <v>0</v>
      </c>
      <c r="G379" s="31">
        <f>SUMIFS(G380:G1057,K380:K1057,"0",B380:B1057,"4 2 1 2 1 12 31111 6 M78 15000 171*")</f>
        <v>11159573.039999999</v>
      </c>
      <c r="H379" s="31"/>
      <c r="I379" s="31">
        <f t="shared" si="8"/>
        <v>11159573.039999999</v>
      </c>
      <c r="K379" t="s">
        <v>14</v>
      </c>
    </row>
    <row r="380" spans="2:11" ht="13" x14ac:dyDescent="0.15">
      <c r="B380" s="29" t="s">
        <v>590</v>
      </c>
      <c r="C380" s="29" t="s">
        <v>180</v>
      </c>
      <c r="D380"/>
      <c r="E380" s="31">
        <f>SUMIFS(E381:E1057,K381:K1057,"0",B381:B1057,"4 2 1 2 1 12 31111 6 M78 15000 171 00I*")-SUMIFS(D381:D1057,K381:K1057,"0",B381:B1057,"4 2 1 2 1 12 31111 6 M78 15000 171 00I*")</f>
        <v>0</v>
      </c>
      <c r="F380" s="31">
        <f>SUMIFS(F381:F1057,K381:K1057,"0",B381:B1057,"4 2 1 2 1 12 31111 6 M78 15000 171 00I*")</f>
        <v>0</v>
      </c>
      <c r="G380" s="31">
        <f>SUMIFS(G381:G1057,K381:K1057,"0",B381:B1057,"4 2 1 2 1 12 31111 6 M78 15000 171 00I*")</f>
        <v>11159573.039999999</v>
      </c>
      <c r="H380" s="31"/>
      <c r="I380" s="31">
        <f t="shared" si="8"/>
        <v>11159573.039999999</v>
      </c>
      <c r="K380" t="s">
        <v>14</v>
      </c>
    </row>
    <row r="381" spans="2:11" ht="13" x14ac:dyDescent="0.15">
      <c r="B381" s="29" t="s">
        <v>591</v>
      </c>
      <c r="C381" s="29" t="s">
        <v>562</v>
      </c>
      <c r="D381"/>
      <c r="E381" s="31">
        <f>SUMIFS(E382:E1057,K382:K1057,"0",B382:B1057,"4 2 1 2 1 12 31111 6 M78 15000 171 00I 001*")-SUMIFS(D382:D1057,K382:K1057,"0",B382:B1057,"4 2 1 2 1 12 31111 6 M78 15000 171 00I 001*")</f>
        <v>0</v>
      </c>
      <c r="F381" s="31">
        <f>SUMIFS(F382:F1057,K382:K1057,"0",B382:B1057,"4 2 1 2 1 12 31111 6 M78 15000 171 00I 001*")</f>
        <v>0</v>
      </c>
      <c r="G381" s="31">
        <f>SUMIFS(G382:G1057,K382:K1057,"0",B382:B1057,"4 2 1 2 1 12 31111 6 M78 15000 171 00I 001*")</f>
        <v>11159573.039999999</v>
      </c>
      <c r="H381" s="31"/>
      <c r="I381" s="31">
        <f t="shared" si="8"/>
        <v>11159573.039999999</v>
      </c>
      <c r="K381" t="s">
        <v>14</v>
      </c>
    </row>
    <row r="382" spans="2:11" ht="13" x14ac:dyDescent="0.15">
      <c r="B382" s="29" t="s">
        <v>592</v>
      </c>
      <c r="C382" s="29" t="s">
        <v>500</v>
      </c>
      <c r="D382"/>
      <c r="E382" s="31">
        <f>SUMIFS(E383:E1057,K383:K1057,"0",B383:B1057,"4 2 1 2 1 12 31111 6 M78 15000 171 00I 001 00082*")-SUMIFS(D383:D1057,K383:K1057,"0",B383:B1057,"4 2 1 2 1 12 31111 6 M78 15000 171 00I 001 00082*")</f>
        <v>0</v>
      </c>
      <c r="F382" s="31">
        <f>SUMIFS(F383:F1057,K383:K1057,"0",B383:B1057,"4 2 1 2 1 12 31111 6 M78 15000 171 00I 001 00082*")</f>
        <v>0</v>
      </c>
      <c r="G382" s="31">
        <f>SUMIFS(G383:G1057,K383:K1057,"0",B383:B1057,"4 2 1 2 1 12 31111 6 M78 15000 171 00I 001 00082*")</f>
        <v>11159573.039999999</v>
      </c>
      <c r="H382" s="31"/>
      <c r="I382" s="31">
        <f t="shared" si="8"/>
        <v>11159573.039999999</v>
      </c>
      <c r="K382" t="s">
        <v>14</v>
      </c>
    </row>
    <row r="383" spans="2:11" ht="13" x14ac:dyDescent="0.15">
      <c r="B383" s="29" t="s">
        <v>593</v>
      </c>
      <c r="C383" s="29" t="s">
        <v>186</v>
      </c>
      <c r="D383"/>
      <c r="E383" s="31">
        <f>SUMIFS(E384:E1057,K384:K1057,"0",B384:B1057,"4 2 1 2 1 12 31111 6 M78 15000 171 00I 001 00082 025*")-SUMIFS(D384:D1057,K384:K1057,"0",B384:B1057,"4 2 1 2 1 12 31111 6 M78 15000 171 00I 001 00082 025*")</f>
        <v>0</v>
      </c>
      <c r="F383" s="31">
        <f>SUMIFS(F384:F1057,K384:K1057,"0",B384:B1057,"4 2 1 2 1 12 31111 6 M78 15000 171 00I 001 00082 025*")</f>
        <v>0</v>
      </c>
      <c r="G383" s="31">
        <f>SUMIFS(G384:G1057,K384:K1057,"0",B384:B1057,"4 2 1 2 1 12 31111 6 M78 15000 171 00I 001 00082 025*")</f>
        <v>11159573.039999999</v>
      </c>
      <c r="H383" s="31"/>
      <c r="I383" s="31">
        <f t="shared" si="8"/>
        <v>11159573.039999999</v>
      </c>
      <c r="K383" t="s">
        <v>14</v>
      </c>
    </row>
    <row r="384" spans="2:11" ht="22" x14ac:dyDescent="0.15">
      <c r="B384" s="29" t="s">
        <v>594</v>
      </c>
      <c r="C384" s="29" t="s">
        <v>595</v>
      </c>
      <c r="D384"/>
      <c r="E384" s="31">
        <f>SUMIFS(E385:E1057,K385:K1057,"0",B385:B1057,"4 2 1 2 1 12 31111 6 M78 15000 171 00I 001 00082 025 1182200*")-SUMIFS(D385:D1057,K385:K1057,"0",B385:B1057,"4 2 1 2 1 12 31111 6 M78 15000 171 00I 001 00082 025 1182200*")</f>
        <v>0</v>
      </c>
      <c r="F384" s="31">
        <f>SUMIFS(F385:F1057,K385:K1057,"0",B385:B1057,"4 2 1 2 1 12 31111 6 M78 15000 171 00I 001 00082 025 1182200*")</f>
        <v>0</v>
      </c>
      <c r="G384" s="31">
        <f>SUMIFS(G385:G1057,K385:K1057,"0",B385:B1057,"4 2 1 2 1 12 31111 6 M78 15000 171 00I 001 00082 025 1182200*")</f>
        <v>11159573.039999999</v>
      </c>
      <c r="H384" s="31"/>
      <c r="I384" s="31">
        <f t="shared" si="8"/>
        <v>11159573.039999999</v>
      </c>
      <c r="K384" t="s">
        <v>14</v>
      </c>
    </row>
    <row r="385" spans="2:11" ht="22" x14ac:dyDescent="0.15">
      <c r="B385" s="29" t="s">
        <v>596</v>
      </c>
      <c r="C385" s="29" t="s">
        <v>294</v>
      </c>
      <c r="D385"/>
      <c r="E385" s="31">
        <f>SUMIFS(E386:E1057,K386:K1057,"0",B386:B1057,"4 2 1 2 1 12 31111 6 M78 15000 171 00I 001 00082 025 1182200 2024*")-SUMIFS(D386:D1057,K386:K1057,"0",B386:B1057,"4 2 1 2 1 12 31111 6 M78 15000 171 00I 001 00082 025 1182200 2024*")</f>
        <v>0</v>
      </c>
      <c r="F385" s="31">
        <f>SUMIFS(F386:F1057,K386:K1057,"0",B386:B1057,"4 2 1 2 1 12 31111 6 M78 15000 171 00I 001 00082 025 1182200 2024*")</f>
        <v>0</v>
      </c>
      <c r="G385" s="31">
        <f>SUMIFS(G386:G1057,K386:K1057,"0",B386:B1057,"4 2 1 2 1 12 31111 6 M78 15000 171 00I 001 00082 025 1182200 2024*")</f>
        <v>11159573.039999999</v>
      </c>
      <c r="H385" s="31"/>
      <c r="I385" s="31">
        <f t="shared" si="8"/>
        <v>11159573.039999999</v>
      </c>
      <c r="K385" t="s">
        <v>14</v>
      </c>
    </row>
    <row r="386" spans="2:11" ht="22" x14ac:dyDescent="0.15">
      <c r="B386" s="29" t="s">
        <v>597</v>
      </c>
      <c r="C386" s="29" t="s">
        <v>192</v>
      </c>
      <c r="D386"/>
      <c r="E386" s="31">
        <f>SUMIFS(E387:E1057,K387:K1057,"0",B387:B1057,"4 2 1 2 1 12 31111 6 M78 15000 171 00I 001 00082 025 1182200 2024 00000000*")-SUMIFS(D387:D1057,K387:K1057,"0",B387:B1057,"4 2 1 2 1 12 31111 6 M78 15000 171 00I 001 00082 025 1182200 2024 00000000*")</f>
        <v>0</v>
      </c>
      <c r="F386" s="31">
        <f>SUMIFS(F387:F1057,K387:K1057,"0",B387:B1057,"4 2 1 2 1 12 31111 6 M78 15000 171 00I 001 00082 025 1182200 2024 00000000*")</f>
        <v>0</v>
      </c>
      <c r="G386" s="31">
        <f>SUMIFS(G387:G1057,K387:K1057,"0",B387:B1057,"4 2 1 2 1 12 31111 6 M78 15000 171 00I 001 00082 025 1182200 2024 00000000*")</f>
        <v>11159573.039999999</v>
      </c>
      <c r="H386" s="31"/>
      <c r="I386" s="31">
        <f t="shared" si="8"/>
        <v>11159573.039999999</v>
      </c>
      <c r="K386" t="s">
        <v>14</v>
      </c>
    </row>
    <row r="387" spans="2:11" ht="22" x14ac:dyDescent="0.15">
      <c r="B387" s="29" t="s">
        <v>598</v>
      </c>
      <c r="C387" s="29" t="s">
        <v>9</v>
      </c>
      <c r="D387"/>
      <c r="E387" s="31">
        <f>SUMIFS(E388:E1057,K388:K1057,"0",B388:B1057,"4 2 1 2 1 12 31111 6 M78 15000 171 00I 001 00082 025 1182200 2024 00000000 003*")-SUMIFS(D388:D1057,K388:K1057,"0",B388:B1057,"4 2 1 2 1 12 31111 6 M78 15000 171 00I 001 00082 025 1182200 2024 00000000 003*")</f>
        <v>0</v>
      </c>
      <c r="F387" s="31">
        <f>SUMIFS(F388:F1057,K388:K1057,"0",B388:B1057,"4 2 1 2 1 12 31111 6 M78 15000 171 00I 001 00082 025 1182200 2024 00000000 003*")</f>
        <v>0</v>
      </c>
      <c r="G387" s="31">
        <f>SUMIFS(G388:G1057,K388:K1057,"0",B388:B1057,"4 2 1 2 1 12 31111 6 M78 15000 171 00I 001 00082 025 1182200 2024 00000000 003*")</f>
        <v>11159573.039999999</v>
      </c>
      <c r="H387" s="31"/>
      <c r="I387" s="31">
        <f t="shared" si="8"/>
        <v>11159573.039999999</v>
      </c>
      <c r="K387" t="s">
        <v>14</v>
      </c>
    </row>
    <row r="388" spans="2:11" ht="22" x14ac:dyDescent="0.15">
      <c r="B388" s="27" t="s">
        <v>599</v>
      </c>
      <c r="C388" s="27" t="s">
        <v>600</v>
      </c>
      <c r="D388" s="30"/>
      <c r="E388" s="30">
        <v>0</v>
      </c>
      <c r="F388" s="30">
        <v>0</v>
      </c>
      <c r="G388" s="30">
        <v>11159573.039999999</v>
      </c>
      <c r="H388" s="30"/>
      <c r="I388" s="30">
        <f t="shared" si="8"/>
        <v>11159573.039999999</v>
      </c>
      <c r="K388" t="s">
        <v>38</v>
      </c>
    </row>
    <row r="389" spans="2:11" ht="22" x14ac:dyDescent="0.15">
      <c r="B389" s="29" t="s">
        <v>601</v>
      </c>
      <c r="C389" s="29" t="s">
        <v>602</v>
      </c>
      <c r="D389"/>
      <c r="E389" s="31">
        <f>SUMIFS(E390:E1057,K390:K1057,"0",B390:B1057,"4 2 2*")-SUMIFS(D390:D1057,K390:K1057,"0",B390:B1057,"4 2 2*")</f>
        <v>0</v>
      </c>
      <c r="F389" s="31">
        <f>SUMIFS(F390:F1057,K390:K1057,"0",B390:B1057,"4 2 2*")</f>
        <v>0</v>
      </c>
      <c r="G389" s="31">
        <f>SUMIFS(G390:G1057,K390:K1057,"0",B390:B1057,"4 2 2*")</f>
        <v>0</v>
      </c>
      <c r="H389" s="31"/>
      <c r="I389" s="31">
        <f t="shared" si="8"/>
        <v>0</v>
      </c>
      <c r="K389" t="s">
        <v>14</v>
      </c>
    </row>
    <row r="390" spans="2:11" ht="13" x14ac:dyDescent="0.15">
      <c r="B390" s="29" t="s">
        <v>603</v>
      </c>
      <c r="C390" s="29" t="s">
        <v>604</v>
      </c>
      <c r="D390"/>
      <c r="E390" s="31">
        <f>SUMIFS(E391:E1057,K391:K1057,"0",B391:B1057,"4 3*")-SUMIFS(D391:D1057,K391:K1057,"0",B391:B1057,"4 3*")</f>
        <v>0</v>
      </c>
      <c r="F390" s="31">
        <f>SUMIFS(F391:F1057,K391:K1057,"0",B391:B1057,"4 3*")</f>
        <v>0</v>
      </c>
      <c r="G390" s="31">
        <f>SUMIFS(G391:G1057,K391:K1057,"0",B391:B1057,"4 3*")</f>
        <v>0</v>
      </c>
      <c r="H390" s="31"/>
      <c r="I390" s="31">
        <f t="shared" si="8"/>
        <v>0</v>
      </c>
      <c r="K390" t="s">
        <v>14</v>
      </c>
    </row>
    <row r="391" spans="2:11" ht="13" x14ac:dyDescent="0.15">
      <c r="B391" s="29" t="s">
        <v>605</v>
      </c>
      <c r="C391" s="29" t="s">
        <v>606</v>
      </c>
      <c r="D391"/>
      <c r="E391" s="31">
        <f>SUMIFS(E392:E1057,K392:K1057,"0",B392:B1057,"4 3 1*")-SUMIFS(D392:D1057,K392:K1057,"0",B392:B1057,"4 3 1*")</f>
        <v>0</v>
      </c>
      <c r="F391" s="31">
        <f>SUMIFS(F392:F1057,K392:K1057,"0",B392:B1057,"4 3 1*")</f>
        <v>0</v>
      </c>
      <c r="G391" s="31">
        <f>SUMIFS(G392:G1057,K392:K1057,"0",B392:B1057,"4 3 1*")</f>
        <v>0</v>
      </c>
      <c r="H391" s="31"/>
      <c r="I391" s="31">
        <f t="shared" si="8"/>
        <v>0</v>
      </c>
      <c r="K391" t="s">
        <v>14</v>
      </c>
    </row>
    <row r="392" spans="2:11" ht="13" x14ac:dyDescent="0.15">
      <c r="B392" s="29" t="s">
        <v>607</v>
      </c>
      <c r="C392" s="29" t="s">
        <v>608</v>
      </c>
      <c r="D392"/>
      <c r="E392" s="31">
        <f>SUMIFS(E393:E1057,K393:K1057,"0",B393:B1057,"4 3 2*")-SUMIFS(D393:D1057,K393:K1057,"0",B393:B1057,"4 3 2*")</f>
        <v>0</v>
      </c>
      <c r="F392" s="31">
        <f>SUMIFS(F393:F1057,K393:K1057,"0",B393:B1057,"4 3 2*")</f>
        <v>0</v>
      </c>
      <c r="G392" s="31">
        <f>SUMIFS(G393:G1057,K393:K1057,"0",B393:B1057,"4 3 2*")</f>
        <v>0</v>
      </c>
      <c r="H392" s="31"/>
      <c r="I392" s="31">
        <f t="shared" si="8"/>
        <v>0</v>
      </c>
      <c r="K392" t="s">
        <v>14</v>
      </c>
    </row>
    <row r="393" spans="2:11" ht="22" x14ac:dyDescent="0.15">
      <c r="B393" s="29" t="s">
        <v>609</v>
      </c>
      <c r="C393" s="29" t="s">
        <v>610</v>
      </c>
      <c r="D393"/>
      <c r="E393" s="31">
        <f>SUMIFS(E394:E1057,K394:K1057,"0",B394:B1057,"4 3 3*")-SUMIFS(D394:D1057,K394:K1057,"0",B394:B1057,"4 3 3*")</f>
        <v>0</v>
      </c>
      <c r="F393" s="31">
        <f>SUMIFS(F394:F1057,K394:K1057,"0",B394:B1057,"4 3 3*")</f>
        <v>0</v>
      </c>
      <c r="G393" s="31">
        <f>SUMIFS(G394:G1057,K394:K1057,"0",B394:B1057,"4 3 3*")</f>
        <v>0</v>
      </c>
      <c r="H393" s="31"/>
      <c r="I393" s="31">
        <f t="shared" si="8"/>
        <v>0</v>
      </c>
      <c r="K393" t="s">
        <v>14</v>
      </c>
    </row>
    <row r="394" spans="2:11" ht="13" x14ac:dyDescent="0.15">
      <c r="B394" s="29" t="s">
        <v>611</v>
      </c>
      <c r="C394" s="29" t="s">
        <v>612</v>
      </c>
      <c r="D394"/>
      <c r="E394" s="31">
        <f>SUMIFS(E395:E1057,K395:K1057,"0",B395:B1057,"4 3 4*")-SUMIFS(D395:D1057,K395:K1057,"0",B395:B1057,"4 3 4*")</f>
        <v>0</v>
      </c>
      <c r="F394" s="31">
        <f>SUMIFS(F395:F1057,K395:K1057,"0",B395:B1057,"4 3 4*")</f>
        <v>0</v>
      </c>
      <c r="G394" s="31">
        <f>SUMIFS(G395:G1057,K395:K1057,"0",B395:B1057,"4 3 4*")</f>
        <v>0</v>
      </c>
      <c r="H394" s="31"/>
      <c r="I394" s="31">
        <f t="shared" si="8"/>
        <v>0</v>
      </c>
      <c r="K394" t="s">
        <v>14</v>
      </c>
    </row>
    <row r="395" spans="2:11" ht="13" x14ac:dyDescent="0.15">
      <c r="B395" s="29" t="s">
        <v>613</v>
      </c>
      <c r="C395" s="29" t="s">
        <v>614</v>
      </c>
      <c r="D395"/>
      <c r="E395" s="31">
        <f>SUMIFS(E396:E1057,K396:K1057,"0",B396:B1057,"4 3 9*")-SUMIFS(D396:D1057,K396:K1057,"0",B396:B1057,"4 3 9*")</f>
        <v>0</v>
      </c>
      <c r="F395" s="31">
        <f>SUMIFS(F396:F1057,K396:K1057,"0",B396:B1057,"4 3 9*")</f>
        <v>0</v>
      </c>
      <c r="G395" s="31">
        <f>SUMIFS(G396:G1057,K396:K1057,"0",B396:B1057,"4 3 9*")</f>
        <v>0</v>
      </c>
      <c r="H395" s="31"/>
      <c r="I395" s="31">
        <f t="shared" si="8"/>
        <v>0</v>
      </c>
      <c r="K395" t="s">
        <v>14</v>
      </c>
    </row>
    <row r="396" spans="2:11" ht="13" x14ac:dyDescent="0.15">
      <c r="B396" s="29" t="s">
        <v>615</v>
      </c>
      <c r="C396" s="29" t="s">
        <v>616</v>
      </c>
      <c r="D396" s="31">
        <f>SUMIFS(D397:D1057,K397:K1057,"0",B397:B1057,"5*")-SUMIFS(E397:E1057,K397:K1057,"0",B397:B1057,"5*")</f>
        <v>0</v>
      </c>
      <c r="E396"/>
      <c r="F396" s="31">
        <f>SUMIFS(F397:F1057,K397:K1057,"0",B397:B1057,"5*")</f>
        <v>11168860.500000002</v>
      </c>
      <c r="G396" s="31">
        <f>SUMIFS(G397:G1057,K397:K1057,"0",B397:B1057,"5*")</f>
        <v>0</v>
      </c>
      <c r="H396" s="31">
        <f t="shared" ref="H396:H459" si="9">D396 + F396 - G396</f>
        <v>11168860.500000002</v>
      </c>
      <c r="I396" s="31"/>
      <c r="K396" t="s">
        <v>14</v>
      </c>
    </row>
    <row r="397" spans="2:11" ht="13" x14ac:dyDescent="0.15">
      <c r="B397" s="29" t="s">
        <v>617</v>
      </c>
      <c r="C397" s="29" t="s">
        <v>618</v>
      </c>
      <c r="D397" s="31">
        <f>SUMIFS(D398:D1057,K398:K1057,"0",B398:B1057,"5 1*")-SUMIFS(E398:E1057,K398:K1057,"0",B398:B1057,"5 1*")</f>
        <v>0</v>
      </c>
      <c r="E397"/>
      <c r="F397" s="31">
        <f>SUMIFS(F398:F1057,K398:K1057,"0",B398:B1057,"5 1*")</f>
        <v>11032860.500000002</v>
      </c>
      <c r="G397" s="31">
        <f>SUMIFS(G398:G1057,K398:K1057,"0",B398:B1057,"5 1*")</f>
        <v>0</v>
      </c>
      <c r="H397" s="31">
        <f t="shared" si="9"/>
        <v>11032860.500000002</v>
      </c>
      <c r="I397" s="31"/>
      <c r="K397" t="s">
        <v>14</v>
      </c>
    </row>
    <row r="398" spans="2:11" ht="13" x14ac:dyDescent="0.15">
      <c r="B398" s="29" t="s">
        <v>619</v>
      </c>
      <c r="C398" s="29" t="s">
        <v>620</v>
      </c>
      <c r="D398" s="31">
        <f>SUMIFS(D399:D1057,K399:K1057,"0",B399:B1057,"5 1 1*")-SUMIFS(E399:E1057,K399:K1057,"0",B399:B1057,"5 1 1*")</f>
        <v>0</v>
      </c>
      <c r="E398"/>
      <c r="F398" s="31">
        <f>SUMIFS(F399:F1057,K399:K1057,"0",B399:B1057,"5 1 1*")</f>
        <v>6348545.7999999989</v>
      </c>
      <c r="G398" s="31">
        <f>SUMIFS(G399:G1057,K399:K1057,"0",B399:B1057,"5 1 1*")</f>
        <v>0</v>
      </c>
      <c r="H398" s="31">
        <f t="shared" si="9"/>
        <v>6348545.7999999989</v>
      </c>
      <c r="I398" s="31"/>
      <c r="K398" t="s">
        <v>14</v>
      </c>
    </row>
    <row r="399" spans="2:11" ht="13" x14ac:dyDescent="0.15">
      <c r="B399" s="29" t="s">
        <v>621</v>
      </c>
      <c r="C399" s="29" t="s">
        <v>622</v>
      </c>
      <c r="D399" s="31">
        <f>SUMIFS(D400:D1057,K400:K1057,"0",B400:B1057,"5 1 1 1*")-SUMIFS(E400:E1057,K400:K1057,"0",B400:B1057,"5 1 1 1*")</f>
        <v>0</v>
      </c>
      <c r="E399"/>
      <c r="F399" s="31">
        <f>SUMIFS(F400:F1057,K400:K1057,"0",B400:B1057,"5 1 1 1*")</f>
        <v>4900503.209999999</v>
      </c>
      <c r="G399" s="31">
        <f>SUMIFS(G400:G1057,K400:K1057,"0",B400:B1057,"5 1 1 1*")</f>
        <v>0</v>
      </c>
      <c r="H399" s="31">
        <f t="shared" si="9"/>
        <v>4900503.209999999</v>
      </c>
      <c r="I399" s="31"/>
      <c r="K399" t="s">
        <v>14</v>
      </c>
    </row>
    <row r="400" spans="2:11" ht="13" x14ac:dyDescent="0.15">
      <c r="B400" s="29" t="s">
        <v>623</v>
      </c>
      <c r="C400" s="29" t="s">
        <v>624</v>
      </c>
      <c r="D400" s="31">
        <f>SUMIFS(D401:D1057,K401:K1057,"0",B401:B1057,"5 1 1 1 3*")-SUMIFS(E401:E1057,K401:K1057,"0",B401:B1057,"5 1 1 1 3*")</f>
        <v>0</v>
      </c>
      <c r="E400"/>
      <c r="F400" s="31">
        <f>SUMIFS(F401:F1057,K401:K1057,"0",B401:B1057,"5 1 1 1 3*")</f>
        <v>4900503.209999999</v>
      </c>
      <c r="G400" s="31">
        <f>SUMIFS(G401:G1057,K401:K1057,"0",B401:B1057,"5 1 1 1 3*")</f>
        <v>0</v>
      </c>
      <c r="H400" s="31">
        <f t="shared" si="9"/>
        <v>4900503.209999999</v>
      </c>
      <c r="I400" s="31"/>
      <c r="K400" t="s">
        <v>14</v>
      </c>
    </row>
    <row r="401" spans="2:11" ht="13" x14ac:dyDescent="0.15">
      <c r="B401" s="29" t="s">
        <v>625</v>
      </c>
      <c r="C401" s="29" t="s">
        <v>25</v>
      </c>
      <c r="D401" s="31">
        <f>SUMIFS(D402:D1057,K402:K1057,"0",B402:B1057,"5 1 1 1 3 12*")-SUMIFS(E402:E1057,K402:K1057,"0",B402:B1057,"5 1 1 1 3 12*")</f>
        <v>0</v>
      </c>
      <c r="E401"/>
      <c r="F401" s="31">
        <f>SUMIFS(F402:F1057,K402:K1057,"0",B402:B1057,"5 1 1 1 3 12*")</f>
        <v>4900503.209999999</v>
      </c>
      <c r="G401" s="31">
        <f>SUMIFS(G402:G1057,K402:K1057,"0",B402:B1057,"5 1 1 1 3 12*")</f>
        <v>0</v>
      </c>
      <c r="H401" s="31">
        <f t="shared" si="9"/>
        <v>4900503.209999999</v>
      </c>
      <c r="I401" s="31"/>
      <c r="K401" t="s">
        <v>14</v>
      </c>
    </row>
    <row r="402" spans="2:11" ht="13" x14ac:dyDescent="0.15">
      <c r="B402" s="29" t="s">
        <v>626</v>
      </c>
      <c r="C402" s="29" t="s">
        <v>27</v>
      </c>
      <c r="D402" s="31">
        <f>SUMIFS(D403:D1057,K403:K1057,"0",B403:B1057,"5 1 1 1 3 12 31111*")-SUMIFS(E403:E1057,K403:K1057,"0",B403:B1057,"5 1 1 1 3 12 31111*")</f>
        <v>0</v>
      </c>
      <c r="E402"/>
      <c r="F402" s="31">
        <f>SUMIFS(F403:F1057,K403:K1057,"0",B403:B1057,"5 1 1 1 3 12 31111*")</f>
        <v>4900503.209999999</v>
      </c>
      <c r="G402" s="31">
        <f>SUMIFS(G403:G1057,K403:K1057,"0",B403:B1057,"5 1 1 1 3 12 31111*")</f>
        <v>0</v>
      </c>
      <c r="H402" s="31">
        <f t="shared" si="9"/>
        <v>4900503.209999999</v>
      </c>
      <c r="I402" s="31"/>
      <c r="K402" t="s">
        <v>14</v>
      </c>
    </row>
    <row r="403" spans="2:11" ht="13" x14ac:dyDescent="0.15">
      <c r="B403" s="29" t="s">
        <v>627</v>
      </c>
      <c r="C403" s="29" t="s">
        <v>29</v>
      </c>
      <c r="D403" s="31">
        <f>SUMIFS(D404:D1057,K404:K1057,"0",B404:B1057,"5 1 1 1 3 12 31111 6*")-SUMIFS(E404:E1057,K404:K1057,"0",B404:B1057,"5 1 1 1 3 12 31111 6*")</f>
        <v>0</v>
      </c>
      <c r="E403"/>
      <c r="F403" s="31">
        <f>SUMIFS(F404:F1057,K404:K1057,"0",B404:B1057,"5 1 1 1 3 12 31111 6*")</f>
        <v>4900503.209999999</v>
      </c>
      <c r="G403" s="31">
        <f>SUMIFS(G404:G1057,K404:K1057,"0",B404:B1057,"5 1 1 1 3 12 31111 6*")</f>
        <v>0</v>
      </c>
      <c r="H403" s="31">
        <f t="shared" si="9"/>
        <v>4900503.209999999</v>
      </c>
      <c r="I403" s="31"/>
      <c r="K403" t="s">
        <v>14</v>
      </c>
    </row>
    <row r="404" spans="2:11" ht="13" x14ac:dyDescent="0.15">
      <c r="B404" s="29" t="s">
        <v>628</v>
      </c>
      <c r="C404" s="29" t="s">
        <v>629</v>
      </c>
      <c r="D404" s="31">
        <f>SUMIFS(D405:D1057,K405:K1057,"0",B405:B1057,"5 1 1 1 3 12 31111 6 M78*")-SUMIFS(E405:E1057,K405:K1057,"0",B405:B1057,"5 1 1 1 3 12 31111 6 M78*")</f>
        <v>0</v>
      </c>
      <c r="E404"/>
      <c r="F404" s="31">
        <f>SUMIFS(F405:F1057,K405:K1057,"0",B405:B1057,"5 1 1 1 3 12 31111 6 M78*")</f>
        <v>4900503.209999999</v>
      </c>
      <c r="G404" s="31">
        <f>SUMIFS(G405:G1057,K405:K1057,"0",B405:B1057,"5 1 1 1 3 12 31111 6 M78*")</f>
        <v>0</v>
      </c>
      <c r="H404" s="31">
        <f t="shared" si="9"/>
        <v>4900503.209999999</v>
      </c>
      <c r="I404" s="31"/>
      <c r="K404" t="s">
        <v>14</v>
      </c>
    </row>
    <row r="405" spans="2:11" ht="13" x14ac:dyDescent="0.15">
      <c r="B405" s="29" t="s">
        <v>630</v>
      </c>
      <c r="C405" s="29" t="s">
        <v>631</v>
      </c>
      <c r="D405" s="31">
        <f>SUMIFS(D406:D1057,K406:K1057,"0",B406:B1057,"5 1 1 1 3 12 31111 6 M78 03000*")-SUMIFS(E406:E1057,K406:K1057,"0",B406:B1057,"5 1 1 1 3 12 31111 6 M78 03000*")</f>
        <v>0</v>
      </c>
      <c r="E405"/>
      <c r="F405" s="31">
        <f>SUMIFS(F406:F1057,K406:K1057,"0",B406:B1057,"5 1 1 1 3 12 31111 6 M78 03000*")</f>
        <v>526647.19999999995</v>
      </c>
      <c r="G405" s="31">
        <f>SUMIFS(G406:G1057,K406:K1057,"0",B406:B1057,"5 1 1 1 3 12 31111 6 M78 03000*")</f>
        <v>0</v>
      </c>
      <c r="H405" s="31">
        <f t="shared" si="9"/>
        <v>526647.19999999995</v>
      </c>
      <c r="I405" s="31"/>
      <c r="K405" t="s">
        <v>14</v>
      </c>
    </row>
    <row r="406" spans="2:11" ht="13" x14ac:dyDescent="0.15">
      <c r="B406" s="29" t="s">
        <v>632</v>
      </c>
      <c r="C406" s="29" t="s">
        <v>633</v>
      </c>
      <c r="D406" s="31">
        <f>SUMIFS(D407:D1057,K407:K1057,"0",B407:B1057,"5 1 1 1 3 12 31111 6 M78 03000 135*")-SUMIFS(E407:E1057,K407:K1057,"0",B407:B1057,"5 1 1 1 3 12 31111 6 M78 03000 135*")</f>
        <v>0</v>
      </c>
      <c r="E406"/>
      <c r="F406" s="31">
        <f>SUMIFS(F407:F1057,K407:K1057,"0",B407:B1057,"5 1 1 1 3 12 31111 6 M78 03000 135*")</f>
        <v>526647.19999999995</v>
      </c>
      <c r="G406" s="31">
        <f>SUMIFS(G407:G1057,K407:K1057,"0",B407:B1057,"5 1 1 1 3 12 31111 6 M78 03000 135*")</f>
        <v>0</v>
      </c>
      <c r="H406" s="31">
        <f t="shared" si="9"/>
        <v>526647.19999999995</v>
      </c>
      <c r="I406" s="31"/>
      <c r="K406" t="s">
        <v>14</v>
      </c>
    </row>
    <row r="407" spans="2:11" ht="13" x14ac:dyDescent="0.15">
      <c r="B407" s="29" t="s">
        <v>634</v>
      </c>
      <c r="C407" s="29" t="s">
        <v>180</v>
      </c>
      <c r="D407" s="31">
        <f>SUMIFS(D408:D1057,K408:K1057,"0",B408:B1057,"5 1 1 1 3 12 31111 6 M78 03000 135 00I*")-SUMIFS(E408:E1057,K408:K1057,"0",B408:B1057,"5 1 1 1 3 12 31111 6 M78 03000 135 00I*")</f>
        <v>0</v>
      </c>
      <c r="E407"/>
      <c r="F407" s="31">
        <f>SUMIFS(F408:F1057,K408:K1057,"0",B408:B1057,"5 1 1 1 3 12 31111 6 M78 03000 135 00I*")</f>
        <v>526647.19999999995</v>
      </c>
      <c r="G407" s="31">
        <f>SUMIFS(G408:G1057,K408:K1057,"0",B408:B1057,"5 1 1 1 3 12 31111 6 M78 03000 135 00I*")</f>
        <v>0</v>
      </c>
      <c r="H407" s="31">
        <f t="shared" si="9"/>
        <v>526647.19999999995</v>
      </c>
      <c r="I407" s="31"/>
      <c r="K407" t="s">
        <v>14</v>
      </c>
    </row>
    <row r="408" spans="2:11" ht="13" x14ac:dyDescent="0.15">
      <c r="B408" s="29" t="s">
        <v>635</v>
      </c>
      <c r="C408" s="29" t="s">
        <v>562</v>
      </c>
      <c r="D408" s="31">
        <f>SUMIFS(D409:D1057,K409:K1057,"0",B409:B1057,"5 1 1 1 3 12 31111 6 M78 03000 135 00I 001*")-SUMIFS(E409:E1057,K409:K1057,"0",B409:B1057,"5 1 1 1 3 12 31111 6 M78 03000 135 00I 001*")</f>
        <v>0</v>
      </c>
      <c r="E408"/>
      <c r="F408" s="31">
        <f>SUMIFS(F409:F1057,K409:K1057,"0",B409:B1057,"5 1 1 1 3 12 31111 6 M78 03000 135 00I 001*")</f>
        <v>526647.19999999995</v>
      </c>
      <c r="G408" s="31">
        <f>SUMIFS(G409:G1057,K409:K1057,"0",B409:B1057,"5 1 1 1 3 12 31111 6 M78 03000 135 00I 001*")</f>
        <v>0</v>
      </c>
      <c r="H408" s="31">
        <f t="shared" si="9"/>
        <v>526647.19999999995</v>
      </c>
      <c r="I408" s="31"/>
      <c r="K408" t="s">
        <v>14</v>
      </c>
    </row>
    <row r="409" spans="2:11" ht="13" x14ac:dyDescent="0.15">
      <c r="B409" s="29" t="s">
        <v>636</v>
      </c>
      <c r="C409" s="29" t="s">
        <v>637</v>
      </c>
      <c r="D409" s="31">
        <f>SUMIFS(D410:D1057,K410:K1057,"0",B410:B1057,"5 1 1 1 3 12 31111 6 M78 03000 135 00I 001 11301*")-SUMIFS(E410:E1057,K410:K1057,"0",B410:B1057,"5 1 1 1 3 12 31111 6 M78 03000 135 00I 001 11301*")</f>
        <v>0</v>
      </c>
      <c r="E409"/>
      <c r="F409" s="31">
        <f>SUMIFS(F410:F1057,K410:K1057,"0",B410:B1057,"5 1 1 1 3 12 31111 6 M78 03000 135 00I 001 11301*")</f>
        <v>526647.19999999995</v>
      </c>
      <c r="G409" s="31">
        <f>SUMIFS(G410:G1057,K410:K1057,"0",B410:B1057,"5 1 1 1 3 12 31111 6 M78 03000 135 00I 001 11301*")</f>
        <v>0</v>
      </c>
      <c r="H409" s="31">
        <f t="shared" si="9"/>
        <v>526647.19999999995</v>
      </c>
      <c r="I409" s="31"/>
      <c r="K409" t="s">
        <v>14</v>
      </c>
    </row>
    <row r="410" spans="2:11" ht="13" x14ac:dyDescent="0.15">
      <c r="B410" s="29" t="s">
        <v>638</v>
      </c>
      <c r="C410" s="29" t="s">
        <v>186</v>
      </c>
      <c r="D410" s="31">
        <f>SUMIFS(D411:D1057,K411:K1057,"0",B411:B1057,"5 1 1 1 3 12 31111 6 M78 03000 135 00I 001 11301 025*")-SUMIFS(E411:E1057,K411:K1057,"0",B411:B1057,"5 1 1 1 3 12 31111 6 M78 03000 135 00I 001 11301 025*")</f>
        <v>0</v>
      </c>
      <c r="E410"/>
      <c r="F410" s="31">
        <f>SUMIFS(F411:F1057,K411:K1057,"0",B411:B1057,"5 1 1 1 3 12 31111 6 M78 03000 135 00I 001 11301 025*")</f>
        <v>526647.19999999995</v>
      </c>
      <c r="G410" s="31">
        <f>SUMIFS(G411:G1057,K411:K1057,"0",B411:B1057,"5 1 1 1 3 12 31111 6 M78 03000 135 00I 001 11301 025*")</f>
        <v>0</v>
      </c>
      <c r="H410" s="31">
        <f t="shared" si="9"/>
        <v>526647.19999999995</v>
      </c>
      <c r="I410" s="31"/>
      <c r="K410" t="s">
        <v>14</v>
      </c>
    </row>
    <row r="411" spans="2:11" ht="22" x14ac:dyDescent="0.15">
      <c r="B411" s="29" t="s">
        <v>639</v>
      </c>
      <c r="C411" s="29" t="s">
        <v>640</v>
      </c>
      <c r="D411" s="31">
        <f>SUMIFS(D412:D1057,K412:K1057,"0",B412:B1057,"5 1 1 1 3 12 31111 6 M78 03000 135 00I 001 11301 025 2111100*")-SUMIFS(E412:E1057,K412:K1057,"0",B412:B1057,"5 1 1 1 3 12 31111 6 M78 03000 135 00I 001 11301 025 2111100*")</f>
        <v>0</v>
      </c>
      <c r="E411"/>
      <c r="F411" s="31">
        <f>SUMIFS(F412:F1057,K412:K1057,"0",B412:B1057,"5 1 1 1 3 12 31111 6 M78 03000 135 00I 001 11301 025 2111100*")</f>
        <v>526647.19999999995</v>
      </c>
      <c r="G411" s="31">
        <f>SUMIFS(G412:G1057,K412:K1057,"0",B412:B1057,"5 1 1 1 3 12 31111 6 M78 03000 135 00I 001 11301 025 2111100*")</f>
        <v>0</v>
      </c>
      <c r="H411" s="31">
        <f t="shared" si="9"/>
        <v>526647.19999999995</v>
      </c>
      <c r="I411" s="31"/>
      <c r="K411" t="s">
        <v>14</v>
      </c>
    </row>
    <row r="412" spans="2:11" ht="22" x14ac:dyDescent="0.15">
      <c r="B412" s="29" t="s">
        <v>641</v>
      </c>
      <c r="C412" s="29" t="s">
        <v>294</v>
      </c>
      <c r="D412" s="31">
        <f>SUMIFS(D413:D1057,K413:K1057,"0",B413:B1057,"5 1 1 1 3 12 31111 6 M78 03000 135 00I 001 11301 025 2111100 2024*")-SUMIFS(E413:E1057,K413:K1057,"0",B413:B1057,"5 1 1 1 3 12 31111 6 M78 03000 135 00I 001 11301 025 2111100 2024*")</f>
        <v>0</v>
      </c>
      <c r="E412"/>
      <c r="F412" s="31">
        <f>SUMIFS(F413:F1057,K413:K1057,"0",B413:B1057,"5 1 1 1 3 12 31111 6 M78 03000 135 00I 001 11301 025 2111100 2024*")</f>
        <v>526647.19999999995</v>
      </c>
      <c r="G412" s="31">
        <f>SUMIFS(G413:G1057,K413:K1057,"0",B413:B1057,"5 1 1 1 3 12 31111 6 M78 03000 135 00I 001 11301 025 2111100 2024*")</f>
        <v>0</v>
      </c>
      <c r="H412" s="31">
        <f t="shared" si="9"/>
        <v>526647.19999999995</v>
      </c>
      <c r="I412" s="31"/>
      <c r="K412" t="s">
        <v>14</v>
      </c>
    </row>
    <row r="413" spans="2:11" ht="22" x14ac:dyDescent="0.15">
      <c r="B413" s="29" t="s">
        <v>642</v>
      </c>
      <c r="C413" s="29" t="s">
        <v>192</v>
      </c>
      <c r="D413" s="31">
        <f>SUMIFS(D414:D1057,K414:K1057,"0",B414:B1057,"5 1 1 1 3 12 31111 6 M78 03000 135 00I 001 11301 025 2111100 2024 00000000*")-SUMIFS(E414:E1057,K414:K1057,"0",B414:B1057,"5 1 1 1 3 12 31111 6 M78 03000 135 00I 001 11301 025 2111100 2024 00000000*")</f>
        <v>0</v>
      </c>
      <c r="E413"/>
      <c r="F413" s="31">
        <f>SUMIFS(F414:F1057,K414:K1057,"0",B414:B1057,"5 1 1 1 3 12 31111 6 M78 03000 135 00I 001 11301 025 2111100 2024 00000000*")</f>
        <v>526647.19999999995</v>
      </c>
      <c r="G413" s="31">
        <f>SUMIFS(G414:G1057,K414:K1057,"0",B414:B1057,"5 1 1 1 3 12 31111 6 M78 03000 135 00I 001 11301 025 2111100 2024 00000000*")</f>
        <v>0</v>
      </c>
      <c r="H413" s="31">
        <f t="shared" si="9"/>
        <v>526647.19999999995</v>
      </c>
      <c r="I413" s="31"/>
      <c r="K413" t="s">
        <v>14</v>
      </c>
    </row>
    <row r="414" spans="2:11" ht="22" x14ac:dyDescent="0.15">
      <c r="B414" s="29" t="s">
        <v>643</v>
      </c>
      <c r="C414" s="29" t="s">
        <v>9</v>
      </c>
      <c r="D414" s="31">
        <f>SUMIFS(D415:D1057,K415:K1057,"0",B415:B1057,"5 1 1 1 3 12 31111 6 M78 03000 135 00I 001 11301 025 2111100 2024 00000000 003*")-SUMIFS(E415:E1057,K415:K1057,"0",B415:B1057,"5 1 1 1 3 12 31111 6 M78 03000 135 00I 001 11301 025 2111100 2024 00000000 003*")</f>
        <v>0</v>
      </c>
      <c r="E414"/>
      <c r="F414" s="31">
        <f>SUMIFS(F415:F1057,K415:K1057,"0",B415:B1057,"5 1 1 1 3 12 31111 6 M78 03000 135 00I 001 11301 025 2111100 2024 00000000 003*")</f>
        <v>526647.19999999995</v>
      </c>
      <c r="G414" s="31">
        <f>SUMIFS(G415:G1057,K415:K1057,"0",B415:B1057,"5 1 1 1 3 12 31111 6 M78 03000 135 00I 001 11301 025 2111100 2024 00000000 003*")</f>
        <v>0</v>
      </c>
      <c r="H414" s="31">
        <f t="shared" si="9"/>
        <v>526647.19999999995</v>
      </c>
      <c r="I414" s="31"/>
      <c r="K414" t="s">
        <v>14</v>
      </c>
    </row>
    <row r="415" spans="2:11" ht="22" x14ac:dyDescent="0.15">
      <c r="B415" s="29" t="s">
        <v>644</v>
      </c>
      <c r="C415" s="29" t="s">
        <v>645</v>
      </c>
      <c r="D415" s="31">
        <f>SUMIFS(D416:D1057,K416:K1057,"0",B416:B1057,"5 1 1 1 3 12 31111 6 M78 03000 135 00I 001 11301 025 2111100 2024 00000000 003 001*")-SUMIFS(E416:E1057,K416:K1057,"0",B416:B1057,"5 1 1 1 3 12 31111 6 M78 03000 135 00I 001 11301 025 2111100 2024 00000000 003 001*")</f>
        <v>0</v>
      </c>
      <c r="E415"/>
      <c r="F415" s="31">
        <f>SUMIFS(F416:F1057,K416:K1057,"0",B416:B1057,"5 1 1 1 3 12 31111 6 M78 03000 135 00I 001 11301 025 2111100 2024 00000000 003 001*")</f>
        <v>526647.19999999995</v>
      </c>
      <c r="G415" s="31">
        <f>SUMIFS(G416:G1057,K416:K1057,"0",B416:B1057,"5 1 1 1 3 12 31111 6 M78 03000 135 00I 001 11301 025 2111100 2024 00000000 003 001*")</f>
        <v>0</v>
      </c>
      <c r="H415" s="31">
        <f t="shared" si="9"/>
        <v>526647.19999999995</v>
      </c>
      <c r="I415" s="31"/>
      <c r="K415" t="s">
        <v>14</v>
      </c>
    </row>
    <row r="416" spans="2:11" ht="22" x14ac:dyDescent="0.15">
      <c r="B416" s="27" t="s">
        <v>646</v>
      </c>
      <c r="C416" s="27" t="s">
        <v>647</v>
      </c>
      <c r="D416" s="30">
        <v>0</v>
      </c>
      <c r="E416" s="30"/>
      <c r="F416" s="30">
        <v>526647.19999999995</v>
      </c>
      <c r="G416" s="30">
        <v>0</v>
      </c>
      <c r="H416" s="30">
        <f t="shared" si="9"/>
        <v>526647.19999999995</v>
      </c>
      <c r="I416" s="30"/>
      <c r="K416" t="s">
        <v>38</v>
      </c>
    </row>
    <row r="417" spans="2:11" ht="13" x14ac:dyDescent="0.15">
      <c r="B417" s="29" t="s">
        <v>648</v>
      </c>
      <c r="C417" s="29" t="s">
        <v>649</v>
      </c>
      <c r="D417" s="31">
        <f>SUMIFS(D418:D1057,K418:K1057,"0",B418:B1057,"5 1 1 1 3 12 31111 6 M78 04000*")-SUMIFS(E418:E1057,K418:K1057,"0",B418:B1057,"5 1 1 1 3 12 31111 6 M78 04000*")</f>
        <v>0</v>
      </c>
      <c r="E417"/>
      <c r="F417" s="31">
        <f>SUMIFS(F418:F1057,K418:K1057,"0",B418:B1057,"5 1 1 1 3 12 31111 6 M78 04000*")</f>
        <v>658770.68000000005</v>
      </c>
      <c r="G417" s="31">
        <f>SUMIFS(G418:G1057,K418:K1057,"0",B418:B1057,"5 1 1 1 3 12 31111 6 M78 04000*")</f>
        <v>0</v>
      </c>
      <c r="H417" s="31">
        <f t="shared" si="9"/>
        <v>658770.68000000005</v>
      </c>
      <c r="I417" s="31"/>
      <c r="K417" t="s">
        <v>14</v>
      </c>
    </row>
    <row r="418" spans="2:11" ht="13" x14ac:dyDescent="0.15">
      <c r="B418" s="29" t="s">
        <v>650</v>
      </c>
      <c r="C418" s="29" t="s">
        <v>651</v>
      </c>
      <c r="D418" s="31">
        <f>SUMIFS(D419:D1057,K419:K1057,"0",B419:B1057,"5 1 1 1 3 12 31111 6 M78 04000 152*")-SUMIFS(E419:E1057,K419:K1057,"0",B419:B1057,"5 1 1 1 3 12 31111 6 M78 04000 152*")</f>
        <v>0</v>
      </c>
      <c r="E418"/>
      <c r="F418" s="31">
        <f>SUMIFS(F419:F1057,K419:K1057,"0",B419:B1057,"5 1 1 1 3 12 31111 6 M78 04000 152*")</f>
        <v>658770.68000000005</v>
      </c>
      <c r="G418" s="31">
        <f>SUMIFS(G419:G1057,K419:K1057,"0",B419:B1057,"5 1 1 1 3 12 31111 6 M78 04000 152*")</f>
        <v>0</v>
      </c>
      <c r="H418" s="31">
        <f t="shared" si="9"/>
        <v>658770.68000000005</v>
      </c>
      <c r="I418" s="31"/>
      <c r="K418" t="s">
        <v>14</v>
      </c>
    </row>
    <row r="419" spans="2:11" ht="13" x14ac:dyDescent="0.15">
      <c r="B419" s="29" t="s">
        <v>652</v>
      </c>
      <c r="C419" s="29" t="s">
        <v>180</v>
      </c>
      <c r="D419" s="31">
        <f>SUMIFS(D420:D1057,K420:K1057,"0",B420:B1057,"5 1 1 1 3 12 31111 6 M78 04000 152 00I*")-SUMIFS(E420:E1057,K420:K1057,"0",B420:B1057,"5 1 1 1 3 12 31111 6 M78 04000 152 00I*")</f>
        <v>0</v>
      </c>
      <c r="E419"/>
      <c r="F419" s="31">
        <f>SUMIFS(F420:F1057,K420:K1057,"0",B420:B1057,"5 1 1 1 3 12 31111 6 M78 04000 152 00I*")</f>
        <v>658770.68000000005</v>
      </c>
      <c r="G419" s="31">
        <f>SUMIFS(G420:G1057,K420:K1057,"0",B420:B1057,"5 1 1 1 3 12 31111 6 M78 04000 152 00I*")</f>
        <v>0</v>
      </c>
      <c r="H419" s="31">
        <f t="shared" si="9"/>
        <v>658770.68000000005</v>
      </c>
      <c r="I419" s="31"/>
      <c r="K419" t="s">
        <v>14</v>
      </c>
    </row>
    <row r="420" spans="2:11" ht="13" x14ac:dyDescent="0.15">
      <c r="B420" s="29" t="s">
        <v>653</v>
      </c>
      <c r="C420" s="29" t="s">
        <v>562</v>
      </c>
      <c r="D420" s="31">
        <f>SUMIFS(D421:D1057,K421:K1057,"0",B421:B1057,"5 1 1 1 3 12 31111 6 M78 04000 152 00I 001*")-SUMIFS(E421:E1057,K421:K1057,"0",B421:B1057,"5 1 1 1 3 12 31111 6 M78 04000 152 00I 001*")</f>
        <v>0</v>
      </c>
      <c r="E420"/>
      <c r="F420" s="31">
        <f>SUMIFS(F421:F1057,K421:K1057,"0",B421:B1057,"5 1 1 1 3 12 31111 6 M78 04000 152 00I 001*")</f>
        <v>658770.68000000005</v>
      </c>
      <c r="G420" s="31">
        <f>SUMIFS(G421:G1057,K421:K1057,"0",B421:B1057,"5 1 1 1 3 12 31111 6 M78 04000 152 00I 001*")</f>
        <v>0</v>
      </c>
      <c r="H420" s="31">
        <f t="shared" si="9"/>
        <v>658770.68000000005</v>
      </c>
      <c r="I420" s="31"/>
      <c r="K420" t="s">
        <v>14</v>
      </c>
    </row>
    <row r="421" spans="2:11" ht="13" x14ac:dyDescent="0.15">
      <c r="B421" s="29" t="s">
        <v>654</v>
      </c>
      <c r="C421" s="29" t="s">
        <v>637</v>
      </c>
      <c r="D421" s="31">
        <f>SUMIFS(D422:D1057,K422:K1057,"0",B422:B1057,"5 1 1 1 3 12 31111 6 M78 04000 152 00I 001 11301*")-SUMIFS(E422:E1057,K422:K1057,"0",B422:B1057,"5 1 1 1 3 12 31111 6 M78 04000 152 00I 001 11301*")</f>
        <v>0</v>
      </c>
      <c r="E421"/>
      <c r="F421" s="31">
        <f>SUMIFS(F422:F1057,K422:K1057,"0",B422:B1057,"5 1 1 1 3 12 31111 6 M78 04000 152 00I 001 11301*")</f>
        <v>658770.68000000005</v>
      </c>
      <c r="G421" s="31">
        <f>SUMIFS(G422:G1057,K422:K1057,"0",B422:B1057,"5 1 1 1 3 12 31111 6 M78 04000 152 00I 001 11301*")</f>
        <v>0</v>
      </c>
      <c r="H421" s="31">
        <f t="shared" si="9"/>
        <v>658770.68000000005</v>
      </c>
      <c r="I421" s="31"/>
      <c r="K421" t="s">
        <v>14</v>
      </c>
    </row>
    <row r="422" spans="2:11" ht="13" x14ac:dyDescent="0.15">
      <c r="B422" s="29" t="s">
        <v>655</v>
      </c>
      <c r="C422" s="29" t="s">
        <v>186</v>
      </c>
      <c r="D422" s="31">
        <f>SUMIFS(D423:D1057,K423:K1057,"0",B423:B1057,"5 1 1 1 3 12 31111 6 M78 04000 152 00I 001 11301 025*")-SUMIFS(E423:E1057,K423:K1057,"0",B423:B1057,"5 1 1 1 3 12 31111 6 M78 04000 152 00I 001 11301 025*")</f>
        <v>0</v>
      </c>
      <c r="E422"/>
      <c r="F422" s="31">
        <f>SUMIFS(F423:F1057,K423:K1057,"0",B423:B1057,"5 1 1 1 3 12 31111 6 M78 04000 152 00I 001 11301 025*")</f>
        <v>658770.68000000005</v>
      </c>
      <c r="G422" s="31">
        <f>SUMIFS(G423:G1057,K423:K1057,"0",B423:B1057,"5 1 1 1 3 12 31111 6 M78 04000 152 00I 001 11301 025*")</f>
        <v>0</v>
      </c>
      <c r="H422" s="31">
        <f t="shared" si="9"/>
        <v>658770.68000000005</v>
      </c>
      <c r="I422" s="31"/>
      <c r="K422" t="s">
        <v>14</v>
      </c>
    </row>
    <row r="423" spans="2:11" ht="22" x14ac:dyDescent="0.15">
      <c r="B423" s="29" t="s">
        <v>656</v>
      </c>
      <c r="C423" s="29" t="s">
        <v>640</v>
      </c>
      <c r="D423" s="31">
        <f>SUMIFS(D424:D1057,K424:K1057,"0",B424:B1057,"5 1 1 1 3 12 31111 6 M78 04000 152 00I 001 11301 025 2111100*")-SUMIFS(E424:E1057,K424:K1057,"0",B424:B1057,"5 1 1 1 3 12 31111 6 M78 04000 152 00I 001 11301 025 2111100*")</f>
        <v>0</v>
      </c>
      <c r="E423"/>
      <c r="F423" s="31">
        <f>SUMIFS(F424:F1057,K424:K1057,"0",B424:B1057,"5 1 1 1 3 12 31111 6 M78 04000 152 00I 001 11301 025 2111100*")</f>
        <v>658770.68000000005</v>
      </c>
      <c r="G423" s="31">
        <f>SUMIFS(G424:G1057,K424:K1057,"0",B424:B1057,"5 1 1 1 3 12 31111 6 M78 04000 152 00I 001 11301 025 2111100*")</f>
        <v>0</v>
      </c>
      <c r="H423" s="31">
        <f t="shared" si="9"/>
        <v>658770.68000000005</v>
      </c>
      <c r="I423" s="31"/>
      <c r="K423" t="s">
        <v>14</v>
      </c>
    </row>
    <row r="424" spans="2:11" ht="22" x14ac:dyDescent="0.15">
      <c r="B424" s="29" t="s">
        <v>657</v>
      </c>
      <c r="C424" s="29" t="s">
        <v>294</v>
      </c>
      <c r="D424" s="31">
        <f>SUMIFS(D425:D1057,K425:K1057,"0",B425:B1057,"5 1 1 1 3 12 31111 6 M78 04000 152 00I 001 11301 025 2111100 2024*")-SUMIFS(E425:E1057,K425:K1057,"0",B425:B1057,"5 1 1 1 3 12 31111 6 M78 04000 152 00I 001 11301 025 2111100 2024*")</f>
        <v>0</v>
      </c>
      <c r="E424"/>
      <c r="F424" s="31">
        <f>SUMIFS(F425:F1057,K425:K1057,"0",B425:B1057,"5 1 1 1 3 12 31111 6 M78 04000 152 00I 001 11301 025 2111100 2024*")</f>
        <v>658770.68000000005</v>
      </c>
      <c r="G424" s="31">
        <f>SUMIFS(G425:G1057,K425:K1057,"0",B425:B1057,"5 1 1 1 3 12 31111 6 M78 04000 152 00I 001 11301 025 2111100 2024*")</f>
        <v>0</v>
      </c>
      <c r="H424" s="31">
        <f t="shared" si="9"/>
        <v>658770.68000000005</v>
      </c>
      <c r="I424" s="31"/>
      <c r="K424" t="s">
        <v>14</v>
      </c>
    </row>
    <row r="425" spans="2:11" ht="22" x14ac:dyDescent="0.15">
      <c r="B425" s="29" t="s">
        <v>658</v>
      </c>
      <c r="C425" s="29" t="s">
        <v>192</v>
      </c>
      <c r="D425" s="31">
        <f>SUMIFS(D426:D1057,K426:K1057,"0",B426:B1057,"5 1 1 1 3 12 31111 6 M78 04000 152 00I 001 11301 025 2111100 2024 00000000*")-SUMIFS(E426:E1057,K426:K1057,"0",B426:B1057,"5 1 1 1 3 12 31111 6 M78 04000 152 00I 001 11301 025 2111100 2024 00000000*")</f>
        <v>0</v>
      </c>
      <c r="E425"/>
      <c r="F425" s="31">
        <f>SUMIFS(F426:F1057,K426:K1057,"0",B426:B1057,"5 1 1 1 3 12 31111 6 M78 04000 152 00I 001 11301 025 2111100 2024 00000000*")</f>
        <v>658770.68000000005</v>
      </c>
      <c r="G425" s="31">
        <f>SUMIFS(G426:G1057,K426:K1057,"0",B426:B1057,"5 1 1 1 3 12 31111 6 M78 04000 152 00I 001 11301 025 2111100 2024 00000000*")</f>
        <v>0</v>
      </c>
      <c r="H425" s="31">
        <f t="shared" si="9"/>
        <v>658770.68000000005</v>
      </c>
      <c r="I425" s="31"/>
      <c r="K425" t="s">
        <v>14</v>
      </c>
    </row>
    <row r="426" spans="2:11" ht="22" x14ac:dyDescent="0.15">
      <c r="B426" s="29" t="s">
        <v>659</v>
      </c>
      <c r="C426" s="29" t="s">
        <v>9</v>
      </c>
      <c r="D426" s="31">
        <f>SUMIFS(D427:D1057,K427:K1057,"0",B427:B1057,"5 1 1 1 3 12 31111 6 M78 04000 152 00I 001 11301 025 2111100 2024 00000000 003*")-SUMIFS(E427:E1057,K427:K1057,"0",B427:B1057,"5 1 1 1 3 12 31111 6 M78 04000 152 00I 001 11301 025 2111100 2024 00000000 003*")</f>
        <v>0</v>
      </c>
      <c r="E426"/>
      <c r="F426" s="31">
        <f>SUMIFS(F427:F1057,K427:K1057,"0",B427:B1057,"5 1 1 1 3 12 31111 6 M78 04000 152 00I 001 11301 025 2111100 2024 00000000 003*")</f>
        <v>658770.68000000005</v>
      </c>
      <c r="G426" s="31">
        <f>SUMIFS(G427:G1057,K427:K1057,"0",B427:B1057,"5 1 1 1 3 12 31111 6 M78 04000 152 00I 001 11301 025 2111100 2024 00000000 003*")</f>
        <v>0</v>
      </c>
      <c r="H426" s="31">
        <f t="shared" si="9"/>
        <v>658770.68000000005</v>
      </c>
      <c r="I426" s="31"/>
      <c r="K426" t="s">
        <v>14</v>
      </c>
    </row>
    <row r="427" spans="2:11" ht="22" x14ac:dyDescent="0.15">
      <c r="B427" s="29" t="s">
        <v>660</v>
      </c>
      <c r="C427" s="29" t="s">
        <v>661</v>
      </c>
      <c r="D427" s="31">
        <f>SUMIFS(D428:D1057,K428:K1057,"0",B428:B1057,"5 1 1 1 3 12 31111 6 M78 04000 152 00I 001 11301 025 2111100 2024 00000000 003 001*")-SUMIFS(E428:E1057,K428:K1057,"0",B428:B1057,"5 1 1 1 3 12 31111 6 M78 04000 152 00I 001 11301 025 2111100 2024 00000000 003 001*")</f>
        <v>0</v>
      </c>
      <c r="E427"/>
      <c r="F427" s="31">
        <f>SUMIFS(F428:F1057,K428:K1057,"0",B428:B1057,"5 1 1 1 3 12 31111 6 M78 04000 152 00I 001 11301 025 2111100 2024 00000000 003 001*")</f>
        <v>658770.68000000005</v>
      </c>
      <c r="G427" s="31">
        <f>SUMIFS(G428:G1057,K428:K1057,"0",B428:B1057,"5 1 1 1 3 12 31111 6 M78 04000 152 00I 001 11301 025 2111100 2024 00000000 003 001*")</f>
        <v>0</v>
      </c>
      <c r="H427" s="31">
        <f t="shared" si="9"/>
        <v>658770.68000000005</v>
      </c>
      <c r="I427" s="31"/>
      <c r="K427" t="s">
        <v>14</v>
      </c>
    </row>
    <row r="428" spans="2:11" ht="22" x14ac:dyDescent="0.15">
      <c r="B428" s="27" t="s">
        <v>662</v>
      </c>
      <c r="C428" s="27" t="s">
        <v>663</v>
      </c>
      <c r="D428" s="30">
        <v>0</v>
      </c>
      <c r="E428" s="30"/>
      <c r="F428" s="30">
        <v>658770.68000000005</v>
      </c>
      <c r="G428" s="30">
        <v>0</v>
      </c>
      <c r="H428" s="30">
        <f t="shared" si="9"/>
        <v>658770.68000000005</v>
      </c>
      <c r="I428" s="30"/>
      <c r="K428" t="s">
        <v>38</v>
      </c>
    </row>
    <row r="429" spans="2:11" ht="13" x14ac:dyDescent="0.15">
      <c r="B429" s="29" t="s">
        <v>664</v>
      </c>
      <c r="C429" s="29" t="s">
        <v>176</v>
      </c>
      <c r="D429" s="31">
        <f>SUMIFS(D430:D1057,K430:K1057,"0",B430:B1057,"5 1 1 1 3 12 31111 6 M78 15000*")-SUMIFS(E430:E1057,K430:K1057,"0",B430:B1057,"5 1 1 1 3 12 31111 6 M78 15000*")</f>
        <v>0</v>
      </c>
      <c r="E429"/>
      <c r="F429" s="31">
        <f>SUMIFS(F430:F1057,K430:K1057,"0",B430:B1057,"5 1 1 1 3 12 31111 6 M78 15000*")</f>
        <v>1983113.18</v>
      </c>
      <c r="G429" s="31">
        <f>SUMIFS(G430:G1057,K430:K1057,"0",B430:B1057,"5 1 1 1 3 12 31111 6 M78 15000*")</f>
        <v>0</v>
      </c>
      <c r="H429" s="31">
        <f t="shared" si="9"/>
        <v>1983113.18</v>
      </c>
      <c r="I429" s="31"/>
      <c r="K429" t="s">
        <v>14</v>
      </c>
    </row>
    <row r="430" spans="2:11" ht="13" x14ac:dyDescent="0.15">
      <c r="B430" s="29" t="s">
        <v>665</v>
      </c>
      <c r="C430" s="29" t="s">
        <v>178</v>
      </c>
      <c r="D430" s="31">
        <f>SUMIFS(D431:D1057,K431:K1057,"0",B431:B1057,"5 1 1 1 3 12 31111 6 M78 15000 171*")-SUMIFS(E431:E1057,K431:K1057,"0",B431:B1057,"5 1 1 1 3 12 31111 6 M78 15000 171*")</f>
        <v>0</v>
      </c>
      <c r="E430"/>
      <c r="F430" s="31">
        <f>SUMIFS(F431:F1057,K431:K1057,"0",B431:B1057,"5 1 1 1 3 12 31111 6 M78 15000 171*")</f>
        <v>1983113.18</v>
      </c>
      <c r="G430" s="31">
        <f>SUMIFS(G431:G1057,K431:K1057,"0",B431:B1057,"5 1 1 1 3 12 31111 6 M78 15000 171*")</f>
        <v>0</v>
      </c>
      <c r="H430" s="31">
        <f t="shared" si="9"/>
        <v>1983113.18</v>
      </c>
      <c r="I430" s="31"/>
      <c r="K430" t="s">
        <v>14</v>
      </c>
    </row>
    <row r="431" spans="2:11" ht="13" x14ac:dyDescent="0.15">
      <c r="B431" s="29" t="s">
        <v>666</v>
      </c>
      <c r="C431" s="29" t="s">
        <v>180</v>
      </c>
      <c r="D431" s="31">
        <f>SUMIFS(D432:D1057,K432:K1057,"0",B432:B1057,"5 1 1 1 3 12 31111 6 M78 15000 171 00I*")-SUMIFS(E432:E1057,K432:K1057,"0",B432:B1057,"5 1 1 1 3 12 31111 6 M78 15000 171 00I*")</f>
        <v>0</v>
      </c>
      <c r="E431"/>
      <c r="F431" s="31">
        <f>SUMIFS(F432:F1057,K432:K1057,"0",B432:B1057,"5 1 1 1 3 12 31111 6 M78 15000 171 00I*")</f>
        <v>1983113.18</v>
      </c>
      <c r="G431" s="31">
        <f>SUMIFS(G432:G1057,K432:K1057,"0",B432:B1057,"5 1 1 1 3 12 31111 6 M78 15000 171 00I*")</f>
        <v>0</v>
      </c>
      <c r="H431" s="31">
        <f t="shared" si="9"/>
        <v>1983113.18</v>
      </c>
      <c r="I431" s="31"/>
      <c r="K431" t="s">
        <v>14</v>
      </c>
    </row>
    <row r="432" spans="2:11" ht="13" x14ac:dyDescent="0.15">
      <c r="B432" s="29" t="s">
        <v>667</v>
      </c>
      <c r="C432" s="29" t="s">
        <v>562</v>
      </c>
      <c r="D432" s="31">
        <f>SUMIFS(D433:D1057,K433:K1057,"0",B433:B1057,"5 1 1 1 3 12 31111 6 M78 15000 171 00I 001*")-SUMIFS(E433:E1057,K433:K1057,"0",B433:B1057,"5 1 1 1 3 12 31111 6 M78 15000 171 00I 001*")</f>
        <v>0</v>
      </c>
      <c r="E432"/>
      <c r="F432" s="31">
        <f>SUMIFS(F433:F1057,K433:K1057,"0",B433:B1057,"5 1 1 1 3 12 31111 6 M78 15000 171 00I 001*")</f>
        <v>1983113.18</v>
      </c>
      <c r="G432" s="31">
        <f>SUMIFS(G433:G1057,K433:K1057,"0",B433:B1057,"5 1 1 1 3 12 31111 6 M78 15000 171 00I 001*")</f>
        <v>0</v>
      </c>
      <c r="H432" s="31">
        <f t="shared" si="9"/>
        <v>1983113.18</v>
      </c>
      <c r="I432" s="31"/>
      <c r="K432" t="s">
        <v>14</v>
      </c>
    </row>
    <row r="433" spans="2:11" ht="13" x14ac:dyDescent="0.15">
      <c r="B433" s="29" t="s">
        <v>668</v>
      </c>
      <c r="C433" s="29" t="s">
        <v>637</v>
      </c>
      <c r="D433" s="31">
        <f>SUMIFS(D434:D1057,K434:K1057,"0",B434:B1057,"5 1 1 1 3 12 31111 6 M78 15000 171 00I 001 11301*")-SUMIFS(E434:E1057,K434:K1057,"0",B434:B1057,"5 1 1 1 3 12 31111 6 M78 15000 171 00I 001 11301*")</f>
        <v>0</v>
      </c>
      <c r="E433"/>
      <c r="F433" s="31">
        <f>SUMIFS(F434:F1057,K434:K1057,"0",B434:B1057,"5 1 1 1 3 12 31111 6 M78 15000 171 00I 001 11301*")</f>
        <v>1983113.18</v>
      </c>
      <c r="G433" s="31">
        <f>SUMIFS(G434:G1057,K434:K1057,"0",B434:B1057,"5 1 1 1 3 12 31111 6 M78 15000 171 00I 001 11301*")</f>
        <v>0</v>
      </c>
      <c r="H433" s="31">
        <f t="shared" si="9"/>
        <v>1983113.18</v>
      </c>
      <c r="I433" s="31"/>
      <c r="K433" t="s">
        <v>14</v>
      </c>
    </row>
    <row r="434" spans="2:11" ht="13" x14ac:dyDescent="0.15">
      <c r="B434" s="29" t="s">
        <v>669</v>
      </c>
      <c r="C434" s="29" t="s">
        <v>186</v>
      </c>
      <c r="D434" s="31">
        <f>SUMIFS(D435:D1057,K435:K1057,"0",B435:B1057,"5 1 1 1 3 12 31111 6 M78 15000 171 00I 001 11301 025*")-SUMIFS(E435:E1057,K435:K1057,"0",B435:B1057,"5 1 1 1 3 12 31111 6 M78 15000 171 00I 001 11301 025*")</f>
        <v>0</v>
      </c>
      <c r="E434"/>
      <c r="F434" s="31">
        <f>SUMIFS(F435:F1057,K435:K1057,"0",B435:B1057,"5 1 1 1 3 12 31111 6 M78 15000 171 00I 001 11301 025*")</f>
        <v>1983113.18</v>
      </c>
      <c r="G434" s="31">
        <f>SUMIFS(G435:G1057,K435:K1057,"0",B435:B1057,"5 1 1 1 3 12 31111 6 M78 15000 171 00I 001 11301 025*")</f>
        <v>0</v>
      </c>
      <c r="H434" s="31">
        <f t="shared" si="9"/>
        <v>1983113.18</v>
      </c>
      <c r="I434" s="31"/>
      <c r="K434" t="s">
        <v>14</v>
      </c>
    </row>
    <row r="435" spans="2:11" ht="22" x14ac:dyDescent="0.15">
      <c r="B435" s="29" t="s">
        <v>670</v>
      </c>
      <c r="C435" s="29" t="s">
        <v>640</v>
      </c>
      <c r="D435" s="31">
        <f>SUMIFS(D436:D1057,K436:K1057,"0",B436:B1057,"5 1 1 1 3 12 31111 6 M78 15000 171 00I 001 11301 025 2111100*")-SUMIFS(E436:E1057,K436:K1057,"0",B436:B1057,"5 1 1 1 3 12 31111 6 M78 15000 171 00I 001 11301 025 2111100*")</f>
        <v>0</v>
      </c>
      <c r="E435"/>
      <c r="F435" s="31">
        <f>SUMIFS(F436:F1057,K436:K1057,"0",B436:B1057,"5 1 1 1 3 12 31111 6 M78 15000 171 00I 001 11301 025 2111100*")</f>
        <v>1983113.18</v>
      </c>
      <c r="G435" s="31">
        <f>SUMIFS(G436:G1057,K436:K1057,"0",B436:B1057,"5 1 1 1 3 12 31111 6 M78 15000 171 00I 001 11301 025 2111100*")</f>
        <v>0</v>
      </c>
      <c r="H435" s="31">
        <f t="shared" si="9"/>
        <v>1983113.18</v>
      </c>
      <c r="I435" s="31"/>
      <c r="K435" t="s">
        <v>14</v>
      </c>
    </row>
    <row r="436" spans="2:11" ht="22" x14ac:dyDescent="0.15">
      <c r="B436" s="29" t="s">
        <v>671</v>
      </c>
      <c r="C436" s="29" t="s">
        <v>294</v>
      </c>
      <c r="D436" s="31">
        <f>SUMIFS(D437:D1057,K437:K1057,"0",B437:B1057,"5 1 1 1 3 12 31111 6 M78 15000 171 00I 001 11301 025 2111100 2024*")-SUMIFS(E437:E1057,K437:K1057,"0",B437:B1057,"5 1 1 1 3 12 31111 6 M78 15000 171 00I 001 11301 025 2111100 2024*")</f>
        <v>0</v>
      </c>
      <c r="E436"/>
      <c r="F436" s="31">
        <f>SUMIFS(F437:F1057,K437:K1057,"0",B437:B1057,"5 1 1 1 3 12 31111 6 M78 15000 171 00I 001 11301 025 2111100 2024*")</f>
        <v>1983113.18</v>
      </c>
      <c r="G436" s="31">
        <f>SUMIFS(G437:G1057,K437:K1057,"0",B437:B1057,"5 1 1 1 3 12 31111 6 M78 15000 171 00I 001 11301 025 2111100 2024*")</f>
        <v>0</v>
      </c>
      <c r="H436" s="31">
        <f t="shared" si="9"/>
        <v>1983113.18</v>
      </c>
      <c r="I436" s="31"/>
      <c r="K436" t="s">
        <v>14</v>
      </c>
    </row>
    <row r="437" spans="2:11" ht="22" x14ac:dyDescent="0.15">
      <c r="B437" s="29" t="s">
        <v>672</v>
      </c>
      <c r="C437" s="29" t="s">
        <v>192</v>
      </c>
      <c r="D437" s="31">
        <f>SUMIFS(D438:D1057,K438:K1057,"0",B438:B1057,"5 1 1 1 3 12 31111 6 M78 15000 171 00I 001 11301 025 2111100 2024 00000000*")-SUMIFS(E438:E1057,K438:K1057,"0",B438:B1057,"5 1 1 1 3 12 31111 6 M78 15000 171 00I 001 11301 025 2111100 2024 00000000*")</f>
        <v>0</v>
      </c>
      <c r="E437"/>
      <c r="F437" s="31">
        <f>SUMIFS(F438:F1057,K438:K1057,"0",B438:B1057,"5 1 1 1 3 12 31111 6 M78 15000 171 00I 001 11301 025 2111100 2024 00000000*")</f>
        <v>1983113.18</v>
      </c>
      <c r="G437" s="31">
        <f>SUMIFS(G438:G1057,K438:K1057,"0",B438:B1057,"5 1 1 1 3 12 31111 6 M78 15000 171 00I 001 11301 025 2111100 2024 00000000*")</f>
        <v>0</v>
      </c>
      <c r="H437" s="31">
        <f t="shared" si="9"/>
        <v>1983113.18</v>
      </c>
      <c r="I437" s="31"/>
      <c r="K437" t="s">
        <v>14</v>
      </c>
    </row>
    <row r="438" spans="2:11" ht="22" x14ac:dyDescent="0.15">
      <c r="B438" s="29" t="s">
        <v>673</v>
      </c>
      <c r="C438" s="29" t="s">
        <v>9</v>
      </c>
      <c r="D438" s="31">
        <f>SUMIFS(D439:D1057,K439:K1057,"0",B439:B1057,"5 1 1 1 3 12 31111 6 M78 15000 171 00I 001 11301 025 2111100 2024 00000000 003*")-SUMIFS(E439:E1057,K439:K1057,"0",B439:B1057,"5 1 1 1 3 12 31111 6 M78 15000 171 00I 001 11301 025 2111100 2024 00000000 003*")</f>
        <v>0</v>
      </c>
      <c r="E438"/>
      <c r="F438" s="31">
        <f>SUMIFS(F439:F1057,K439:K1057,"0",B439:B1057,"5 1 1 1 3 12 31111 6 M78 15000 171 00I 001 11301 025 2111100 2024 00000000 003*")</f>
        <v>1983113.18</v>
      </c>
      <c r="G438" s="31">
        <f>SUMIFS(G439:G1057,K439:K1057,"0",B439:B1057,"5 1 1 1 3 12 31111 6 M78 15000 171 00I 001 11301 025 2111100 2024 00000000 003*")</f>
        <v>0</v>
      </c>
      <c r="H438" s="31">
        <f t="shared" si="9"/>
        <v>1983113.18</v>
      </c>
      <c r="I438" s="31"/>
      <c r="K438" t="s">
        <v>14</v>
      </c>
    </row>
    <row r="439" spans="2:11" ht="22" x14ac:dyDescent="0.15">
      <c r="B439" s="29" t="s">
        <v>674</v>
      </c>
      <c r="C439" s="29" t="s">
        <v>675</v>
      </c>
      <c r="D439" s="31">
        <f>SUMIFS(D440:D1057,K440:K1057,"0",B440:B1057,"5 1 1 1 3 12 31111 6 M78 15000 171 00I 001 11301 025 2111100 2024 00000000 003 001*")-SUMIFS(E440:E1057,K440:K1057,"0",B440:B1057,"5 1 1 1 3 12 31111 6 M78 15000 171 00I 001 11301 025 2111100 2024 00000000 003 001*")</f>
        <v>0</v>
      </c>
      <c r="E439"/>
      <c r="F439" s="31">
        <f>SUMIFS(F440:F1057,K440:K1057,"0",B440:B1057,"5 1 1 1 3 12 31111 6 M78 15000 171 00I 001 11301 025 2111100 2024 00000000 003 001*")</f>
        <v>1983113.18</v>
      </c>
      <c r="G439" s="31">
        <f>SUMIFS(G440:G1057,K440:K1057,"0",B440:B1057,"5 1 1 1 3 12 31111 6 M78 15000 171 00I 001 11301 025 2111100 2024 00000000 003 001*")</f>
        <v>0</v>
      </c>
      <c r="H439" s="31">
        <f t="shared" si="9"/>
        <v>1983113.18</v>
      </c>
      <c r="I439" s="31"/>
      <c r="K439" t="s">
        <v>14</v>
      </c>
    </row>
    <row r="440" spans="2:11" ht="22" x14ac:dyDescent="0.15">
      <c r="B440" s="27" t="s">
        <v>676</v>
      </c>
      <c r="C440" s="27" t="s">
        <v>663</v>
      </c>
      <c r="D440" s="30">
        <v>0</v>
      </c>
      <c r="E440" s="30"/>
      <c r="F440" s="30">
        <v>1983113.18</v>
      </c>
      <c r="G440" s="30">
        <v>0</v>
      </c>
      <c r="H440" s="30">
        <f t="shared" si="9"/>
        <v>1983113.18</v>
      </c>
      <c r="I440" s="30"/>
      <c r="K440" t="s">
        <v>38</v>
      </c>
    </row>
    <row r="441" spans="2:11" ht="13" x14ac:dyDescent="0.15">
      <c r="B441" s="29" t="s">
        <v>677</v>
      </c>
      <c r="C441" s="29" t="s">
        <v>678</v>
      </c>
      <c r="D441" s="31">
        <f>SUMIFS(D442:D1057,K442:K1057,"0",B442:B1057,"5 1 1 1 3 12 31111 6 M78 16000*")-SUMIFS(E442:E1057,K442:K1057,"0",B442:B1057,"5 1 1 1 3 12 31111 6 M78 16000*")</f>
        <v>0</v>
      </c>
      <c r="E441"/>
      <c r="F441" s="31">
        <f>SUMIFS(F442:F1057,K442:K1057,"0",B442:B1057,"5 1 1 1 3 12 31111 6 M78 16000*")</f>
        <v>678800</v>
      </c>
      <c r="G441" s="31">
        <f>SUMIFS(G442:G1057,K442:K1057,"0",B442:B1057,"5 1 1 1 3 12 31111 6 M78 16000*")</f>
        <v>0</v>
      </c>
      <c r="H441" s="31">
        <f t="shared" si="9"/>
        <v>678800</v>
      </c>
      <c r="I441" s="31"/>
      <c r="K441" t="s">
        <v>14</v>
      </c>
    </row>
    <row r="442" spans="2:11" ht="13" x14ac:dyDescent="0.15">
      <c r="B442" s="29" t="s">
        <v>679</v>
      </c>
      <c r="C442" s="29" t="s">
        <v>680</v>
      </c>
      <c r="D442" s="31">
        <f>SUMIFS(D443:D1057,K443:K1057,"0",B443:B1057,"5 1 1 1 3 12 31111 6 M78 16000 173*")-SUMIFS(E443:E1057,K443:K1057,"0",B443:B1057,"5 1 1 1 3 12 31111 6 M78 16000 173*")</f>
        <v>0</v>
      </c>
      <c r="E442"/>
      <c r="F442" s="31">
        <f>SUMIFS(F443:F1057,K443:K1057,"0",B443:B1057,"5 1 1 1 3 12 31111 6 M78 16000 173*")</f>
        <v>678800</v>
      </c>
      <c r="G442" s="31">
        <f>SUMIFS(G443:G1057,K443:K1057,"0",B443:B1057,"5 1 1 1 3 12 31111 6 M78 16000 173*")</f>
        <v>0</v>
      </c>
      <c r="H442" s="31">
        <f t="shared" si="9"/>
        <v>678800</v>
      </c>
      <c r="I442" s="31"/>
      <c r="K442" t="s">
        <v>14</v>
      </c>
    </row>
    <row r="443" spans="2:11" ht="13" x14ac:dyDescent="0.15">
      <c r="B443" s="29" t="s">
        <v>681</v>
      </c>
      <c r="C443" s="29" t="s">
        <v>180</v>
      </c>
      <c r="D443" s="31">
        <f>SUMIFS(D444:D1057,K444:K1057,"0",B444:B1057,"5 1 1 1 3 12 31111 6 M78 16000 173 00I*")-SUMIFS(E444:E1057,K444:K1057,"0",B444:B1057,"5 1 1 1 3 12 31111 6 M78 16000 173 00I*")</f>
        <v>0</v>
      </c>
      <c r="E443"/>
      <c r="F443" s="31">
        <f>SUMIFS(F444:F1057,K444:K1057,"0",B444:B1057,"5 1 1 1 3 12 31111 6 M78 16000 173 00I*")</f>
        <v>678800</v>
      </c>
      <c r="G443" s="31">
        <f>SUMIFS(G444:G1057,K444:K1057,"0",B444:B1057,"5 1 1 1 3 12 31111 6 M78 16000 173 00I*")</f>
        <v>0</v>
      </c>
      <c r="H443" s="31">
        <f t="shared" si="9"/>
        <v>678800</v>
      </c>
      <c r="I443" s="31"/>
      <c r="K443" t="s">
        <v>14</v>
      </c>
    </row>
    <row r="444" spans="2:11" ht="13" x14ac:dyDescent="0.15">
      <c r="B444" s="29" t="s">
        <v>682</v>
      </c>
      <c r="C444" s="29" t="s">
        <v>562</v>
      </c>
      <c r="D444" s="31">
        <f>SUMIFS(D445:D1057,K445:K1057,"0",B445:B1057,"5 1 1 1 3 12 31111 6 M78 16000 173 00I 001*")-SUMIFS(E445:E1057,K445:K1057,"0",B445:B1057,"5 1 1 1 3 12 31111 6 M78 16000 173 00I 001*")</f>
        <v>0</v>
      </c>
      <c r="E444"/>
      <c r="F444" s="31">
        <f>SUMIFS(F445:F1057,K445:K1057,"0",B445:B1057,"5 1 1 1 3 12 31111 6 M78 16000 173 00I 001*")</f>
        <v>678800</v>
      </c>
      <c r="G444" s="31">
        <f>SUMIFS(G445:G1057,K445:K1057,"0",B445:B1057,"5 1 1 1 3 12 31111 6 M78 16000 173 00I 001*")</f>
        <v>0</v>
      </c>
      <c r="H444" s="31">
        <f t="shared" si="9"/>
        <v>678800</v>
      </c>
      <c r="I444" s="31"/>
      <c r="K444" t="s">
        <v>14</v>
      </c>
    </row>
    <row r="445" spans="2:11" ht="13" x14ac:dyDescent="0.15">
      <c r="B445" s="29" t="s">
        <v>683</v>
      </c>
      <c r="C445" s="29" t="s">
        <v>637</v>
      </c>
      <c r="D445" s="31">
        <f>SUMIFS(D446:D1057,K446:K1057,"0",B446:B1057,"5 1 1 1 3 12 31111 6 M78 16000 173 00I 001 11301*")-SUMIFS(E446:E1057,K446:K1057,"0",B446:B1057,"5 1 1 1 3 12 31111 6 M78 16000 173 00I 001 11301*")</f>
        <v>0</v>
      </c>
      <c r="E445"/>
      <c r="F445" s="31">
        <f>SUMIFS(F446:F1057,K446:K1057,"0",B446:B1057,"5 1 1 1 3 12 31111 6 M78 16000 173 00I 001 11301*")</f>
        <v>678800</v>
      </c>
      <c r="G445" s="31">
        <f>SUMIFS(G446:G1057,K446:K1057,"0",B446:B1057,"5 1 1 1 3 12 31111 6 M78 16000 173 00I 001 11301*")</f>
        <v>0</v>
      </c>
      <c r="H445" s="31">
        <f t="shared" si="9"/>
        <v>678800</v>
      </c>
      <c r="I445" s="31"/>
      <c r="K445" t="s">
        <v>14</v>
      </c>
    </row>
    <row r="446" spans="2:11" ht="13" x14ac:dyDescent="0.15">
      <c r="B446" s="29" t="s">
        <v>684</v>
      </c>
      <c r="C446" s="29" t="s">
        <v>186</v>
      </c>
      <c r="D446" s="31">
        <f>SUMIFS(D447:D1057,K447:K1057,"0",B447:B1057,"5 1 1 1 3 12 31111 6 M78 16000 173 00I 001 11301 025*")-SUMIFS(E447:E1057,K447:K1057,"0",B447:B1057,"5 1 1 1 3 12 31111 6 M78 16000 173 00I 001 11301 025*")</f>
        <v>0</v>
      </c>
      <c r="E446"/>
      <c r="F446" s="31">
        <f>SUMIFS(F447:F1057,K447:K1057,"0",B447:B1057,"5 1 1 1 3 12 31111 6 M78 16000 173 00I 001 11301 025*")</f>
        <v>678800</v>
      </c>
      <c r="G446" s="31">
        <f>SUMIFS(G447:G1057,K447:K1057,"0",B447:B1057,"5 1 1 1 3 12 31111 6 M78 16000 173 00I 001 11301 025*")</f>
        <v>0</v>
      </c>
      <c r="H446" s="31">
        <f t="shared" si="9"/>
        <v>678800</v>
      </c>
      <c r="I446" s="31"/>
      <c r="K446" t="s">
        <v>14</v>
      </c>
    </row>
    <row r="447" spans="2:11" ht="22" x14ac:dyDescent="0.15">
      <c r="B447" s="29" t="s">
        <v>685</v>
      </c>
      <c r="C447" s="29" t="s">
        <v>640</v>
      </c>
      <c r="D447" s="31">
        <f>SUMIFS(D448:D1057,K448:K1057,"0",B448:B1057,"5 1 1 1 3 12 31111 6 M78 16000 173 00I 001 11301 025 2111100*")-SUMIFS(E448:E1057,K448:K1057,"0",B448:B1057,"5 1 1 1 3 12 31111 6 M78 16000 173 00I 001 11301 025 2111100*")</f>
        <v>0</v>
      </c>
      <c r="E447"/>
      <c r="F447" s="31">
        <f>SUMIFS(F448:F1057,K448:K1057,"0",B448:B1057,"5 1 1 1 3 12 31111 6 M78 16000 173 00I 001 11301 025 2111100*")</f>
        <v>678800</v>
      </c>
      <c r="G447" s="31">
        <f>SUMIFS(G448:G1057,K448:K1057,"0",B448:B1057,"5 1 1 1 3 12 31111 6 M78 16000 173 00I 001 11301 025 2111100*")</f>
        <v>0</v>
      </c>
      <c r="H447" s="31">
        <f t="shared" si="9"/>
        <v>678800</v>
      </c>
      <c r="I447" s="31"/>
      <c r="K447" t="s">
        <v>14</v>
      </c>
    </row>
    <row r="448" spans="2:11" ht="22" x14ac:dyDescent="0.15">
      <c r="B448" s="29" t="s">
        <v>686</v>
      </c>
      <c r="C448" s="29" t="s">
        <v>294</v>
      </c>
      <c r="D448" s="31">
        <f>SUMIFS(D449:D1057,K449:K1057,"0",B449:B1057,"5 1 1 1 3 12 31111 6 M78 16000 173 00I 001 11301 025 2111100 2024*")-SUMIFS(E449:E1057,K449:K1057,"0",B449:B1057,"5 1 1 1 3 12 31111 6 M78 16000 173 00I 001 11301 025 2111100 2024*")</f>
        <v>0</v>
      </c>
      <c r="E448"/>
      <c r="F448" s="31">
        <f>SUMIFS(F449:F1057,K449:K1057,"0",B449:B1057,"5 1 1 1 3 12 31111 6 M78 16000 173 00I 001 11301 025 2111100 2024*")</f>
        <v>678800</v>
      </c>
      <c r="G448" s="31">
        <f>SUMIFS(G449:G1057,K449:K1057,"0",B449:B1057,"5 1 1 1 3 12 31111 6 M78 16000 173 00I 001 11301 025 2111100 2024*")</f>
        <v>0</v>
      </c>
      <c r="H448" s="31">
        <f t="shared" si="9"/>
        <v>678800</v>
      </c>
      <c r="I448" s="31"/>
      <c r="K448" t="s">
        <v>14</v>
      </c>
    </row>
    <row r="449" spans="2:11" ht="22" x14ac:dyDescent="0.15">
      <c r="B449" s="29" t="s">
        <v>687</v>
      </c>
      <c r="C449" s="29" t="s">
        <v>192</v>
      </c>
      <c r="D449" s="31">
        <f>SUMIFS(D450:D1057,K450:K1057,"0",B450:B1057,"5 1 1 1 3 12 31111 6 M78 16000 173 00I 001 11301 025 2111100 2024 00000000*")-SUMIFS(E450:E1057,K450:K1057,"0",B450:B1057,"5 1 1 1 3 12 31111 6 M78 16000 173 00I 001 11301 025 2111100 2024 00000000*")</f>
        <v>0</v>
      </c>
      <c r="E449"/>
      <c r="F449" s="31">
        <f>SUMIFS(F450:F1057,K450:K1057,"0",B450:B1057,"5 1 1 1 3 12 31111 6 M78 16000 173 00I 001 11301 025 2111100 2024 00000000*")</f>
        <v>678800</v>
      </c>
      <c r="G449" s="31">
        <f>SUMIFS(G450:G1057,K450:K1057,"0",B450:B1057,"5 1 1 1 3 12 31111 6 M78 16000 173 00I 001 11301 025 2111100 2024 00000000*")</f>
        <v>0</v>
      </c>
      <c r="H449" s="31">
        <f t="shared" si="9"/>
        <v>678800</v>
      </c>
      <c r="I449" s="31"/>
      <c r="K449" t="s">
        <v>14</v>
      </c>
    </row>
    <row r="450" spans="2:11" ht="22" x14ac:dyDescent="0.15">
      <c r="B450" s="29" t="s">
        <v>688</v>
      </c>
      <c r="C450" s="29" t="s">
        <v>9</v>
      </c>
      <c r="D450" s="31">
        <f>SUMIFS(D451:D1057,K451:K1057,"0",B451:B1057,"5 1 1 1 3 12 31111 6 M78 16000 173 00I 001 11301 025 2111100 2024 00000000 003*")-SUMIFS(E451:E1057,K451:K1057,"0",B451:B1057,"5 1 1 1 3 12 31111 6 M78 16000 173 00I 001 11301 025 2111100 2024 00000000 003*")</f>
        <v>0</v>
      </c>
      <c r="E450"/>
      <c r="F450" s="31">
        <f>SUMIFS(F451:F1057,K451:K1057,"0",B451:B1057,"5 1 1 1 3 12 31111 6 M78 16000 173 00I 001 11301 025 2111100 2024 00000000 003*")</f>
        <v>678800</v>
      </c>
      <c r="G450" s="31">
        <f>SUMIFS(G451:G1057,K451:K1057,"0",B451:B1057,"5 1 1 1 3 12 31111 6 M78 16000 173 00I 001 11301 025 2111100 2024 00000000 003*")</f>
        <v>0</v>
      </c>
      <c r="H450" s="31">
        <f t="shared" si="9"/>
        <v>678800</v>
      </c>
      <c r="I450" s="31"/>
      <c r="K450" t="s">
        <v>14</v>
      </c>
    </row>
    <row r="451" spans="2:11" ht="22" x14ac:dyDescent="0.15">
      <c r="B451" s="29" t="s">
        <v>689</v>
      </c>
      <c r="C451" s="29" t="s">
        <v>690</v>
      </c>
      <c r="D451" s="31">
        <f>SUMIFS(D452:D1057,K452:K1057,"0",B452:B1057,"5 1 1 1 3 12 31111 6 M78 16000 173 00I 001 11301 025 2111100 2024 00000000 003 001*")-SUMIFS(E452:E1057,K452:K1057,"0",B452:B1057,"5 1 1 1 3 12 31111 6 M78 16000 173 00I 001 11301 025 2111100 2024 00000000 003 001*")</f>
        <v>0</v>
      </c>
      <c r="E451"/>
      <c r="F451" s="31">
        <f>SUMIFS(F452:F1057,K452:K1057,"0",B452:B1057,"5 1 1 1 3 12 31111 6 M78 16000 173 00I 001 11301 025 2111100 2024 00000000 003 001*")</f>
        <v>678800</v>
      </c>
      <c r="G451" s="31">
        <f>SUMIFS(G452:G1057,K452:K1057,"0",B452:B1057,"5 1 1 1 3 12 31111 6 M78 16000 173 00I 001 11301 025 2111100 2024 00000000 003 001*")</f>
        <v>0</v>
      </c>
      <c r="H451" s="31">
        <f t="shared" si="9"/>
        <v>678800</v>
      </c>
      <c r="I451" s="31"/>
      <c r="K451" t="s">
        <v>14</v>
      </c>
    </row>
    <row r="452" spans="2:11" ht="22" x14ac:dyDescent="0.15">
      <c r="B452" s="27" t="s">
        <v>691</v>
      </c>
      <c r="C452" s="27" t="s">
        <v>663</v>
      </c>
      <c r="D452" s="30">
        <v>0</v>
      </c>
      <c r="E452" s="30"/>
      <c r="F452" s="30">
        <v>678800</v>
      </c>
      <c r="G452" s="30">
        <v>0</v>
      </c>
      <c r="H452" s="30">
        <f t="shared" si="9"/>
        <v>678800</v>
      </c>
      <c r="I452" s="30"/>
      <c r="K452" t="s">
        <v>38</v>
      </c>
    </row>
    <row r="453" spans="2:11" ht="13" x14ac:dyDescent="0.15">
      <c r="B453" s="29" t="s">
        <v>692</v>
      </c>
      <c r="C453" s="29" t="s">
        <v>693</v>
      </c>
      <c r="D453" s="31">
        <f>SUMIFS(D454:D1057,K454:K1057,"0",B454:B1057,"5 1 1 1 3 12 31111 6 M78 17000*")-SUMIFS(E454:E1057,K454:K1057,"0",B454:B1057,"5 1 1 1 3 12 31111 6 M78 17000*")</f>
        <v>0</v>
      </c>
      <c r="E453"/>
      <c r="F453" s="31">
        <f>SUMIFS(F454:F1057,K454:K1057,"0",B454:B1057,"5 1 1 1 3 12 31111 6 M78 17000*")</f>
        <v>1053172.1499999999</v>
      </c>
      <c r="G453" s="31">
        <f>SUMIFS(G454:G1057,K454:K1057,"0",B454:B1057,"5 1 1 1 3 12 31111 6 M78 17000*")</f>
        <v>0</v>
      </c>
      <c r="H453" s="31">
        <f t="shared" si="9"/>
        <v>1053172.1499999999</v>
      </c>
      <c r="I453" s="31"/>
      <c r="K453" t="s">
        <v>14</v>
      </c>
    </row>
    <row r="454" spans="2:11" ht="13" x14ac:dyDescent="0.15">
      <c r="B454" s="29" t="s">
        <v>694</v>
      </c>
      <c r="C454" s="29" t="s">
        <v>695</v>
      </c>
      <c r="D454" s="31">
        <f>SUMIFS(D455:D1057,K455:K1057,"0",B455:B1057,"5 1 1 1 3 12 31111 6 M78 17000 172*")-SUMIFS(E455:E1057,K455:K1057,"0",B455:B1057,"5 1 1 1 3 12 31111 6 M78 17000 172*")</f>
        <v>0</v>
      </c>
      <c r="E454"/>
      <c r="F454" s="31">
        <f>SUMIFS(F455:F1057,K455:K1057,"0",B455:B1057,"5 1 1 1 3 12 31111 6 M78 17000 172*")</f>
        <v>1053172.1499999999</v>
      </c>
      <c r="G454" s="31">
        <f>SUMIFS(G455:G1057,K455:K1057,"0",B455:B1057,"5 1 1 1 3 12 31111 6 M78 17000 172*")</f>
        <v>0</v>
      </c>
      <c r="H454" s="31">
        <f t="shared" si="9"/>
        <v>1053172.1499999999</v>
      </c>
      <c r="I454" s="31"/>
      <c r="K454" t="s">
        <v>14</v>
      </c>
    </row>
    <row r="455" spans="2:11" ht="13" x14ac:dyDescent="0.15">
      <c r="B455" s="29" t="s">
        <v>696</v>
      </c>
      <c r="C455" s="29" t="s">
        <v>180</v>
      </c>
      <c r="D455" s="31">
        <f>SUMIFS(D456:D1057,K456:K1057,"0",B456:B1057,"5 1 1 1 3 12 31111 6 M78 17000 172 00I*")-SUMIFS(E456:E1057,K456:K1057,"0",B456:B1057,"5 1 1 1 3 12 31111 6 M78 17000 172 00I*")</f>
        <v>0</v>
      </c>
      <c r="E455"/>
      <c r="F455" s="31">
        <f>SUMIFS(F456:F1057,K456:K1057,"0",B456:B1057,"5 1 1 1 3 12 31111 6 M78 17000 172 00I*")</f>
        <v>1053172.1499999999</v>
      </c>
      <c r="G455" s="31">
        <f>SUMIFS(G456:G1057,K456:K1057,"0",B456:B1057,"5 1 1 1 3 12 31111 6 M78 17000 172 00I*")</f>
        <v>0</v>
      </c>
      <c r="H455" s="31">
        <f t="shared" si="9"/>
        <v>1053172.1499999999</v>
      </c>
      <c r="I455" s="31"/>
      <c r="K455" t="s">
        <v>14</v>
      </c>
    </row>
    <row r="456" spans="2:11" ht="13" x14ac:dyDescent="0.15">
      <c r="B456" s="29" t="s">
        <v>697</v>
      </c>
      <c r="C456" s="29" t="s">
        <v>562</v>
      </c>
      <c r="D456" s="31">
        <f>SUMIFS(D457:D1057,K457:K1057,"0",B457:B1057,"5 1 1 1 3 12 31111 6 M78 17000 172 00I 001*")-SUMIFS(E457:E1057,K457:K1057,"0",B457:B1057,"5 1 1 1 3 12 31111 6 M78 17000 172 00I 001*")</f>
        <v>0</v>
      </c>
      <c r="E456"/>
      <c r="F456" s="31">
        <f>SUMIFS(F457:F1057,K457:K1057,"0",B457:B1057,"5 1 1 1 3 12 31111 6 M78 17000 172 00I 001*")</f>
        <v>1053172.1499999999</v>
      </c>
      <c r="G456" s="31">
        <f>SUMIFS(G457:G1057,K457:K1057,"0",B457:B1057,"5 1 1 1 3 12 31111 6 M78 17000 172 00I 001*")</f>
        <v>0</v>
      </c>
      <c r="H456" s="31">
        <f t="shared" si="9"/>
        <v>1053172.1499999999</v>
      </c>
      <c r="I456" s="31"/>
      <c r="K456" t="s">
        <v>14</v>
      </c>
    </row>
    <row r="457" spans="2:11" ht="13" x14ac:dyDescent="0.15">
      <c r="B457" s="29" t="s">
        <v>698</v>
      </c>
      <c r="C457" s="29" t="s">
        <v>637</v>
      </c>
      <c r="D457" s="31">
        <f>SUMIFS(D458:D1057,K458:K1057,"0",B458:B1057,"5 1 1 1 3 12 31111 6 M78 17000 172 00I 001 11301*")-SUMIFS(E458:E1057,K458:K1057,"0",B458:B1057,"5 1 1 1 3 12 31111 6 M78 17000 172 00I 001 11301*")</f>
        <v>0</v>
      </c>
      <c r="E457"/>
      <c r="F457" s="31">
        <f>SUMIFS(F458:F1057,K458:K1057,"0",B458:B1057,"5 1 1 1 3 12 31111 6 M78 17000 172 00I 001 11301*")</f>
        <v>1053172.1499999999</v>
      </c>
      <c r="G457" s="31">
        <f>SUMIFS(G458:G1057,K458:K1057,"0",B458:B1057,"5 1 1 1 3 12 31111 6 M78 17000 172 00I 001 11301*")</f>
        <v>0</v>
      </c>
      <c r="H457" s="31">
        <f t="shared" si="9"/>
        <v>1053172.1499999999</v>
      </c>
      <c r="I457" s="31"/>
      <c r="K457" t="s">
        <v>14</v>
      </c>
    </row>
    <row r="458" spans="2:11" ht="13" x14ac:dyDescent="0.15">
      <c r="B458" s="29" t="s">
        <v>699</v>
      </c>
      <c r="C458" s="29" t="s">
        <v>186</v>
      </c>
      <c r="D458" s="31">
        <f>SUMIFS(D459:D1057,K459:K1057,"0",B459:B1057,"5 1 1 1 3 12 31111 6 M78 17000 172 00I 001 11301 025*")-SUMIFS(E459:E1057,K459:K1057,"0",B459:B1057,"5 1 1 1 3 12 31111 6 M78 17000 172 00I 001 11301 025*")</f>
        <v>0</v>
      </c>
      <c r="E458"/>
      <c r="F458" s="31">
        <f>SUMIFS(F459:F1057,K459:K1057,"0",B459:B1057,"5 1 1 1 3 12 31111 6 M78 17000 172 00I 001 11301 025*")</f>
        <v>1053172.1499999999</v>
      </c>
      <c r="G458" s="31">
        <f>SUMIFS(G459:G1057,K459:K1057,"0",B459:B1057,"5 1 1 1 3 12 31111 6 M78 17000 172 00I 001 11301 025*")</f>
        <v>0</v>
      </c>
      <c r="H458" s="31">
        <f t="shared" si="9"/>
        <v>1053172.1499999999</v>
      </c>
      <c r="I458" s="31"/>
      <c r="K458" t="s">
        <v>14</v>
      </c>
    </row>
    <row r="459" spans="2:11" ht="22" x14ac:dyDescent="0.15">
      <c r="B459" s="29" t="s">
        <v>700</v>
      </c>
      <c r="C459" s="29" t="s">
        <v>640</v>
      </c>
      <c r="D459" s="31">
        <f>SUMIFS(D460:D1057,K460:K1057,"0",B460:B1057,"5 1 1 1 3 12 31111 6 M78 17000 172 00I 001 11301 025 2111100*")-SUMIFS(E460:E1057,K460:K1057,"0",B460:B1057,"5 1 1 1 3 12 31111 6 M78 17000 172 00I 001 11301 025 2111100*")</f>
        <v>0</v>
      </c>
      <c r="E459"/>
      <c r="F459" s="31">
        <f>SUMIFS(F460:F1057,K460:K1057,"0",B460:B1057,"5 1 1 1 3 12 31111 6 M78 17000 172 00I 001 11301 025 2111100*")</f>
        <v>1053172.1499999999</v>
      </c>
      <c r="G459" s="31">
        <f>SUMIFS(G460:G1057,K460:K1057,"0",B460:B1057,"5 1 1 1 3 12 31111 6 M78 17000 172 00I 001 11301 025 2111100*")</f>
        <v>0</v>
      </c>
      <c r="H459" s="31">
        <f t="shared" si="9"/>
        <v>1053172.1499999999</v>
      </c>
      <c r="I459" s="31"/>
      <c r="K459" t="s">
        <v>14</v>
      </c>
    </row>
    <row r="460" spans="2:11" ht="22" x14ac:dyDescent="0.15">
      <c r="B460" s="29" t="s">
        <v>701</v>
      </c>
      <c r="C460" s="29" t="s">
        <v>294</v>
      </c>
      <c r="D460" s="31">
        <f>SUMIFS(D461:D1057,K461:K1057,"0",B461:B1057,"5 1 1 1 3 12 31111 6 M78 17000 172 00I 001 11301 025 2111100 2024*")-SUMIFS(E461:E1057,K461:K1057,"0",B461:B1057,"5 1 1 1 3 12 31111 6 M78 17000 172 00I 001 11301 025 2111100 2024*")</f>
        <v>0</v>
      </c>
      <c r="E460"/>
      <c r="F460" s="31">
        <f>SUMIFS(F461:F1057,K461:K1057,"0",B461:B1057,"5 1 1 1 3 12 31111 6 M78 17000 172 00I 001 11301 025 2111100 2024*")</f>
        <v>1053172.1499999999</v>
      </c>
      <c r="G460" s="31">
        <f>SUMIFS(G461:G1057,K461:K1057,"0",B461:B1057,"5 1 1 1 3 12 31111 6 M78 17000 172 00I 001 11301 025 2111100 2024*")</f>
        <v>0</v>
      </c>
      <c r="H460" s="31">
        <f t="shared" ref="H460:H523" si="10">D460 + F460 - G460</f>
        <v>1053172.1499999999</v>
      </c>
      <c r="I460" s="31"/>
      <c r="K460" t="s">
        <v>14</v>
      </c>
    </row>
    <row r="461" spans="2:11" ht="22" x14ac:dyDescent="0.15">
      <c r="B461" s="29" t="s">
        <v>702</v>
      </c>
      <c r="C461" s="29" t="s">
        <v>192</v>
      </c>
      <c r="D461" s="31">
        <f>SUMIFS(D462:D1057,K462:K1057,"0",B462:B1057,"5 1 1 1 3 12 31111 6 M78 17000 172 00I 001 11301 025 2111100 2024 00000000*")-SUMIFS(E462:E1057,K462:K1057,"0",B462:B1057,"5 1 1 1 3 12 31111 6 M78 17000 172 00I 001 11301 025 2111100 2024 00000000*")</f>
        <v>0</v>
      </c>
      <c r="E461"/>
      <c r="F461" s="31">
        <f>SUMIFS(F462:F1057,K462:K1057,"0",B462:B1057,"5 1 1 1 3 12 31111 6 M78 17000 172 00I 001 11301 025 2111100 2024 00000000*")</f>
        <v>1053172.1499999999</v>
      </c>
      <c r="G461" s="31">
        <f>SUMIFS(G462:G1057,K462:K1057,"0",B462:B1057,"5 1 1 1 3 12 31111 6 M78 17000 172 00I 001 11301 025 2111100 2024 00000000*")</f>
        <v>0</v>
      </c>
      <c r="H461" s="31">
        <f t="shared" si="10"/>
        <v>1053172.1499999999</v>
      </c>
      <c r="I461" s="31"/>
      <c r="K461" t="s">
        <v>14</v>
      </c>
    </row>
    <row r="462" spans="2:11" ht="22" x14ac:dyDescent="0.15">
      <c r="B462" s="29" t="s">
        <v>703</v>
      </c>
      <c r="C462" s="29" t="s">
        <v>9</v>
      </c>
      <c r="D462" s="31">
        <f>SUMIFS(D463:D1057,K463:K1057,"0",B463:B1057,"5 1 1 1 3 12 31111 6 M78 17000 172 00I 001 11301 025 2111100 2024 00000000 003*")-SUMIFS(E463:E1057,K463:K1057,"0",B463:B1057,"5 1 1 1 3 12 31111 6 M78 17000 172 00I 001 11301 025 2111100 2024 00000000 003*")</f>
        <v>0</v>
      </c>
      <c r="E462"/>
      <c r="F462" s="31">
        <f>SUMIFS(F463:F1057,K463:K1057,"0",B463:B1057,"5 1 1 1 3 12 31111 6 M78 17000 172 00I 001 11301 025 2111100 2024 00000000 003*")</f>
        <v>1053172.1499999999</v>
      </c>
      <c r="G462" s="31">
        <f>SUMIFS(G463:G1057,K463:K1057,"0",B463:B1057,"5 1 1 1 3 12 31111 6 M78 17000 172 00I 001 11301 025 2111100 2024 00000000 003*")</f>
        <v>0</v>
      </c>
      <c r="H462" s="31">
        <f t="shared" si="10"/>
        <v>1053172.1499999999</v>
      </c>
      <c r="I462" s="31"/>
      <c r="K462" t="s">
        <v>14</v>
      </c>
    </row>
    <row r="463" spans="2:11" ht="22" x14ac:dyDescent="0.15">
      <c r="B463" s="29" t="s">
        <v>704</v>
      </c>
      <c r="C463" s="29" t="s">
        <v>705</v>
      </c>
      <c r="D463" s="31">
        <f>SUMIFS(D464:D1057,K464:K1057,"0",B464:B1057,"5 1 1 1 3 12 31111 6 M78 17000 172 00I 001 11301 025 2111100 2024 00000000 003 001*")-SUMIFS(E464:E1057,K464:K1057,"0",B464:B1057,"5 1 1 1 3 12 31111 6 M78 17000 172 00I 001 11301 025 2111100 2024 00000000 003 001*")</f>
        <v>0</v>
      </c>
      <c r="E463"/>
      <c r="F463" s="31">
        <f>SUMIFS(F464:F1057,K464:K1057,"0",B464:B1057,"5 1 1 1 3 12 31111 6 M78 17000 172 00I 001 11301 025 2111100 2024 00000000 003 001*")</f>
        <v>1053172.1499999999</v>
      </c>
      <c r="G463" s="31">
        <f>SUMIFS(G464:G1057,K464:K1057,"0",B464:B1057,"5 1 1 1 3 12 31111 6 M78 17000 172 00I 001 11301 025 2111100 2024 00000000 003 001*")</f>
        <v>0</v>
      </c>
      <c r="H463" s="31">
        <f t="shared" si="10"/>
        <v>1053172.1499999999</v>
      </c>
      <c r="I463" s="31"/>
      <c r="K463" t="s">
        <v>14</v>
      </c>
    </row>
    <row r="464" spans="2:11" ht="22" x14ac:dyDescent="0.15">
      <c r="B464" s="27" t="s">
        <v>706</v>
      </c>
      <c r="C464" s="27" t="s">
        <v>663</v>
      </c>
      <c r="D464" s="30">
        <v>0</v>
      </c>
      <c r="E464" s="30"/>
      <c r="F464" s="30">
        <v>1053172.1499999999</v>
      </c>
      <c r="G464" s="30">
        <v>0</v>
      </c>
      <c r="H464" s="30">
        <f t="shared" si="10"/>
        <v>1053172.1499999999</v>
      </c>
      <c r="I464" s="30"/>
      <c r="K464" t="s">
        <v>38</v>
      </c>
    </row>
    <row r="465" spans="2:11" ht="13" x14ac:dyDescent="0.15">
      <c r="B465" s="29" t="s">
        <v>707</v>
      </c>
      <c r="C465" s="29" t="s">
        <v>708</v>
      </c>
      <c r="D465" s="31">
        <f>SUMIFS(D466:D1057,K466:K1057,"0",B466:B1057,"5 1 1 3*")-SUMIFS(E466:E1057,K466:K1057,"0",B466:B1057,"5 1 1 3*")</f>
        <v>0</v>
      </c>
      <c r="E465"/>
      <c r="F465" s="31">
        <f>SUMIFS(F466:F1057,K466:K1057,"0",B466:B1057,"5 1 1 3*")</f>
        <v>1009542.5900000001</v>
      </c>
      <c r="G465" s="31">
        <f>SUMIFS(G466:G1057,K466:K1057,"0",B466:B1057,"5 1 1 3*")</f>
        <v>0</v>
      </c>
      <c r="H465" s="31">
        <f t="shared" si="10"/>
        <v>1009542.5900000001</v>
      </c>
      <c r="I465" s="31"/>
      <c r="K465" t="s">
        <v>14</v>
      </c>
    </row>
    <row r="466" spans="2:11" ht="13" x14ac:dyDescent="0.15">
      <c r="B466" s="29" t="s">
        <v>709</v>
      </c>
      <c r="C466" s="29" t="s">
        <v>710</v>
      </c>
      <c r="D466" s="31">
        <f>SUMIFS(D467:D1057,K467:K1057,"0",B467:B1057,"5 1 1 3 2*")-SUMIFS(E467:E1057,K467:K1057,"0",B467:B1057,"5 1 1 3 2*")</f>
        <v>0</v>
      </c>
      <c r="E466"/>
      <c r="F466" s="31">
        <f>SUMIFS(F467:F1057,K467:K1057,"0",B467:B1057,"5 1 1 3 2*")</f>
        <v>628039.04</v>
      </c>
      <c r="G466" s="31">
        <f>SUMIFS(G467:G1057,K467:K1057,"0",B467:B1057,"5 1 1 3 2*")</f>
        <v>0</v>
      </c>
      <c r="H466" s="31">
        <f t="shared" si="10"/>
        <v>628039.04</v>
      </c>
      <c r="I466" s="31"/>
      <c r="K466" t="s">
        <v>14</v>
      </c>
    </row>
    <row r="467" spans="2:11" ht="13" x14ac:dyDescent="0.15">
      <c r="B467" s="29" t="s">
        <v>711</v>
      </c>
      <c r="C467" s="29" t="s">
        <v>25</v>
      </c>
      <c r="D467" s="31">
        <f>SUMIFS(D468:D1057,K468:K1057,"0",B468:B1057,"5 1 1 3 2 12*")-SUMIFS(E468:E1057,K468:K1057,"0",B468:B1057,"5 1 1 3 2 12*")</f>
        <v>0</v>
      </c>
      <c r="E467"/>
      <c r="F467" s="31">
        <f>SUMIFS(F468:F1057,K468:K1057,"0",B468:B1057,"5 1 1 3 2 12*")</f>
        <v>628039.04</v>
      </c>
      <c r="G467" s="31">
        <f>SUMIFS(G468:G1057,K468:K1057,"0",B468:B1057,"5 1 1 3 2 12*")</f>
        <v>0</v>
      </c>
      <c r="H467" s="31">
        <f t="shared" si="10"/>
        <v>628039.04</v>
      </c>
      <c r="I467" s="31"/>
      <c r="K467" t="s">
        <v>14</v>
      </c>
    </row>
    <row r="468" spans="2:11" ht="13" x14ac:dyDescent="0.15">
      <c r="B468" s="29" t="s">
        <v>712</v>
      </c>
      <c r="C468" s="29" t="s">
        <v>27</v>
      </c>
      <c r="D468" s="31">
        <f>SUMIFS(D469:D1057,K469:K1057,"0",B469:B1057,"5 1 1 3 2 12 31111*")-SUMIFS(E469:E1057,K469:K1057,"0",B469:B1057,"5 1 1 3 2 12 31111*")</f>
        <v>0</v>
      </c>
      <c r="E468"/>
      <c r="F468" s="31">
        <f>SUMIFS(F469:F1057,K469:K1057,"0",B469:B1057,"5 1 1 3 2 12 31111*")</f>
        <v>628039.04</v>
      </c>
      <c r="G468" s="31">
        <f>SUMIFS(G469:G1057,K469:K1057,"0",B469:B1057,"5 1 1 3 2 12 31111*")</f>
        <v>0</v>
      </c>
      <c r="H468" s="31">
        <f t="shared" si="10"/>
        <v>628039.04</v>
      </c>
      <c r="I468" s="31"/>
      <c r="K468" t="s">
        <v>14</v>
      </c>
    </row>
    <row r="469" spans="2:11" ht="13" x14ac:dyDescent="0.15">
      <c r="B469" s="29" t="s">
        <v>713</v>
      </c>
      <c r="C469" s="29" t="s">
        <v>29</v>
      </c>
      <c r="D469" s="31">
        <f>SUMIFS(D470:D1057,K470:K1057,"0",B470:B1057,"5 1 1 3 2 12 31111 6*")-SUMIFS(E470:E1057,K470:K1057,"0",B470:B1057,"5 1 1 3 2 12 31111 6*")</f>
        <v>0</v>
      </c>
      <c r="E469"/>
      <c r="F469" s="31">
        <f>SUMIFS(F470:F1057,K470:K1057,"0",B470:B1057,"5 1 1 3 2 12 31111 6*")</f>
        <v>628039.04</v>
      </c>
      <c r="G469" s="31">
        <f>SUMIFS(G470:G1057,K470:K1057,"0",B470:B1057,"5 1 1 3 2 12 31111 6*")</f>
        <v>0</v>
      </c>
      <c r="H469" s="31">
        <f t="shared" si="10"/>
        <v>628039.04</v>
      </c>
      <c r="I469" s="31"/>
      <c r="K469" t="s">
        <v>14</v>
      </c>
    </row>
    <row r="470" spans="2:11" ht="13" x14ac:dyDescent="0.15">
      <c r="B470" s="29" t="s">
        <v>714</v>
      </c>
      <c r="C470" s="29" t="s">
        <v>629</v>
      </c>
      <c r="D470" s="31">
        <f>SUMIFS(D471:D1057,K471:K1057,"0",B471:B1057,"5 1 1 3 2 12 31111 6 M78*")-SUMIFS(E471:E1057,K471:K1057,"0",B471:B1057,"5 1 1 3 2 12 31111 6 M78*")</f>
        <v>0</v>
      </c>
      <c r="E470"/>
      <c r="F470" s="31">
        <f>SUMIFS(F471:F1057,K471:K1057,"0",B471:B1057,"5 1 1 3 2 12 31111 6 M78*")</f>
        <v>628039.04</v>
      </c>
      <c r="G470" s="31">
        <f>SUMIFS(G471:G1057,K471:K1057,"0",B471:B1057,"5 1 1 3 2 12 31111 6 M78*")</f>
        <v>0</v>
      </c>
      <c r="H470" s="31">
        <f t="shared" si="10"/>
        <v>628039.04</v>
      </c>
      <c r="I470" s="31"/>
      <c r="K470" t="s">
        <v>14</v>
      </c>
    </row>
    <row r="471" spans="2:11" ht="13" x14ac:dyDescent="0.15">
      <c r="B471" s="29" t="s">
        <v>715</v>
      </c>
      <c r="C471" s="29" t="s">
        <v>631</v>
      </c>
      <c r="D471" s="31">
        <f>SUMIFS(D472:D1057,K472:K1057,"0",B472:B1057,"5 1 1 3 2 12 31111 6 M78 03000*")-SUMIFS(E472:E1057,K472:K1057,"0",B472:B1057,"5 1 1 3 2 12 31111 6 M78 03000*")</f>
        <v>0</v>
      </c>
      <c r="E471"/>
      <c r="F471" s="31">
        <f>SUMIFS(F472:F1057,K472:K1057,"0",B472:B1057,"5 1 1 3 2 12 31111 6 M78 03000*")</f>
        <v>64678.79</v>
      </c>
      <c r="G471" s="31">
        <f>SUMIFS(G472:G1057,K472:K1057,"0",B472:B1057,"5 1 1 3 2 12 31111 6 M78 03000*")</f>
        <v>0</v>
      </c>
      <c r="H471" s="31">
        <f t="shared" si="10"/>
        <v>64678.79</v>
      </c>
      <c r="I471" s="31"/>
      <c r="K471" t="s">
        <v>14</v>
      </c>
    </row>
    <row r="472" spans="2:11" ht="13" x14ac:dyDescent="0.15">
      <c r="B472" s="29" t="s">
        <v>716</v>
      </c>
      <c r="C472" s="29" t="s">
        <v>633</v>
      </c>
      <c r="D472" s="31">
        <f>SUMIFS(D473:D1057,K473:K1057,"0",B473:B1057,"5 1 1 3 2 12 31111 6 M78 03000 135*")-SUMIFS(E473:E1057,K473:K1057,"0",B473:B1057,"5 1 1 3 2 12 31111 6 M78 03000 135*")</f>
        <v>0</v>
      </c>
      <c r="E472"/>
      <c r="F472" s="31">
        <f>SUMIFS(F473:F1057,K473:K1057,"0",B473:B1057,"5 1 1 3 2 12 31111 6 M78 03000 135*")</f>
        <v>64678.79</v>
      </c>
      <c r="G472" s="31">
        <f>SUMIFS(G473:G1057,K473:K1057,"0",B473:B1057,"5 1 1 3 2 12 31111 6 M78 03000 135*")</f>
        <v>0</v>
      </c>
      <c r="H472" s="31">
        <f t="shared" si="10"/>
        <v>64678.79</v>
      </c>
      <c r="I472" s="31"/>
      <c r="K472" t="s">
        <v>14</v>
      </c>
    </row>
    <row r="473" spans="2:11" ht="13" x14ac:dyDescent="0.15">
      <c r="B473" s="29" t="s">
        <v>717</v>
      </c>
      <c r="C473" s="29" t="s">
        <v>180</v>
      </c>
      <c r="D473" s="31">
        <f>SUMIFS(D474:D1057,K474:K1057,"0",B474:B1057,"5 1 1 3 2 12 31111 6 M78 03000 135 00I*")-SUMIFS(E474:E1057,K474:K1057,"0",B474:B1057,"5 1 1 3 2 12 31111 6 M78 03000 135 00I*")</f>
        <v>0</v>
      </c>
      <c r="E473"/>
      <c r="F473" s="31">
        <f>SUMIFS(F474:F1057,K474:K1057,"0",B474:B1057,"5 1 1 3 2 12 31111 6 M78 03000 135 00I*")</f>
        <v>64678.79</v>
      </c>
      <c r="G473" s="31">
        <f>SUMIFS(G474:G1057,K474:K1057,"0",B474:B1057,"5 1 1 3 2 12 31111 6 M78 03000 135 00I*")</f>
        <v>0</v>
      </c>
      <c r="H473" s="31">
        <f t="shared" si="10"/>
        <v>64678.79</v>
      </c>
      <c r="I473" s="31"/>
      <c r="K473" t="s">
        <v>14</v>
      </c>
    </row>
    <row r="474" spans="2:11" ht="13" x14ac:dyDescent="0.15">
      <c r="B474" s="29" t="s">
        <v>718</v>
      </c>
      <c r="C474" s="29" t="s">
        <v>562</v>
      </c>
      <c r="D474" s="31">
        <f>SUMIFS(D475:D1057,K475:K1057,"0",B475:B1057,"5 1 1 3 2 12 31111 6 M78 03000 135 00I 001*")-SUMIFS(E475:E1057,K475:K1057,"0",B475:B1057,"5 1 1 3 2 12 31111 6 M78 03000 135 00I 001*")</f>
        <v>0</v>
      </c>
      <c r="E474"/>
      <c r="F474" s="31">
        <f>SUMIFS(F475:F1057,K475:K1057,"0",B475:B1057,"5 1 1 3 2 12 31111 6 M78 03000 135 00I 001*")</f>
        <v>64678.79</v>
      </c>
      <c r="G474" s="31">
        <f>SUMIFS(G475:G1057,K475:K1057,"0",B475:B1057,"5 1 1 3 2 12 31111 6 M78 03000 135 00I 001*")</f>
        <v>0</v>
      </c>
      <c r="H474" s="31">
        <f t="shared" si="10"/>
        <v>64678.79</v>
      </c>
      <c r="I474" s="31"/>
      <c r="K474" t="s">
        <v>14</v>
      </c>
    </row>
    <row r="475" spans="2:11" ht="13" x14ac:dyDescent="0.15">
      <c r="B475" s="29" t="s">
        <v>719</v>
      </c>
      <c r="C475" s="29" t="s">
        <v>720</v>
      </c>
      <c r="D475" s="31">
        <f>SUMIFS(D476:D1057,K476:K1057,"0",B476:B1057,"5 1 1 3 2 12 31111 6 M78 03000 135 00I 001 13202*")-SUMIFS(E476:E1057,K476:K1057,"0",B476:B1057,"5 1 1 3 2 12 31111 6 M78 03000 135 00I 001 13202*")</f>
        <v>0</v>
      </c>
      <c r="E475"/>
      <c r="F475" s="31">
        <f>SUMIFS(F476:F1057,K476:K1057,"0",B476:B1057,"5 1 1 3 2 12 31111 6 M78 03000 135 00I 001 13202*")</f>
        <v>64678.79</v>
      </c>
      <c r="G475" s="31">
        <f>SUMIFS(G476:G1057,K476:K1057,"0",B476:B1057,"5 1 1 3 2 12 31111 6 M78 03000 135 00I 001 13202*")</f>
        <v>0</v>
      </c>
      <c r="H475" s="31">
        <f t="shared" si="10"/>
        <v>64678.79</v>
      </c>
      <c r="I475" s="31"/>
      <c r="K475" t="s">
        <v>14</v>
      </c>
    </row>
    <row r="476" spans="2:11" ht="13" x14ac:dyDescent="0.15">
      <c r="B476" s="29" t="s">
        <v>721</v>
      </c>
      <c r="C476" s="29" t="s">
        <v>186</v>
      </c>
      <c r="D476" s="31">
        <f>SUMIFS(D477:D1057,K477:K1057,"0",B477:B1057,"5 1 1 3 2 12 31111 6 M78 03000 135 00I 001 13202 025*")-SUMIFS(E477:E1057,K477:K1057,"0",B477:B1057,"5 1 1 3 2 12 31111 6 M78 03000 135 00I 001 13202 025*")</f>
        <v>0</v>
      </c>
      <c r="E476"/>
      <c r="F476" s="31">
        <f>SUMIFS(F477:F1057,K477:K1057,"0",B477:B1057,"5 1 1 3 2 12 31111 6 M78 03000 135 00I 001 13202 025*")</f>
        <v>64678.79</v>
      </c>
      <c r="G476" s="31">
        <f>SUMIFS(G477:G1057,K477:K1057,"0",B477:B1057,"5 1 1 3 2 12 31111 6 M78 03000 135 00I 001 13202 025*")</f>
        <v>0</v>
      </c>
      <c r="H476" s="31">
        <f t="shared" si="10"/>
        <v>64678.79</v>
      </c>
      <c r="I476" s="31"/>
      <c r="K476" t="s">
        <v>14</v>
      </c>
    </row>
    <row r="477" spans="2:11" ht="22" x14ac:dyDescent="0.15">
      <c r="B477" s="29" t="s">
        <v>722</v>
      </c>
      <c r="C477" s="29" t="s">
        <v>640</v>
      </c>
      <c r="D477" s="31">
        <f>SUMIFS(D478:D1057,K478:K1057,"0",B478:B1057,"5 1 1 3 2 12 31111 6 M78 03000 135 00I 001 13202 025 2111100*")-SUMIFS(E478:E1057,K478:K1057,"0",B478:B1057,"5 1 1 3 2 12 31111 6 M78 03000 135 00I 001 13202 025 2111100*")</f>
        <v>0</v>
      </c>
      <c r="E477"/>
      <c r="F477" s="31">
        <f>SUMIFS(F478:F1057,K478:K1057,"0",B478:B1057,"5 1 1 3 2 12 31111 6 M78 03000 135 00I 001 13202 025 2111100*")</f>
        <v>64678.79</v>
      </c>
      <c r="G477" s="31">
        <f>SUMIFS(G478:G1057,K478:K1057,"0",B478:B1057,"5 1 1 3 2 12 31111 6 M78 03000 135 00I 001 13202 025 2111100*")</f>
        <v>0</v>
      </c>
      <c r="H477" s="31">
        <f t="shared" si="10"/>
        <v>64678.79</v>
      </c>
      <c r="I477" s="31"/>
      <c r="K477" t="s">
        <v>14</v>
      </c>
    </row>
    <row r="478" spans="2:11" ht="22" x14ac:dyDescent="0.15">
      <c r="B478" s="29" t="s">
        <v>723</v>
      </c>
      <c r="C478" s="29" t="s">
        <v>294</v>
      </c>
      <c r="D478" s="31">
        <f>SUMIFS(D479:D1057,K479:K1057,"0",B479:B1057,"5 1 1 3 2 12 31111 6 M78 03000 135 00I 001 13202 025 2111100 2024*")-SUMIFS(E479:E1057,K479:K1057,"0",B479:B1057,"5 1 1 3 2 12 31111 6 M78 03000 135 00I 001 13202 025 2111100 2024*")</f>
        <v>0</v>
      </c>
      <c r="E478"/>
      <c r="F478" s="31">
        <f>SUMIFS(F479:F1057,K479:K1057,"0",B479:B1057,"5 1 1 3 2 12 31111 6 M78 03000 135 00I 001 13202 025 2111100 2024*")</f>
        <v>64678.79</v>
      </c>
      <c r="G478" s="31">
        <f>SUMIFS(G479:G1057,K479:K1057,"0",B479:B1057,"5 1 1 3 2 12 31111 6 M78 03000 135 00I 001 13202 025 2111100 2024*")</f>
        <v>0</v>
      </c>
      <c r="H478" s="31">
        <f t="shared" si="10"/>
        <v>64678.79</v>
      </c>
      <c r="I478" s="31"/>
      <c r="K478" t="s">
        <v>14</v>
      </c>
    </row>
    <row r="479" spans="2:11" ht="22" x14ac:dyDescent="0.15">
      <c r="B479" s="29" t="s">
        <v>724</v>
      </c>
      <c r="C479" s="29" t="s">
        <v>192</v>
      </c>
      <c r="D479" s="31">
        <f>SUMIFS(D480:D1057,K480:K1057,"0",B480:B1057,"5 1 1 3 2 12 31111 6 M78 03000 135 00I 001 13202 025 2111100 2024 00000000*")-SUMIFS(E480:E1057,K480:K1057,"0",B480:B1057,"5 1 1 3 2 12 31111 6 M78 03000 135 00I 001 13202 025 2111100 2024 00000000*")</f>
        <v>0</v>
      </c>
      <c r="E479"/>
      <c r="F479" s="31">
        <f>SUMIFS(F480:F1057,K480:K1057,"0",B480:B1057,"5 1 1 3 2 12 31111 6 M78 03000 135 00I 001 13202 025 2111100 2024 00000000*")</f>
        <v>64678.79</v>
      </c>
      <c r="G479" s="31">
        <f>SUMIFS(G480:G1057,K480:K1057,"0",B480:B1057,"5 1 1 3 2 12 31111 6 M78 03000 135 00I 001 13202 025 2111100 2024 00000000*")</f>
        <v>0</v>
      </c>
      <c r="H479" s="31">
        <f t="shared" si="10"/>
        <v>64678.79</v>
      </c>
      <c r="I479" s="31"/>
      <c r="K479" t="s">
        <v>14</v>
      </c>
    </row>
    <row r="480" spans="2:11" ht="22" x14ac:dyDescent="0.15">
      <c r="B480" s="29" t="s">
        <v>725</v>
      </c>
      <c r="C480" s="29" t="s">
        <v>9</v>
      </c>
      <c r="D480" s="31">
        <f>SUMIFS(D481:D1057,K481:K1057,"0",B481:B1057,"5 1 1 3 2 12 31111 6 M78 03000 135 00I 001 13202 025 2111100 2024 00000000 003*")-SUMIFS(E481:E1057,K481:K1057,"0",B481:B1057,"5 1 1 3 2 12 31111 6 M78 03000 135 00I 001 13202 025 2111100 2024 00000000 003*")</f>
        <v>0</v>
      </c>
      <c r="E480"/>
      <c r="F480" s="31">
        <f>SUMIFS(F481:F1057,K481:K1057,"0",B481:B1057,"5 1 1 3 2 12 31111 6 M78 03000 135 00I 001 13202 025 2111100 2024 00000000 003*")</f>
        <v>64678.79</v>
      </c>
      <c r="G480" s="31">
        <f>SUMIFS(G481:G1057,K481:K1057,"0",B481:B1057,"5 1 1 3 2 12 31111 6 M78 03000 135 00I 001 13202 025 2111100 2024 00000000 003*")</f>
        <v>0</v>
      </c>
      <c r="H480" s="31">
        <f t="shared" si="10"/>
        <v>64678.79</v>
      </c>
      <c r="I480" s="31"/>
      <c r="K480" t="s">
        <v>14</v>
      </c>
    </row>
    <row r="481" spans="2:11" ht="22" x14ac:dyDescent="0.15">
      <c r="B481" s="29" t="s">
        <v>726</v>
      </c>
      <c r="C481" s="29" t="s">
        <v>645</v>
      </c>
      <c r="D481" s="31">
        <f>SUMIFS(D482:D1057,K482:K1057,"0",B482:B1057,"5 1 1 3 2 12 31111 6 M78 03000 135 00I 001 13202 025 2111100 2024 00000000 003 001*")-SUMIFS(E482:E1057,K482:K1057,"0",B482:B1057,"5 1 1 3 2 12 31111 6 M78 03000 135 00I 001 13202 025 2111100 2024 00000000 003 001*")</f>
        <v>0</v>
      </c>
      <c r="E481"/>
      <c r="F481" s="31">
        <f>SUMIFS(F482:F1057,K482:K1057,"0",B482:B1057,"5 1 1 3 2 12 31111 6 M78 03000 135 00I 001 13202 025 2111100 2024 00000000 003 001*")</f>
        <v>64678.79</v>
      </c>
      <c r="G481" s="31">
        <f>SUMIFS(G482:G1057,K482:K1057,"0",B482:B1057,"5 1 1 3 2 12 31111 6 M78 03000 135 00I 001 13202 025 2111100 2024 00000000 003 001*")</f>
        <v>0</v>
      </c>
      <c r="H481" s="31">
        <f t="shared" si="10"/>
        <v>64678.79</v>
      </c>
      <c r="I481" s="31"/>
      <c r="K481" t="s">
        <v>14</v>
      </c>
    </row>
    <row r="482" spans="2:11" ht="22" x14ac:dyDescent="0.15">
      <c r="B482" s="27" t="s">
        <v>727</v>
      </c>
      <c r="C482" s="27" t="s">
        <v>728</v>
      </c>
      <c r="D482" s="30">
        <v>0</v>
      </c>
      <c r="E482" s="30"/>
      <c r="F482" s="30">
        <v>64678.79</v>
      </c>
      <c r="G482" s="30">
        <v>0</v>
      </c>
      <c r="H482" s="30">
        <f t="shared" si="10"/>
        <v>64678.79</v>
      </c>
      <c r="I482" s="30"/>
      <c r="K482" t="s">
        <v>38</v>
      </c>
    </row>
    <row r="483" spans="2:11" ht="13" x14ac:dyDescent="0.15">
      <c r="B483" s="29" t="s">
        <v>729</v>
      </c>
      <c r="C483" s="29" t="s">
        <v>649</v>
      </c>
      <c r="D483" s="31">
        <f>SUMIFS(D484:D1057,K484:K1057,"0",B484:B1057,"5 1 1 3 2 12 31111 6 M78 04000*")-SUMIFS(E484:E1057,K484:K1057,"0",B484:B1057,"5 1 1 3 2 12 31111 6 M78 04000*")</f>
        <v>0</v>
      </c>
      <c r="E483"/>
      <c r="F483" s="31">
        <f>SUMIFS(F484:F1057,K484:K1057,"0",B484:B1057,"5 1 1 3 2 12 31111 6 M78 04000*")</f>
        <v>75900.22</v>
      </c>
      <c r="G483" s="31">
        <f>SUMIFS(G484:G1057,K484:K1057,"0",B484:B1057,"5 1 1 3 2 12 31111 6 M78 04000*")</f>
        <v>0</v>
      </c>
      <c r="H483" s="31">
        <f t="shared" si="10"/>
        <v>75900.22</v>
      </c>
      <c r="I483" s="31"/>
      <c r="K483" t="s">
        <v>14</v>
      </c>
    </row>
    <row r="484" spans="2:11" ht="13" x14ac:dyDescent="0.15">
      <c r="B484" s="29" t="s">
        <v>730</v>
      </c>
      <c r="C484" s="29" t="s">
        <v>651</v>
      </c>
      <c r="D484" s="31">
        <f>SUMIFS(D485:D1057,K485:K1057,"0",B485:B1057,"5 1 1 3 2 12 31111 6 M78 04000 152*")-SUMIFS(E485:E1057,K485:K1057,"0",B485:B1057,"5 1 1 3 2 12 31111 6 M78 04000 152*")</f>
        <v>0</v>
      </c>
      <c r="E484"/>
      <c r="F484" s="31">
        <f>SUMIFS(F485:F1057,K485:K1057,"0",B485:B1057,"5 1 1 3 2 12 31111 6 M78 04000 152*")</f>
        <v>75900.22</v>
      </c>
      <c r="G484" s="31">
        <f>SUMIFS(G485:G1057,K485:K1057,"0",B485:B1057,"5 1 1 3 2 12 31111 6 M78 04000 152*")</f>
        <v>0</v>
      </c>
      <c r="H484" s="31">
        <f t="shared" si="10"/>
        <v>75900.22</v>
      </c>
      <c r="I484" s="31"/>
      <c r="K484" t="s">
        <v>14</v>
      </c>
    </row>
    <row r="485" spans="2:11" ht="13" x14ac:dyDescent="0.15">
      <c r="B485" s="29" t="s">
        <v>731</v>
      </c>
      <c r="C485" s="29" t="s">
        <v>180</v>
      </c>
      <c r="D485" s="31">
        <f>SUMIFS(D486:D1057,K486:K1057,"0",B486:B1057,"5 1 1 3 2 12 31111 6 M78 04000 152 00I*")-SUMIFS(E486:E1057,K486:K1057,"0",B486:B1057,"5 1 1 3 2 12 31111 6 M78 04000 152 00I*")</f>
        <v>0</v>
      </c>
      <c r="E485"/>
      <c r="F485" s="31">
        <f>SUMIFS(F486:F1057,K486:K1057,"0",B486:B1057,"5 1 1 3 2 12 31111 6 M78 04000 152 00I*")</f>
        <v>75900.22</v>
      </c>
      <c r="G485" s="31">
        <f>SUMIFS(G486:G1057,K486:K1057,"0",B486:B1057,"5 1 1 3 2 12 31111 6 M78 04000 152 00I*")</f>
        <v>0</v>
      </c>
      <c r="H485" s="31">
        <f t="shared" si="10"/>
        <v>75900.22</v>
      </c>
      <c r="I485" s="31"/>
      <c r="K485" t="s">
        <v>14</v>
      </c>
    </row>
    <row r="486" spans="2:11" ht="13" x14ac:dyDescent="0.15">
      <c r="B486" s="29" t="s">
        <v>732</v>
      </c>
      <c r="C486" s="29" t="s">
        <v>562</v>
      </c>
      <c r="D486" s="31">
        <f>SUMIFS(D487:D1057,K487:K1057,"0",B487:B1057,"5 1 1 3 2 12 31111 6 M78 04000 152 00I 001*")-SUMIFS(E487:E1057,K487:K1057,"0",B487:B1057,"5 1 1 3 2 12 31111 6 M78 04000 152 00I 001*")</f>
        <v>0</v>
      </c>
      <c r="E486"/>
      <c r="F486" s="31">
        <f>SUMIFS(F487:F1057,K487:K1057,"0",B487:B1057,"5 1 1 3 2 12 31111 6 M78 04000 152 00I 001*")</f>
        <v>75900.22</v>
      </c>
      <c r="G486" s="31">
        <f>SUMIFS(G487:G1057,K487:K1057,"0",B487:B1057,"5 1 1 3 2 12 31111 6 M78 04000 152 00I 001*")</f>
        <v>0</v>
      </c>
      <c r="H486" s="31">
        <f t="shared" si="10"/>
        <v>75900.22</v>
      </c>
      <c r="I486" s="31"/>
      <c r="K486" t="s">
        <v>14</v>
      </c>
    </row>
    <row r="487" spans="2:11" ht="13" x14ac:dyDescent="0.15">
      <c r="B487" s="29" t="s">
        <v>733</v>
      </c>
      <c r="C487" s="29" t="s">
        <v>720</v>
      </c>
      <c r="D487" s="31">
        <f>SUMIFS(D488:D1057,K488:K1057,"0",B488:B1057,"5 1 1 3 2 12 31111 6 M78 04000 152 00I 001 13202*")-SUMIFS(E488:E1057,K488:K1057,"0",B488:B1057,"5 1 1 3 2 12 31111 6 M78 04000 152 00I 001 13202*")</f>
        <v>0</v>
      </c>
      <c r="E487"/>
      <c r="F487" s="31">
        <f>SUMIFS(F488:F1057,K488:K1057,"0",B488:B1057,"5 1 1 3 2 12 31111 6 M78 04000 152 00I 001 13202*")</f>
        <v>75900.22</v>
      </c>
      <c r="G487" s="31">
        <f>SUMIFS(G488:G1057,K488:K1057,"0",B488:B1057,"5 1 1 3 2 12 31111 6 M78 04000 152 00I 001 13202*")</f>
        <v>0</v>
      </c>
      <c r="H487" s="31">
        <f t="shared" si="10"/>
        <v>75900.22</v>
      </c>
      <c r="I487" s="31"/>
      <c r="K487" t="s">
        <v>14</v>
      </c>
    </row>
    <row r="488" spans="2:11" ht="13" x14ac:dyDescent="0.15">
      <c r="B488" s="29" t="s">
        <v>734</v>
      </c>
      <c r="C488" s="29" t="s">
        <v>186</v>
      </c>
      <c r="D488" s="31">
        <f>SUMIFS(D489:D1057,K489:K1057,"0",B489:B1057,"5 1 1 3 2 12 31111 6 M78 04000 152 00I 001 13202 025*")-SUMIFS(E489:E1057,K489:K1057,"0",B489:B1057,"5 1 1 3 2 12 31111 6 M78 04000 152 00I 001 13202 025*")</f>
        <v>0</v>
      </c>
      <c r="E488"/>
      <c r="F488" s="31">
        <f>SUMIFS(F489:F1057,K489:K1057,"0",B489:B1057,"5 1 1 3 2 12 31111 6 M78 04000 152 00I 001 13202 025*")</f>
        <v>75900.22</v>
      </c>
      <c r="G488" s="31">
        <f>SUMIFS(G489:G1057,K489:K1057,"0",B489:B1057,"5 1 1 3 2 12 31111 6 M78 04000 152 00I 001 13202 025*")</f>
        <v>0</v>
      </c>
      <c r="H488" s="31">
        <f t="shared" si="10"/>
        <v>75900.22</v>
      </c>
      <c r="I488" s="31"/>
      <c r="K488" t="s">
        <v>14</v>
      </c>
    </row>
    <row r="489" spans="2:11" ht="22" x14ac:dyDescent="0.15">
      <c r="B489" s="29" t="s">
        <v>735</v>
      </c>
      <c r="C489" s="29" t="s">
        <v>640</v>
      </c>
      <c r="D489" s="31">
        <f>SUMIFS(D490:D1057,K490:K1057,"0",B490:B1057,"5 1 1 3 2 12 31111 6 M78 04000 152 00I 001 13202 025 2111100*")-SUMIFS(E490:E1057,K490:K1057,"0",B490:B1057,"5 1 1 3 2 12 31111 6 M78 04000 152 00I 001 13202 025 2111100*")</f>
        <v>0</v>
      </c>
      <c r="E489"/>
      <c r="F489" s="31">
        <f>SUMIFS(F490:F1057,K490:K1057,"0",B490:B1057,"5 1 1 3 2 12 31111 6 M78 04000 152 00I 001 13202 025 2111100*")</f>
        <v>75900.22</v>
      </c>
      <c r="G489" s="31">
        <f>SUMIFS(G490:G1057,K490:K1057,"0",B490:B1057,"5 1 1 3 2 12 31111 6 M78 04000 152 00I 001 13202 025 2111100*")</f>
        <v>0</v>
      </c>
      <c r="H489" s="31">
        <f t="shared" si="10"/>
        <v>75900.22</v>
      </c>
      <c r="I489" s="31"/>
      <c r="K489" t="s">
        <v>14</v>
      </c>
    </row>
    <row r="490" spans="2:11" ht="22" x14ac:dyDescent="0.15">
      <c r="B490" s="29" t="s">
        <v>736</v>
      </c>
      <c r="C490" s="29" t="s">
        <v>294</v>
      </c>
      <c r="D490" s="31">
        <f>SUMIFS(D491:D1057,K491:K1057,"0",B491:B1057,"5 1 1 3 2 12 31111 6 M78 04000 152 00I 001 13202 025 2111100 2024*")-SUMIFS(E491:E1057,K491:K1057,"0",B491:B1057,"5 1 1 3 2 12 31111 6 M78 04000 152 00I 001 13202 025 2111100 2024*")</f>
        <v>0</v>
      </c>
      <c r="E490"/>
      <c r="F490" s="31">
        <f>SUMIFS(F491:F1057,K491:K1057,"0",B491:B1057,"5 1 1 3 2 12 31111 6 M78 04000 152 00I 001 13202 025 2111100 2024*")</f>
        <v>75900.22</v>
      </c>
      <c r="G490" s="31">
        <f>SUMIFS(G491:G1057,K491:K1057,"0",B491:B1057,"5 1 1 3 2 12 31111 6 M78 04000 152 00I 001 13202 025 2111100 2024*")</f>
        <v>0</v>
      </c>
      <c r="H490" s="31">
        <f t="shared" si="10"/>
        <v>75900.22</v>
      </c>
      <c r="I490" s="31"/>
      <c r="K490" t="s">
        <v>14</v>
      </c>
    </row>
    <row r="491" spans="2:11" ht="22" x14ac:dyDescent="0.15">
      <c r="B491" s="29" t="s">
        <v>737</v>
      </c>
      <c r="C491" s="29" t="s">
        <v>192</v>
      </c>
      <c r="D491" s="31">
        <f>SUMIFS(D492:D1057,K492:K1057,"0",B492:B1057,"5 1 1 3 2 12 31111 6 M78 04000 152 00I 001 13202 025 2111100 2024 00000000*")-SUMIFS(E492:E1057,K492:K1057,"0",B492:B1057,"5 1 1 3 2 12 31111 6 M78 04000 152 00I 001 13202 025 2111100 2024 00000000*")</f>
        <v>0</v>
      </c>
      <c r="E491"/>
      <c r="F491" s="31">
        <f>SUMIFS(F492:F1057,K492:K1057,"0",B492:B1057,"5 1 1 3 2 12 31111 6 M78 04000 152 00I 001 13202 025 2111100 2024 00000000*")</f>
        <v>75900.22</v>
      </c>
      <c r="G491" s="31">
        <f>SUMIFS(G492:G1057,K492:K1057,"0",B492:B1057,"5 1 1 3 2 12 31111 6 M78 04000 152 00I 001 13202 025 2111100 2024 00000000*")</f>
        <v>0</v>
      </c>
      <c r="H491" s="31">
        <f t="shared" si="10"/>
        <v>75900.22</v>
      </c>
      <c r="I491" s="31"/>
      <c r="K491" t="s">
        <v>14</v>
      </c>
    </row>
    <row r="492" spans="2:11" ht="22" x14ac:dyDescent="0.15">
      <c r="B492" s="29" t="s">
        <v>738</v>
      </c>
      <c r="C492" s="29" t="s">
        <v>9</v>
      </c>
      <c r="D492" s="31">
        <f>SUMIFS(D493:D1057,K493:K1057,"0",B493:B1057,"5 1 1 3 2 12 31111 6 M78 04000 152 00I 001 13202 025 2111100 2024 00000000 003*")-SUMIFS(E493:E1057,K493:K1057,"0",B493:B1057,"5 1 1 3 2 12 31111 6 M78 04000 152 00I 001 13202 025 2111100 2024 00000000 003*")</f>
        <v>0</v>
      </c>
      <c r="E492"/>
      <c r="F492" s="31">
        <f>SUMIFS(F493:F1057,K493:K1057,"0",B493:B1057,"5 1 1 3 2 12 31111 6 M78 04000 152 00I 001 13202 025 2111100 2024 00000000 003*")</f>
        <v>75900.22</v>
      </c>
      <c r="G492" s="31">
        <f>SUMIFS(G493:G1057,K493:K1057,"0",B493:B1057,"5 1 1 3 2 12 31111 6 M78 04000 152 00I 001 13202 025 2111100 2024 00000000 003*")</f>
        <v>0</v>
      </c>
      <c r="H492" s="31">
        <f t="shared" si="10"/>
        <v>75900.22</v>
      </c>
      <c r="I492" s="31"/>
      <c r="K492" t="s">
        <v>14</v>
      </c>
    </row>
    <row r="493" spans="2:11" ht="22" x14ac:dyDescent="0.15">
      <c r="B493" s="29" t="s">
        <v>739</v>
      </c>
      <c r="C493" s="29" t="s">
        <v>661</v>
      </c>
      <c r="D493" s="31">
        <f>SUMIFS(D494:D1057,K494:K1057,"0",B494:B1057,"5 1 1 3 2 12 31111 6 M78 04000 152 00I 001 13202 025 2111100 2024 00000000 003 001*")-SUMIFS(E494:E1057,K494:K1057,"0",B494:B1057,"5 1 1 3 2 12 31111 6 M78 04000 152 00I 001 13202 025 2111100 2024 00000000 003 001*")</f>
        <v>0</v>
      </c>
      <c r="E493"/>
      <c r="F493" s="31">
        <f>SUMIFS(F494:F1057,K494:K1057,"0",B494:B1057,"5 1 1 3 2 12 31111 6 M78 04000 152 00I 001 13202 025 2111100 2024 00000000 003 001*")</f>
        <v>75900.22</v>
      </c>
      <c r="G493" s="31">
        <f>SUMIFS(G494:G1057,K494:K1057,"0",B494:B1057,"5 1 1 3 2 12 31111 6 M78 04000 152 00I 001 13202 025 2111100 2024 00000000 003 001*")</f>
        <v>0</v>
      </c>
      <c r="H493" s="31">
        <f t="shared" si="10"/>
        <v>75900.22</v>
      </c>
      <c r="I493" s="31"/>
      <c r="K493" t="s">
        <v>14</v>
      </c>
    </row>
    <row r="494" spans="2:11" ht="22" x14ac:dyDescent="0.15">
      <c r="B494" s="27" t="s">
        <v>740</v>
      </c>
      <c r="C494" s="27" t="s">
        <v>728</v>
      </c>
      <c r="D494" s="30">
        <v>0</v>
      </c>
      <c r="E494" s="30"/>
      <c r="F494" s="30">
        <v>75900.22</v>
      </c>
      <c r="G494" s="30">
        <v>0</v>
      </c>
      <c r="H494" s="30">
        <f t="shared" si="10"/>
        <v>75900.22</v>
      </c>
      <c r="I494" s="30"/>
      <c r="K494" t="s">
        <v>38</v>
      </c>
    </row>
    <row r="495" spans="2:11" ht="13" x14ac:dyDescent="0.15">
      <c r="B495" s="29" t="s">
        <v>741</v>
      </c>
      <c r="C495" s="29" t="s">
        <v>176</v>
      </c>
      <c r="D495" s="31">
        <f>SUMIFS(D496:D1057,K496:K1057,"0",B496:B1057,"5 1 1 3 2 12 31111 6 M78 15000*")-SUMIFS(E496:E1057,K496:K1057,"0",B496:B1057,"5 1 1 3 2 12 31111 6 M78 15000*")</f>
        <v>0</v>
      </c>
      <c r="E495"/>
      <c r="F495" s="31">
        <f>SUMIFS(F496:F1057,K496:K1057,"0",B496:B1057,"5 1 1 3 2 12 31111 6 M78 15000*")</f>
        <v>268855.7</v>
      </c>
      <c r="G495" s="31">
        <f>SUMIFS(G496:G1057,K496:K1057,"0",B496:B1057,"5 1 1 3 2 12 31111 6 M78 15000*")</f>
        <v>0</v>
      </c>
      <c r="H495" s="31">
        <f t="shared" si="10"/>
        <v>268855.7</v>
      </c>
      <c r="I495" s="31"/>
      <c r="K495" t="s">
        <v>14</v>
      </c>
    </row>
    <row r="496" spans="2:11" ht="13" x14ac:dyDescent="0.15">
      <c r="B496" s="29" t="s">
        <v>742</v>
      </c>
      <c r="C496" s="29" t="s">
        <v>178</v>
      </c>
      <c r="D496" s="31">
        <f>SUMIFS(D497:D1057,K497:K1057,"0",B497:B1057,"5 1 1 3 2 12 31111 6 M78 15000 171*")-SUMIFS(E497:E1057,K497:K1057,"0",B497:B1057,"5 1 1 3 2 12 31111 6 M78 15000 171*")</f>
        <v>0</v>
      </c>
      <c r="E496"/>
      <c r="F496" s="31">
        <f>SUMIFS(F497:F1057,K497:K1057,"0",B497:B1057,"5 1 1 3 2 12 31111 6 M78 15000 171*")</f>
        <v>268855.7</v>
      </c>
      <c r="G496" s="31">
        <f>SUMIFS(G497:G1057,K497:K1057,"0",B497:B1057,"5 1 1 3 2 12 31111 6 M78 15000 171*")</f>
        <v>0</v>
      </c>
      <c r="H496" s="31">
        <f t="shared" si="10"/>
        <v>268855.7</v>
      </c>
      <c r="I496" s="31"/>
      <c r="K496" t="s">
        <v>14</v>
      </c>
    </row>
    <row r="497" spans="2:11" ht="13" x14ac:dyDescent="0.15">
      <c r="B497" s="29" t="s">
        <v>743</v>
      </c>
      <c r="C497" s="29" t="s">
        <v>180</v>
      </c>
      <c r="D497" s="31">
        <f>SUMIFS(D498:D1057,K498:K1057,"0",B498:B1057,"5 1 1 3 2 12 31111 6 M78 15000 171 00I*")-SUMIFS(E498:E1057,K498:K1057,"0",B498:B1057,"5 1 1 3 2 12 31111 6 M78 15000 171 00I*")</f>
        <v>0</v>
      </c>
      <c r="E497"/>
      <c r="F497" s="31">
        <f>SUMIFS(F498:F1057,K498:K1057,"0",B498:B1057,"5 1 1 3 2 12 31111 6 M78 15000 171 00I*")</f>
        <v>268855.7</v>
      </c>
      <c r="G497" s="31">
        <f>SUMIFS(G498:G1057,K498:K1057,"0",B498:B1057,"5 1 1 3 2 12 31111 6 M78 15000 171 00I*")</f>
        <v>0</v>
      </c>
      <c r="H497" s="31">
        <f t="shared" si="10"/>
        <v>268855.7</v>
      </c>
      <c r="I497" s="31"/>
      <c r="K497" t="s">
        <v>14</v>
      </c>
    </row>
    <row r="498" spans="2:11" ht="13" x14ac:dyDescent="0.15">
      <c r="B498" s="29" t="s">
        <v>744</v>
      </c>
      <c r="C498" s="29" t="s">
        <v>562</v>
      </c>
      <c r="D498" s="31">
        <f>SUMIFS(D499:D1057,K499:K1057,"0",B499:B1057,"5 1 1 3 2 12 31111 6 M78 15000 171 00I 001*")-SUMIFS(E499:E1057,K499:K1057,"0",B499:B1057,"5 1 1 3 2 12 31111 6 M78 15000 171 00I 001*")</f>
        <v>0</v>
      </c>
      <c r="E498"/>
      <c r="F498" s="31">
        <f>SUMIFS(F499:F1057,K499:K1057,"0",B499:B1057,"5 1 1 3 2 12 31111 6 M78 15000 171 00I 001*")</f>
        <v>268855.7</v>
      </c>
      <c r="G498" s="31">
        <f>SUMIFS(G499:G1057,K499:K1057,"0",B499:B1057,"5 1 1 3 2 12 31111 6 M78 15000 171 00I 001*")</f>
        <v>0</v>
      </c>
      <c r="H498" s="31">
        <f t="shared" si="10"/>
        <v>268855.7</v>
      </c>
      <c r="I498" s="31"/>
      <c r="K498" t="s">
        <v>14</v>
      </c>
    </row>
    <row r="499" spans="2:11" ht="13" x14ac:dyDescent="0.15">
      <c r="B499" s="29" t="s">
        <v>745</v>
      </c>
      <c r="C499" s="29" t="s">
        <v>720</v>
      </c>
      <c r="D499" s="31">
        <f>SUMIFS(D500:D1057,K500:K1057,"0",B500:B1057,"5 1 1 3 2 12 31111 6 M78 15000 171 00I 001 13202*")-SUMIFS(E500:E1057,K500:K1057,"0",B500:B1057,"5 1 1 3 2 12 31111 6 M78 15000 171 00I 001 13202*")</f>
        <v>0</v>
      </c>
      <c r="E499"/>
      <c r="F499" s="31">
        <f>SUMIFS(F500:F1057,K500:K1057,"0",B500:B1057,"5 1 1 3 2 12 31111 6 M78 15000 171 00I 001 13202*")</f>
        <v>268855.7</v>
      </c>
      <c r="G499" s="31">
        <f>SUMIFS(G500:G1057,K500:K1057,"0",B500:B1057,"5 1 1 3 2 12 31111 6 M78 15000 171 00I 001 13202*")</f>
        <v>0</v>
      </c>
      <c r="H499" s="31">
        <f t="shared" si="10"/>
        <v>268855.7</v>
      </c>
      <c r="I499" s="31"/>
      <c r="K499" t="s">
        <v>14</v>
      </c>
    </row>
    <row r="500" spans="2:11" ht="13" x14ac:dyDescent="0.15">
      <c r="B500" s="29" t="s">
        <v>746</v>
      </c>
      <c r="C500" s="29" t="s">
        <v>186</v>
      </c>
      <c r="D500" s="31">
        <f>SUMIFS(D501:D1057,K501:K1057,"0",B501:B1057,"5 1 1 3 2 12 31111 6 M78 15000 171 00I 001 13202 025*")-SUMIFS(E501:E1057,K501:K1057,"0",B501:B1057,"5 1 1 3 2 12 31111 6 M78 15000 171 00I 001 13202 025*")</f>
        <v>0</v>
      </c>
      <c r="E500"/>
      <c r="F500" s="31">
        <f>SUMIFS(F501:F1057,K501:K1057,"0",B501:B1057,"5 1 1 3 2 12 31111 6 M78 15000 171 00I 001 13202 025*")</f>
        <v>268855.7</v>
      </c>
      <c r="G500" s="31">
        <f>SUMIFS(G501:G1057,K501:K1057,"0",B501:B1057,"5 1 1 3 2 12 31111 6 M78 15000 171 00I 001 13202 025*")</f>
        <v>0</v>
      </c>
      <c r="H500" s="31">
        <f t="shared" si="10"/>
        <v>268855.7</v>
      </c>
      <c r="I500" s="31"/>
      <c r="K500" t="s">
        <v>14</v>
      </c>
    </row>
    <row r="501" spans="2:11" ht="22" x14ac:dyDescent="0.15">
      <c r="B501" s="29" t="s">
        <v>747</v>
      </c>
      <c r="C501" s="29" t="s">
        <v>640</v>
      </c>
      <c r="D501" s="31">
        <f>SUMIFS(D502:D1057,K502:K1057,"0",B502:B1057,"5 1 1 3 2 12 31111 6 M78 15000 171 00I 001 13202 025 2111100*")-SUMIFS(E502:E1057,K502:K1057,"0",B502:B1057,"5 1 1 3 2 12 31111 6 M78 15000 171 00I 001 13202 025 2111100*")</f>
        <v>0</v>
      </c>
      <c r="E501"/>
      <c r="F501" s="31">
        <f>SUMIFS(F502:F1057,K502:K1057,"0",B502:B1057,"5 1 1 3 2 12 31111 6 M78 15000 171 00I 001 13202 025 2111100*")</f>
        <v>268855.7</v>
      </c>
      <c r="G501" s="31">
        <f>SUMIFS(G502:G1057,K502:K1057,"0",B502:B1057,"5 1 1 3 2 12 31111 6 M78 15000 171 00I 001 13202 025 2111100*")</f>
        <v>0</v>
      </c>
      <c r="H501" s="31">
        <f t="shared" si="10"/>
        <v>268855.7</v>
      </c>
      <c r="I501" s="31"/>
      <c r="K501" t="s">
        <v>14</v>
      </c>
    </row>
    <row r="502" spans="2:11" ht="22" x14ac:dyDescent="0.15">
      <c r="B502" s="29" t="s">
        <v>748</v>
      </c>
      <c r="C502" s="29" t="s">
        <v>294</v>
      </c>
      <c r="D502" s="31">
        <f>SUMIFS(D503:D1057,K503:K1057,"0",B503:B1057,"5 1 1 3 2 12 31111 6 M78 15000 171 00I 001 13202 025 2111100 2024*")-SUMIFS(E503:E1057,K503:K1057,"0",B503:B1057,"5 1 1 3 2 12 31111 6 M78 15000 171 00I 001 13202 025 2111100 2024*")</f>
        <v>0</v>
      </c>
      <c r="E502"/>
      <c r="F502" s="31">
        <f>SUMIFS(F503:F1057,K503:K1057,"0",B503:B1057,"5 1 1 3 2 12 31111 6 M78 15000 171 00I 001 13202 025 2111100 2024*")</f>
        <v>268855.7</v>
      </c>
      <c r="G502" s="31">
        <f>SUMIFS(G503:G1057,K503:K1057,"0",B503:B1057,"5 1 1 3 2 12 31111 6 M78 15000 171 00I 001 13202 025 2111100 2024*")</f>
        <v>0</v>
      </c>
      <c r="H502" s="31">
        <f t="shared" si="10"/>
        <v>268855.7</v>
      </c>
      <c r="I502" s="31"/>
      <c r="K502" t="s">
        <v>14</v>
      </c>
    </row>
    <row r="503" spans="2:11" ht="22" x14ac:dyDescent="0.15">
      <c r="B503" s="29" t="s">
        <v>749</v>
      </c>
      <c r="C503" s="29" t="s">
        <v>192</v>
      </c>
      <c r="D503" s="31">
        <f>SUMIFS(D504:D1057,K504:K1057,"0",B504:B1057,"5 1 1 3 2 12 31111 6 M78 15000 171 00I 001 13202 025 2111100 2024 00000000*")-SUMIFS(E504:E1057,K504:K1057,"0",B504:B1057,"5 1 1 3 2 12 31111 6 M78 15000 171 00I 001 13202 025 2111100 2024 00000000*")</f>
        <v>0</v>
      </c>
      <c r="E503"/>
      <c r="F503" s="31">
        <f>SUMIFS(F504:F1057,K504:K1057,"0",B504:B1057,"5 1 1 3 2 12 31111 6 M78 15000 171 00I 001 13202 025 2111100 2024 00000000*")</f>
        <v>268855.7</v>
      </c>
      <c r="G503" s="31">
        <f>SUMIFS(G504:G1057,K504:K1057,"0",B504:B1057,"5 1 1 3 2 12 31111 6 M78 15000 171 00I 001 13202 025 2111100 2024 00000000*")</f>
        <v>0</v>
      </c>
      <c r="H503" s="31">
        <f t="shared" si="10"/>
        <v>268855.7</v>
      </c>
      <c r="I503" s="31"/>
      <c r="K503" t="s">
        <v>14</v>
      </c>
    </row>
    <row r="504" spans="2:11" ht="22" x14ac:dyDescent="0.15">
      <c r="B504" s="29" t="s">
        <v>750</v>
      </c>
      <c r="C504" s="29" t="s">
        <v>9</v>
      </c>
      <c r="D504" s="31">
        <f>SUMIFS(D505:D1057,K505:K1057,"0",B505:B1057,"5 1 1 3 2 12 31111 6 M78 15000 171 00I 001 13202 025 2111100 2024 00000000 003*")-SUMIFS(E505:E1057,K505:K1057,"0",B505:B1057,"5 1 1 3 2 12 31111 6 M78 15000 171 00I 001 13202 025 2111100 2024 00000000 003*")</f>
        <v>0</v>
      </c>
      <c r="E504"/>
      <c r="F504" s="31">
        <f>SUMIFS(F505:F1057,K505:K1057,"0",B505:B1057,"5 1 1 3 2 12 31111 6 M78 15000 171 00I 001 13202 025 2111100 2024 00000000 003*")</f>
        <v>268855.7</v>
      </c>
      <c r="G504" s="31">
        <f>SUMIFS(G505:G1057,K505:K1057,"0",B505:B1057,"5 1 1 3 2 12 31111 6 M78 15000 171 00I 001 13202 025 2111100 2024 00000000 003*")</f>
        <v>0</v>
      </c>
      <c r="H504" s="31">
        <f t="shared" si="10"/>
        <v>268855.7</v>
      </c>
      <c r="I504" s="31"/>
      <c r="K504" t="s">
        <v>14</v>
      </c>
    </row>
    <row r="505" spans="2:11" ht="22" x14ac:dyDescent="0.15">
      <c r="B505" s="29" t="s">
        <v>751</v>
      </c>
      <c r="C505" s="29" t="s">
        <v>675</v>
      </c>
      <c r="D505" s="31">
        <f>SUMIFS(D506:D1057,K506:K1057,"0",B506:B1057,"5 1 1 3 2 12 31111 6 M78 15000 171 00I 001 13202 025 2111100 2024 00000000 003 001*")-SUMIFS(E506:E1057,K506:K1057,"0",B506:B1057,"5 1 1 3 2 12 31111 6 M78 15000 171 00I 001 13202 025 2111100 2024 00000000 003 001*")</f>
        <v>0</v>
      </c>
      <c r="E505"/>
      <c r="F505" s="31">
        <f>SUMIFS(F506:F1057,K506:K1057,"0",B506:B1057,"5 1 1 3 2 12 31111 6 M78 15000 171 00I 001 13202 025 2111100 2024 00000000 003 001*")</f>
        <v>268855.7</v>
      </c>
      <c r="G505" s="31">
        <f>SUMIFS(G506:G1057,K506:K1057,"0",B506:B1057,"5 1 1 3 2 12 31111 6 M78 15000 171 00I 001 13202 025 2111100 2024 00000000 003 001*")</f>
        <v>0</v>
      </c>
      <c r="H505" s="31">
        <f t="shared" si="10"/>
        <v>268855.7</v>
      </c>
      <c r="I505" s="31"/>
      <c r="K505" t="s">
        <v>14</v>
      </c>
    </row>
    <row r="506" spans="2:11" ht="22" x14ac:dyDescent="0.15">
      <c r="B506" s="27" t="s">
        <v>752</v>
      </c>
      <c r="C506" s="27" t="s">
        <v>728</v>
      </c>
      <c r="D506" s="30">
        <v>0</v>
      </c>
      <c r="E506" s="30"/>
      <c r="F506" s="30">
        <v>268855.7</v>
      </c>
      <c r="G506" s="30">
        <v>0</v>
      </c>
      <c r="H506" s="30">
        <f t="shared" si="10"/>
        <v>268855.7</v>
      </c>
      <c r="I506" s="30"/>
      <c r="K506" t="s">
        <v>38</v>
      </c>
    </row>
    <row r="507" spans="2:11" ht="13" x14ac:dyDescent="0.15">
      <c r="B507" s="29" t="s">
        <v>753</v>
      </c>
      <c r="C507" s="29" t="s">
        <v>678</v>
      </c>
      <c r="D507" s="31">
        <f>SUMIFS(D508:D1057,K508:K1057,"0",B508:B1057,"5 1 1 3 2 12 31111 6 M78 16000*")-SUMIFS(E508:E1057,K508:K1057,"0",B508:B1057,"5 1 1 3 2 12 31111 6 M78 16000*")</f>
        <v>0</v>
      </c>
      <c r="E507"/>
      <c r="F507" s="31">
        <f>SUMIFS(F508:F1057,K508:K1057,"0",B508:B1057,"5 1 1 3 2 12 31111 6 M78 16000*")</f>
        <v>77645.69</v>
      </c>
      <c r="G507" s="31">
        <f>SUMIFS(G508:G1057,K508:K1057,"0",B508:B1057,"5 1 1 3 2 12 31111 6 M78 16000*")</f>
        <v>0</v>
      </c>
      <c r="H507" s="31">
        <f t="shared" si="10"/>
        <v>77645.69</v>
      </c>
      <c r="I507" s="31"/>
      <c r="K507" t="s">
        <v>14</v>
      </c>
    </row>
    <row r="508" spans="2:11" ht="13" x14ac:dyDescent="0.15">
      <c r="B508" s="29" t="s">
        <v>754</v>
      </c>
      <c r="C508" s="29" t="s">
        <v>680</v>
      </c>
      <c r="D508" s="31">
        <f>SUMIFS(D509:D1057,K509:K1057,"0",B509:B1057,"5 1 1 3 2 12 31111 6 M78 16000 173*")-SUMIFS(E509:E1057,K509:K1057,"0",B509:B1057,"5 1 1 3 2 12 31111 6 M78 16000 173*")</f>
        <v>0</v>
      </c>
      <c r="E508"/>
      <c r="F508" s="31">
        <f>SUMIFS(F509:F1057,K509:K1057,"0",B509:B1057,"5 1 1 3 2 12 31111 6 M78 16000 173*")</f>
        <v>77645.69</v>
      </c>
      <c r="G508" s="31">
        <f>SUMIFS(G509:G1057,K509:K1057,"0",B509:B1057,"5 1 1 3 2 12 31111 6 M78 16000 173*")</f>
        <v>0</v>
      </c>
      <c r="H508" s="31">
        <f t="shared" si="10"/>
        <v>77645.69</v>
      </c>
      <c r="I508" s="31"/>
      <c r="K508" t="s">
        <v>14</v>
      </c>
    </row>
    <row r="509" spans="2:11" ht="13" x14ac:dyDescent="0.15">
      <c r="B509" s="29" t="s">
        <v>755</v>
      </c>
      <c r="C509" s="29" t="s">
        <v>180</v>
      </c>
      <c r="D509" s="31">
        <f>SUMIFS(D510:D1057,K510:K1057,"0",B510:B1057,"5 1 1 3 2 12 31111 6 M78 16000 173 00I*")-SUMIFS(E510:E1057,K510:K1057,"0",B510:B1057,"5 1 1 3 2 12 31111 6 M78 16000 173 00I*")</f>
        <v>0</v>
      </c>
      <c r="E509"/>
      <c r="F509" s="31">
        <f>SUMIFS(F510:F1057,K510:K1057,"0",B510:B1057,"5 1 1 3 2 12 31111 6 M78 16000 173 00I*")</f>
        <v>77645.69</v>
      </c>
      <c r="G509" s="31">
        <f>SUMIFS(G510:G1057,K510:K1057,"0",B510:B1057,"5 1 1 3 2 12 31111 6 M78 16000 173 00I*")</f>
        <v>0</v>
      </c>
      <c r="H509" s="31">
        <f t="shared" si="10"/>
        <v>77645.69</v>
      </c>
      <c r="I509" s="31"/>
      <c r="K509" t="s">
        <v>14</v>
      </c>
    </row>
    <row r="510" spans="2:11" ht="13" x14ac:dyDescent="0.15">
      <c r="B510" s="29" t="s">
        <v>756</v>
      </c>
      <c r="C510" s="29" t="s">
        <v>562</v>
      </c>
      <c r="D510" s="31">
        <f>SUMIFS(D511:D1057,K511:K1057,"0",B511:B1057,"5 1 1 3 2 12 31111 6 M78 16000 173 00I 001*")-SUMIFS(E511:E1057,K511:K1057,"0",B511:B1057,"5 1 1 3 2 12 31111 6 M78 16000 173 00I 001*")</f>
        <v>0</v>
      </c>
      <c r="E510"/>
      <c r="F510" s="31">
        <f>SUMIFS(F511:F1057,K511:K1057,"0",B511:B1057,"5 1 1 3 2 12 31111 6 M78 16000 173 00I 001*")</f>
        <v>77645.69</v>
      </c>
      <c r="G510" s="31">
        <f>SUMIFS(G511:G1057,K511:K1057,"0",B511:B1057,"5 1 1 3 2 12 31111 6 M78 16000 173 00I 001*")</f>
        <v>0</v>
      </c>
      <c r="H510" s="31">
        <f t="shared" si="10"/>
        <v>77645.69</v>
      </c>
      <c r="I510" s="31"/>
      <c r="K510" t="s">
        <v>14</v>
      </c>
    </row>
    <row r="511" spans="2:11" ht="13" x14ac:dyDescent="0.15">
      <c r="B511" s="29" t="s">
        <v>757</v>
      </c>
      <c r="C511" s="29" t="s">
        <v>720</v>
      </c>
      <c r="D511" s="31">
        <f>SUMIFS(D512:D1057,K512:K1057,"0",B512:B1057,"5 1 1 3 2 12 31111 6 M78 16000 173 00I 001 13202*")-SUMIFS(E512:E1057,K512:K1057,"0",B512:B1057,"5 1 1 3 2 12 31111 6 M78 16000 173 00I 001 13202*")</f>
        <v>0</v>
      </c>
      <c r="E511"/>
      <c r="F511" s="31">
        <f>SUMIFS(F512:F1057,K512:K1057,"0",B512:B1057,"5 1 1 3 2 12 31111 6 M78 16000 173 00I 001 13202*")</f>
        <v>77645.69</v>
      </c>
      <c r="G511" s="31">
        <f>SUMIFS(G512:G1057,K512:K1057,"0",B512:B1057,"5 1 1 3 2 12 31111 6 M78 16000 173 00I 001 13202*")</f>
        <v>0</v>
      </c>
      <c r="H511" s="31">
        <f t="shared" si="10"/>
        <v>77645.69</v>
      </c>
      <c r="I511" s="31"/>
      <c r="K511" t="s">
        <v>14</v>
      </c>
    </row>
    <row r="512" spans="2:11" ht="13" x14ac:dyDescent="0.15">
      <c r="B512" s="29" t="s">
        <v>758</v>
      </c>
      <c r="C512" s="29" t="s">
        <v>186</v>
      </c>
      <c r="D512" s="31">
        <f>SUMIFS(D513:D1057,K513:K1057,"0",B513:B1057,"5 1 1 3 2 12 31111 6 M78 16000 173 00I 001 13202 025*")-SUMIFS(E513:E1057,K513:K1057,"0",B513:B1057,"5 1 1 3 2 12 31111 6 M78 16000 173 00I 001 13202 025*")</f>
        <v>0</v>
      </c>
      <c r="E512"/>
      <c r="F512" s="31">
        <f>SUMIFS(F513:F1057,K513:K1057,"0",B513:B1057,"5 1 1 3 2 12 31111 6 M78 16000 173 00I 001 13202 025*")</f>
        <v>77645.69</v>
      </c>
      <c r="G512" s="31">
        <f>SUMIFS(G513:G1057,K513:K1057,"0",B513:B1057,"5 1 1 3 2 12 31111 6 M78 16000 173 00I 001 13202 025*")</f>
        <v>0</v>
      </c>
      <c r="H512" s="31">
        <f t="shared" si="10"/>
        <v>77645.69</v>
      </c>
      <c r="I512" s="31"/>
      <c r="K512" t="s">
        <v>14</v>
      </c>
    </row>
    <row r="513" spans="2:11" ht="22" x14ac:dyDescent="0.15">
      <c r="B513" s="29" t="s">
        <v>759</v>
      </c>
      <c r="C513" s="29" t="s">
        <v>640</v>
      </c>
      <c r="D513" s="31">
        <f>SUMIFS(D514:D1057,K514:K1057,"0",B514:B1057,"5 1 1 3 2 12 31111 6 M78 16000 173 00I 001 13202 025 2111100*")-SUMIFS(E514:E1057,K514:K1057,"0",B514:B1057,"5 1 1 3 2 12 31111 6 M78 16000 173 00I 001 13202 025 2111100*")</f>
        <v>0</v>
      </c>
      <c r="E513"/>
      <c r="F513" s="31">
        <f>SUMIFS(F514:F1057,K514:K1057,"0",B514:B1057,"5 1 1 3 2 12 31111 6 M78 16000 173 00I 001 13202 025 2111100*")</f>
        <v>77645.69</v>
      </c>
      <c r="G513" s="31">
        <f>SUMIFS(G514:G1057,K514:K1057,"0",B514:B1057,"5 1 1 3 2 12 31111 6 M78 16000 173 00I 001 13202 025 2111100*")</f>
        <v>0</v>
      </c>
      <c r="H513" s="31">
        <f t="shared" si="10"/>
        <v>77645.69</v>
      </c>
      <c r="I513" s="31"/>
      <c r="K513" t="s">
        <v>14</v>
      </c>
    </row>
    <row r="514" spans="2:11" ht="22" x14ac:dyDescent="0.15">
      <c r="B514" s="29" t="s">
        <v>760</v>
      </c>
      <c r="C514" s="29" t="s">
        <v>294</v>
      </c>
      <c r="D514" s="31">
        <f>SUMIFS(D515:D1057,K515:K1057,"0",B515:B1057,"5 1 1 3 2 12 31111 6 M78 16000 173 00I 001 13202 025 2111100 2024*")-SUMIFS(E515:E1057,K515:K1057,"0",B515:B1057,"5 1 1 3 2 12 31111 6 M78 16000 173 00I 001 13202 025 2111100 2024*")</f>
        <v>0</v>
      </c>
      <c r="E514"/>
      <c r="F514" s="31">
        <f>SUMIFS(F515:F1057,K515:K1057,"0",B515:B1057,"5 1 1 3 2 12 31111 6 M78 16000 173 00I 001 13202 025 2111100 2024*")</f>
        <v>77645.69</v>
      </c>
      <c r="G514" s="31">
        <f>SUMIFS(G515:G1057,K515:K1057,"0",B515:B1057,"5 1 1 3 2 12 31111 6 M78 16000 173 00I 001 13202 025 2111100 2024*")</f>
        <v>0</v>
      </c>
      <c r="H514" s="31">
        <f t="shared" si="10"/>
        <v>77645.69</v>
      </c>
      <c r="I514" s="31"/>
      <c r="K514" t="s">
        <v>14</v>
      </c>
    </row>
    <row r="515" spans="2:11" ht="22" x14ac:dyDescent="0.15">
      <c r="B515" s="29" t="s">
        <v>761</v>
      </c>
      <c r="C515" s="29" t="s">
        <v>192</v>
      </c>
      <c r="D515" s="31">
        <f>SUMIFS(D516:D1057,K516:K1057,"0",B516:B1057,"5 1 1 3 2 12 31111 6 M78 16000 173 00I 001 13202 025 2111100 2024 00000000*")-SUMIFS(E516:E1057,K516:K1057,"0",B516:B1057,"5 1 1 3 2 12 31111 6 M78 16000 173 00I 001 13202 025 2111100 2024 00000000*")</f>
        <v>0</v>
      </c>
      <c r="E515"/>
      <c r="F515" s="31">
        <f>SUMIFS(F516:F1057,K516:K1057,"0",B516:B1057,"5 1 1 3 2 12 31111 6 M78 16000 173 00I 001 13202 025 2111100 2024 00000000*")</f>
        <v>77645.69</v>
      </c>
      <c r="G515" s="31">
        <f>SUMIFS(G516:G1057,K516:K1057,"0",B516:B1057,"5 1 1 3 2 12 31111 6 M78 16000 173 00I 001 13202 025 2111100 2024 00000000*")</f>
        <v>0</v>
      </c>
      <c r="H515" s="31">
        <f t="shared" si="10"/>
        <v>77645.69</v>
      </c>
      <c r="I515" s="31"/>
      <c r="K515" t="s">
        <v>14</v>
      </c>
    </row>
    <row r="516" spans="2:11" ht="22" x14ac:dyDescent="0.15">
      <c r="B516" s="29" t="s">
        <v>762</v>
      </c>
      <c r="C516" s="29" t="s">
        <v>9</v>
      </c>
      <c r="D516" s="31">
        <f>SUMIFS(D517:D1057,K517:K1057,"0",B517:B1057,"5 1 1 3 2 12 31111 6 M78 16000 173 00I 001 13202 025 2111100 2024 00000000 003*")-SUMIFS(E517:E1057,K517:K1057,"0",B517:B1057,"5 1 1 3 2 12 31111 6 M78 16000 173 00I 001 13202 025 2111100 2024 00000000 003*")</f>
        <v>0</v>
      </c>
      <c r="E516"/>
      <c r="F516" s="31">
        <f>SUMIFS(F517:F1057,K517:K1057,"0",B517:B1057,"5 1 1 3 2 12 31111 6 M78 16000 173 00I 001 13202 025 2111100 2024 00000000 003*")</f>
        <v>77645.69</v>
      </c>
      <c r="G516" s="31">
        <f>SUMIFS(G517:G1057,K517:K1057,"0",B517:B1057,"5 1 1 3 2 12 31111 6 M78 16000 173 00I 001 13202 025 2111100 2024 00000000 003*")</f>
        <v>0</v>
      </c>
      <c r="H516" s="31">
        <f t="shared" si="10"/>
        <v>77645.69</v>
      </c>
      <c r="I516" s="31"/>
      <c r="K516" t="s">
        <v>14</v>
      </c>
    </row>
    <row r="517" spans="2:11" ht="22" x14ac:dyDescent="0.15">
      <c r="B517" s="29" t="s">
        <v>763</v>
      </c>
      <c r="C517" s="29" t="s">
        <v>690</v>
      </c>
      <c r="D517" s="31">
        <f>SUMIFS(D518:D1057,K518:K1057,"0",B518:B1057,"5 1 1 3 2 12 31111 6 M78 16000 173 00I 001 13202 025 2111100 2024 00000000 003 001*")-SUMIFS(E518:E1057,K518:K1057,"0",B518:B1057,"5 1 1 3 2 12 31111 6 M78 16000 173 00I 001 13202 025 2111100 2024 00000000 003 001*")</f>
        <v>0</v>
      </c>
      <c r="E517"/>
      <c r="F517" s="31">
        <f>SUMIFS(F518:F1057,K518:K1057,"0",B518:B1057,"5 1 1 3 2 12 31111 6 M78 16000 173 00I 001 13202 025 2111100 2024 00000000 003 001*")</f>
        <v>77645.69</v>
      </c>
      <c r="G517" s="31">
        <f>SUMIFS(G518:G1057,K518:K1057,"0",B518:B1057,"5 1 1 3 2 12 31111 6 M78 16000 173 00I 001 13202 025 2111100 2024 00000000 003 001*")</f>
        <v>0</v>
      </c>
      <c r="H517" s="31">
        <f t="shared" si="10"/>
        <v>77645.69</v>
      </c>
      <c r="I517" s="31"/>
      <c r="K517" t="s">
        <v>14</v>
      </c>
    </row>
    <row r="518" spans="2:11" ht="22" x14ac:dyDescent="0.15">
      <c r="B518" s="27" t="s">
        <v>764</v>
      </c>
      <c r="C518" s="27" t="s">
        <v>728</v>
      </c>
      <c r="D518" s="30">
        <v>0</v>
      </c>
      <c r="E518" s="30"/>
      <c r="F518" s="30">
        <v>77645.69</v>
      </c>
      <c r="G518" s="30">
        <v>0</v>
      </c>
      <c r="H518" s="30">
        <f t="shared" si="10"/>
        <v>77645.69</v>
      </c>
      <c r="I518" s="30"/>
      <c r="K518" t="s">
        <v>38</v>
      </c>
    </row>
    <row r="519" spans="2:11" ht="13" x14ac:dyDescent="0.15">
      <c r="B519" s="29" t="s">
        <v>765</v>
      </c>
      <c r="C519" s="29" t="s">
        <v>693</v>
      </c>
      <c r="D519" s="31">
        <f>SUMIFS(D520:D1057,K520:K1057,"0",B520:B1057,"5 1 1 3 2 12 31111 6 M78 17000*")-SUMIFS(E520:E1057,K520:K1057,"0",B520:B1057,"5 1 1 3 2 12 31111 6 M78 17000*")</f>
        <v>0</v>
      </c>
      <c r="E519"/>
      <c r="F519" s="31">
        <f>SUMIFS(F520:F1057,K520:K1057,"0",B520:B1057,"5 1 1 3 2 12 31111 6 M78 17000*")</f>
        <v>140958.64000000001</v>
      </c>
      <c r="G519" s="31">
        <f>SUMIFS(G520:G1057,K520:K1057,"0",B520:B1057,"5 1 1 3 2 12 31111 6 M78 17000*")</f>
        <v>0</v>
      </c>
      <c r="H519" s="31">
        <f t="shared" si="10"/>
        <v>140958.64000000001</v>
      </c>
      <c r="I519" s="31"/>
      <c r="K519" t="s">
        <v>14</v>
      </c>
    </row>
    <row r="520" spans="2:11" ht="13" x14ac:dyDescent="0.15">
      <c r="B520" s="29" t="s">
        <v>766</v>
      </c>
      <c r="C520" s="29" t="s">
        <v>695</v>
      </c>
      <c r="D520" s="31">
        <f>SUMIFS(D521:D1057,K521:K1057,"0",B521:B1057,"5 1 1 3 2 12 31111 6 M78 17000 172*")-SUMIFS(E521:E1057,K521:K1057,"0",B521:B1057,"5 1 1 3 2 12 31111 6 M78 17000 172*")</f>
        <v>0</v>
      </c>
      <c r="E520"/>
      <c r="F520" s="31">
        <f>SUMIFS(F521:F1057,K521:K1057,"0",B521:B1057,"5 1 1 3 2 12 31111 6 M78 17000 172*")</f>
        <v>140958.64000000001</v>
      </c>
      <c r="G520" s="31">
        <f>SUMIFS(G521:G1057,K521:K1057,"0",B521:B1057,"5 1 1 3 2 12 31111 6 M78 17000 172*")</f>
        <v>0</v>
      </c>
      <c r="H520" s="31">
        <f t="shared" si="10"/>
        <v>140958.64000000001</v>
      </c>
      <c r="I520" s="31"/>
      <c r="K520" t="s">
        <v>14</v>
      </c>
    </row>
    <row r="521" spans="2:11" ht="13" x14ac:dyDescent="0.15">
      <c r="B521" s="29" t="s">
        <v>767</v>
      </c>
      <c r="C521" s="29" t="s">
        <v>180</v>
      </c>
      <c r="D521" s="31">
        <f>SUMIFS(D522:D1057,K522:K1057,"0",B522:B1057,"5 1 1 3 2 12 31111 6 M78 17000 172 00I*")-SUMIFS(E522:E1057,K522:K1057,"0",B522:B1057,"5 1 1 3 2 12 31111 6 M78 17000 172 00I*")</f>
        <v>0</v>
      </c>
      <c r="E521"/>
      <c r="F521" s="31">
        <f>SUMIFS(F522:F1057,K522:K1057,"0",B522:B1057,"5 1 1 3 2 12 31111 6 M78 17000 172 00I*")</f>
        <v>140958.64000000001</v>
      </c>
      <c r="G521" s="31">
        <f>SUMIFS(G522:G1057,K522:K1057,"0",B522:B1057,"5 1 1 3 2 12 31111 6 M78 17000 172 00I*")</f>
        <v>0</v>
      </c>
      <c r="H521" s="31">
        <f t="shared" si="10"/>
        <v>140958.64000000001</v>
      </c>
      <c r="I521" s="31"/>
      <c r="K521" t="s">
        <v>14</v>
      </c>
    </row>
    <row r="522" spans="2:11" ht="13" x14ac:dyDescent="0.15">
      <c r="B522" s="29" t="s">
        <v>768</v>
      </c>
      <c r="C522" s="29" t="s">
        <v>562</v>
      </c>
      <c r="D522" s="31">
        <f>SUMIFS(D523:D1057,K523:K1057,"0",B523:B1057,"5 1 1 3 2 12 31111 6 M78 17000 172 00I 001*")-SUMIFS(E523:E1057,K523:K1057,"0",B523:B1057,"5 1 1 3 2 12 31111 6 M78 17000 172 00I 001*")</f>
        <v>0</v>
      </c>
      <c r="E522"/>
      <c r="F522" s="31">
        <f>SUMIFS(F523:F1057,K523:K1057,"0",B523:B1057,"5 1 1 3 2 12 31111 6 M78 17000 172 00I 001*")</f>
        <v>140958.64000000001</v>
      </c>
      <c r="G522" s="31">
        <f>SUMIFS(G523:G1057,K523:K1057,"0",B523:B1057,"5 1 1 3 2 12 31111 6 M78 17000 172 00I 001*")</f>
        <v>0</v>
      </c>
      <c r="H522" s="31">
        <f t="shared" si="10"/>
        <v>140958.64000000001</v>
      </c>
      <c r="I522" s="31"/>
      <c r="K522" t="s">
        <v>14</v>
      </c>
    </row>
    <row r="523" spans="2:11" ht="13" x14ac:dyDescent="0.15">
      <c r="B523" s="29" t="s">
        <v>769</v>
      </c>
      <c r="C523" s="29" t="s">
        <v>720</v>
      </c>
      <c r="D523" s="31">
        <f>SUMIFS(D524:D1057,K524:K1057,"0",B524:B1057,"5 1 1 3 2 12 31111 6 M78 17000 172 00I 001 13202*")-SUMIFS(E524:E1057,K524:K1057,"0",B524:B1057,"5 1 1 3 2 12 31111 6 M78 17000 172 00I 001 13202*")</f>
        <v>0</v>
      </c>
      <c r="E523"/>
      <c r="F523" s="31">
        <f>SUMIFS(F524:F1057,K524:K1057,"0",B524:B1057,"5 1 1 3 2 12 31111 6 M78 17000 172 00I 001 13202*")</f>
        <v>140958.64000000001</v>
      </c>
      <c r="G523" s="31">
        <f>SUMIFS(G524:G1057,K524:K1057,"0",B524:B1057,"5 1 1 3 2 12 31111 6 M78 17000 172 00I 001 13202*")</f>
        <v>0</v>
      </c>
      <c r="H523" s="31">
        <f t="shared" si="10"/>
        <v>140958.64000000001</v>
      </c>
      <c r="I523" s="31"/>
      <c r="K523" t="s">
        <v>14</v>
      </c>
    </row>
    <row r="524" spans="2:11" ht="13" x14ac:dyDescent="0.15">
      <c r="B524" s="29" t="s">
        <v>770</v>
      </c>
      <c r="C524" s="29" t="s">
        <v>186</v>
      </c>
      <c r="D524" s="31">
        <f>SUMIFS(D525:D1057,K525:K1057,"0",B525:B1057,"5 1 1 3 2 12 31111 6 M78 17000 172 00I 001 13202 025*")-SUMIFS(E525:E1057,K525:K1057,"0",B525:B1057,"5 1 1 3 2 12 31111 6 M78 17000 172 00I 001 13202 025*")</f>
        <v>0</v>
      </c>
      <c r="E524"/>
      <c r="F524" s="31">
        <f>SUMIFS(F525:F1057,K525:K1057,"0",B525:B1057,"5 1 1 3 2 12 31111 6 M78 17000 172 00I 001 13202 025*")</f>
        <v>140958.64000000001</v>
      </c>
      <c r="G524" s="31">
        <f>SUMIFS(G525:G1057,K525:K1057,"0",B525:B1057,"5 1 1 3 2 12 31111 6 M78 17000 172 00I 001 13202 025*")</f>
        <v>0</v>
      </c>
      <c r="H524" s="31">
        <f t="shared" ref="H524:H587" si="11">D524 + F524 - G524</f>
        <v>140958.64000000001</v>
      </c>
      <c r="I524" s="31"/>
      <c r="K524" t="s">
        <v>14</v>
      </c>
    </row>
    <row r="525" spans="2:11" ht="22" x14ac:dyDescent="0.15">
      <c r="B525" s="29" t="s">
        <v>771</v>
      </c>
      <c r="C525" s="29" t="s">
        <v>640</v>
      </c>
      <c r="D525" s="31">
        <f>SUMIFS(D526:D1057,K526:K1057,"0",B526:B1057,"5 1 1 3 2 12 31111 6 M78 17000 172 00I 001 13202 025 2111100*")-SUMIFS(E526:E1057,K526:K1057,"0",B526:B1057,"5 1 1 3 2 12 31111 6 M78 17000 172 00I 001 13202 025 2111100*")</f>
        <v>0</v>
      </c>
      <c r="E525"/>
      <c r="F525" s="31">
        <f>SUMIFS(F526:F1057,K526:K1057,"0",B526:B1057,"5 1 1 3 2 12 31111 6 M78 17000 172 00I 001 13202 025 2111100*")</f>
        <v>140958.64000000001</v>
      </c>
      <c r="G525" s="31">
        <f>SUMIFS(G526:G1057,K526:K1057,"0",B526:B1057,"5 1 1 3 2 12 31111 6 M78 17000 172 00I 001 13202 025 2111100*")</f>
        <v>0</v>
      </c>
      <c r="H525" s="31">
        <f t="shared" si="11"/>
        <v>140958.64000000001</v>
      </c>
      <c r="I525" s="31"/>
      <c r="K525" t="s">
        <v>14</v>
      </c>
    </row>
    <row r="526" spans="2:11" ht="22" x14ac:dyDescent="0.15">
      <c r="B526" s="29" t="s">
        <v>772</v>
      </c>
      <c r="C526" s="29" t="s">
        <v>294</v>
      </c>
      <c r="D526" s="31">
        <f>SUMIFS(D527:D1057,K527:K1057,"0",B527:B1057,"5 1 1 3 2 12 31111 6 M78 17000 172 00I 001 13202 025 2111100 2024*")-SUMIFS(E527:E1057,K527:K1057,"0",B527:B1057,"5 1 1 3 2 12 31111 6 M78 17000 172 00I 001 13202 025 2111100 2024*")</f>
        <v>0</v>
      </c>
      <c r="E526"/>
      <c r="F526" s="31">
        <f>SUMIFS(F527:F1057,K527:K1057,"0",B527:B1057,"5 1 1 3 2 12 31111 6 M78 17000 172 00I 001 13202 025 2111100 2024*")</f>
        <v>140958.64000000001</v>
      </c>
      <c r="G526" s="31">
        <f>SUMIFS(G527:G1057,K527:K1057,"0",B527:B1057,"5 1 1 3 2 12 31111 6 M78 17000 172 00I 001 13202 025 2111100 2024*")</f>
        <v>0</v>
      </c>
      <c r="H526" s="31">
        <f t="shared" si="11"/>
        <v>140958.64000000001</v>
      </c>
      <c r="I526" s="31"/>
      <c r="K526" t="s">
        <v>14</v>
      </c>
    </row>
    <row r="527" spans="2:11" ht="22" x14ac:dyDescent="0.15">
      <c r="B527" s="29" t="s">
        <v>773</v>
      </c>
      <c r="C527" s="29" t="s">
        <v>192</v>
      </c>
      <c r="D527" s="31">
        <f>SUMIFS(D528:D1057,K528:K1057,"0",B528:B1057,"5 1 1 3 2 12 31111 6 M78 17000 172 00I 001 13202 025 2111100 2024 00000000*")-SUMIFS(E528:E1057,K528:K1057,"0",B528:B1057,"5 1 1 3 2 12 31111 6 M78 17000 172 00I 001 13202 025 2111100 2024 00000000*")</f>
        <v>0</v>
      </c>
      <c r="E527"/>
      <c r="F527" s="31">
        <f>SUMIFS(F528:F1057,K528:K1057,"0",B528:B1057,"5 1 1 3 2 12 31111 6 M78 17000 172 00I 001 13202 025 2111100 2024 00000000*")</f>
        <v>140958.64000000001</v>
      </c>
      <c r="G527" s="31">
        <f>SUMIFS(G528:G1057,K528:K1057,"0",B528:B1057,"5 1 1 3 2 12 31111 6 M78 17000 172 00I 001 13202 025 2111100 2024 00000000*")</f>
        <v>0</v>
      </c>
      <c r="H527" s="31">
        <f t="shared" si="11"/>
        <v>140958.64000000001</v>
      </c>
      <c r="I527" s="31"/>
      <c r="K527" t="s">
        <v>14</v>
      </c>
    </row>
    <row r="528" spans="2:11" ht="22" x14ac:dyDescent="0.15">
      <c r="B528" s="29" t="s">
        <v>774</v>
      </c>
      <c r="C528" s="29" t="s">
        <v>9</v>
      </c>
      <c r="D528" s="31">
        <f>SUMIFS(D529:D1057,K529:K1057,"0",B529:B1057,"5 1 1 3 2 12 31111 6 M78 17000 172 00I 001 13202 025 2111100 2024 00000000 003*")-SUMIFS(E529:E1057,K529:K1057,"0",B529:B1057,"5 1 1 3 2 12 31111 6 M78 17000 172 00I 001 13202 025 2111100 2024 00000000 003*")</f>
        <v>0</v>
      </c>
      <c r="E528"/>
      <c r="F528" s="31">
        <f>SUMIFS(F529:F1057,K529:K1057,"0",B529:B1057,"5 1 1 3 2 12 31111 6 M78 17000 172 00I 001 13202 025 2111100 2024 00000000 003*")</f>
        <v>140958.64000000001</v>
      </c>
      <c r="G528" s="31">
        <f>SUMIFS(G529:G1057,K529:K1057,"0",B529:B1057,"5 1 1 3 2 12 31111 6 M78 17000 172 00I 001 13202 025 2111100 2024 00000000 003*")</f>
        <v>0</v>
      </c>
      <c r="H528" s="31">
        <f t="shared" si="11"/>
        <v>140958.64000000001</v>
      </c>
      <c r="I528" s="31"/>
      <c r="K528" t="s">
        <v>14</v>
      </c>
    </row>
    <row r="529" spans="2:11" ht="22" x14ac:dyDescent="0.15">
      <c r="B529" s="29" t="s">
        <v>775</v>
      </c>
      <c r="C529" s="29" t="s">
        <v>705</v>
      </c>
      <c r="D529" s="31">
        <f>SUMIFS(D530:D1057,K530:K1057,"0",B530:B1057,"5 1 1 3 2 12 31111 6 M78 17000 172 00I 001 13202 025 2111100 2024 00000000 003 001*")-SUMIFS(E530:E1057,K530:K1057,"0",B530:B1057,"5 1 1 3 2 12 31111 6 M78 17000 172 00I 001 13202 025 2111100 2024 00000000 003 001*")</f>
        <v>0</v>
      </c>
      <c r="E529"/>
      <c r="F529" s="31">
        <f>SUMIFS(F530:F1057,K530:K1057,"0",B530:B1057,"5 1 1 3 2 12 31111 6 M78 17000 172 00I 001 13202 025 2111100 2024 00000000 003 001*")</f>
        <v>140958.64000000001</v>
      </c>
      <c r="G529" s="31">
        <f>SUMIFS(G530:G1057,K530:K1057,"0",B530:B1057,"5 1 1 3 2 12 31111 6 M78 17000 172 00I 001 13202 025 2111100 2024 00000000 003 001*")</f>
        <v>0</v>
      </c>
      <c r="H529" s="31">
        <f t="shared" si="11"/>
        <v>140958.64000000001</v>
      </c>
      <c r="I529" s="31"/>
      <c r="K529" t="s">
        <v>14</v>
      </c>
    </row>
    <row r="530" spans="2:11" ht="22" x14ac:dyDescent="0.15">
      <c r="B530" s="27" t="s">
        <v>776</v>
      </c>
      <c r="C530" s="27" t="s">
        <v>728</v>
      </c>
      <c r="D530" s="30">
        <v>0</v>
      </c>
      <c r="E530" s="30"/>
      <c r="F530" s="30">
        <v>140958.64000000001</v>
      </c>
      <c r="G530" s="30">
        <v>0</v>
      </c>
      <c r="H530" s="30">
        <f t="shared" si="11"/>
        <v>140958.64000000001</v>
      </c>
      <c r="I530" s="30"/>
      <c r="K530" t="s">
        <v>38</v>
      </c>
    </row>
    <row r="531" spans="2:11" ht="13" x14ac:dyDescent="0.15">
      <c r="B531" s="29" t="s">
        <v>777</v>
      </c>
      <c r="C531" s="29" t="s">
        <v>778</v>
      </c>
      <c r="D531" s="31">
        <f>SUMIFS(D532:D1057,K532:K1057,"0",B532:B1057,"5 1 1 3 4*")-SUMIFS(E532:E1057,K532:K1057,"0",B532:B1057,"5 1 1 3 4*")</f>
        <v>0</v>
      </c>
      <c r="E531"/>
      <c r="F531" s="31">
        <f>SUMIFS(F532:F1057,K532:K1057,"0",B532:B1057,"5 1 1 3 4*")</f>
        <v>381503.54999999993</v>
      </c>
      <c r="G531" s="31">
        <f>SUMIFS(G532:G1057,K532:K1057,"0",B532:B1057,"5 1 1 3 4*")</f>
        <v>0</v>
      </c>
      <c r="H531" s="31">
        <f t="shared" si="11"/>
        <v>381503.54999999993</v>
      </c>
      <c r="I531" s="31"/>
      <c r="K531" t="s">
        <v>14</v>
      </c>
    </row>
    <row r="532" spans="2:11" ht="13" x14ac:dyDescent="0.15">
      <c r="B532" s="29" t="s">
        <v>779</v>
      </c>
      <c r="C532" s="29" t="s">
        <v>25</v>
      </c>
      <c r="D532" s="31">
        <f>SUMIFS(D533:D1057,K533:K1057,"0",B533:B1057,"5 1 1 3 4 12*")-SUMIFS(E533:E1057,K533:K1057,"0",B533:B1057,"5 1 1 3 4 12*")</f>
        <v>0</v>
      </c>
      <c r="E532"/>
      <c r="F532" s="31">
        <f>SUMIFS(F533:F1057,K533:K1057,"0",B533:B1057,"5 1 1 3 4 12*")</f>
        <v>381503.54999999993</v>
      </c>
      <c r="G532" s="31">
        <f>SUMIFS(G533:G1057,K533:K1057,"0",B533:B1057,"5 1 1 3 4 12*")</f>
        <v>0</v>
      </c>
      <c r="H532" s="31">
        <f t="shared" si="11"/>
        <v>381503.54999999993</v>
      </c>
      <c r="I532" s="31"/>
      <c r="K532" t="s">
        <v>14</v>
      </c>
    </row>
    <row r="533" spans="2:11" ht="13" x14ac:dyDescent="0.15">
      <c r="B533" s="29" t="s">
        <v>780</v>
      </c>
      <c r="C533" s="29" t="s">
        <v>27</v>
      </c>
      <c r="D533" s="31">
        <f>SUMIFS(D534:D1057,K534:K1057,"0",B534:B1057,"5 1 1 3 4 12 31111*")-SUMIFS(E534:E1057,K534:K1057,"0",B534:B1057,"5 1 1 3 4 12 31111*")</f>
        <v>0</v>
      </c>
      <c r="E533"/>
      <c r="F533" s="31">
        <f>SUMIFS(F534:F1057,K534:K1057,"0",B534:B1057,"5 1 1 3 4 12 31111*")</f>
        <v>381503.54999999993</v>
      </c>
      <c r="G533" s="31">
        <f>SUMIFS(G534:G1057,K534:K1057,"0",B534:B1057,"5 1 1 3 4 12 31111*")</f>
        <v>0</v>
      </c>
      <c r="H533" s="31">
        <f t="shared" si="11"/>
        <v>381503.54999999993</v>
      </c>
      <c r="I533" s="31"/>
      <c r="K533" t="s">
        <v>14</v>
      </c>
    </row>
    <row r="534" spans="2:11" ht="13" x14ac:dyDescent="0.15">
      <c r="B534" s="29" t="s">
        <v>781</v>
      </c>
      <c r="C534" s="29" t="s">
        <v>29</v>
      </c>
      <c r="D534" s="31">
        <f>SUMIFS(D535:D1057,K535:K1057,"0",B535:B1057,"5 1 1 3 4 12 31111 6*")-SUMIFS(E535:E1057,K535:K1057,"0",B535:B1057,"5 1 1 3 4 12 31111 6*")</f>
        <v>0</v>
      </c>
      <c r="E534"/>
      <c r="F534" s="31">
        <f>SUMIFS(F535:F1057,K535:K1057,"0",B535:B1057,"5 1 1 3 4 12 31111 6*")</f>
        <v>381503.54999999993</v>
      </c>
      <c r="G534" s="31">
        <f>SUMIFS(G535:G1057,K535:K1057,"0",B535:B1057,"5 1 1 3 4 12 31111 6*")</f>
        <v>0</v>
      </c>
      <c r="H534" s="31">
        <f t="shared" si="11"/>
        <v>381503.54999999993</v>
      </c>
      <c r="I534" s="31"/>
      <c r="K534" t="s">
        <v>14</v>
      </c>
    </row>
    <row r="535" spans="2:11" ht="13" x14ac:dyDescent="0.15">
      <c r="B535" s="29" t="s">
        <v>782</v>
      </c>
      <c r="C535" s="29" t="s">
        <v>629</v>
      </c>
      <c r="D535" s="31">
        <f>SUMIFS(D536:D1057,K536:K1057,"0",B536:B1057,"5 1 1 3 4 12 31111 6 M78*")-SUMIFS(E536:E1057,K536:K1057,"0",B536:B1057,"5 1 1 3 4 12 31111 6 M78*")</f>
        <v>0</v>
      </c>
      <c r="E535"/>
      <c r="F535" s="31">
        <f>SUMIFS(F536:F1057,K536:K1057,"0",B536:B1057,"5 1 1 3 4 12 31111 6 M78*")</f>
        <v>381503.54999999993</v>
      </c>
      <c r="G535" s="31">
        <f>SUMIFS(G536:G1057,K536:K1057,"0",B536:B1057,"5 1 1 3 4 12 31111 6 M78*")</f>
        <v>0</v>
      </c>
      <c r="H535" s="31">
        <f t="shared" si="11"/>
        <v>381503.54999999993</v>
      </c>
      <c r="I535" s="31"/>
      <c r="K535" t="s">
        <v>14</v>
      </c>
    </row>
    <row r="536" spans="2:11" ht="13" x14ac:dyDescent="0.15">
      <c r="B536" s="29" t="s">
        <v>783</v>
      </c>
      <c r="C536" s="29" t="s">
        <v>631</v>
      </c>
      <c r="D536" s="31">
        <f>SUMIFS(D537:D1057,K537:K1057,"0",B537:B1057,"5 1 1 3 4 12 31111 6 M78 03000*")-SUMIFS(E537:E1057,K537:K1057,"0",B537:B1057,"5 1 1 3 4 12 31111 6 M78 03000*")</f>
        <v>0</v>
      </c>
      <c r="E536"/>
      <c r="F536" s="31">
        <f>SUMIFS(F537:F1057,K537:K1057,"0",B537:B1057,"5 1 1 3 4 12 31111 6 M78 03000*")</f>
        <v>52278.3</v>
      </c>
      <c r="G536" s="31">
        <f>SUMIFS(G537:G1057,K537:K1057,"0",B537:B1057,"5 1 1 3 4 12 31111 6 M78 03000*")</f>
        <v>0</v>
      </c>
      <c r="H536" s="31">
        <f t="shared" si="11"/>
        <v>52278.3</v>
      </c>
      <c r="I536" s="31"/>
      <c r="K536" t="s">
        <v>14</v>
      </c>
    </row>
    <row r="537" spans="2:11" ht="13" x14ac:dyDescent="0.15">
      <c r="B537" s="29" t="s">
        <v>784</v>
      </c>
      <c r="C537" s="29" t="s">
        <v>633</v>
      </c>
      <c r="D537" s="31">
        <f>SUMIFS(D538:D1057,K538:K1057,"0",B538:B1057,"5 1 1 3 4 12 31111 6 M78 03000 135*")-SUMIFS(E538:E1057,K538:K1057,"0",B538:B1057,"5 1 1 3 4 12 31111 6 M78 03000 135*")</f>
        <v>0</v>
      </c>
      <c r="E537"/>
      <c r="F537" s="31">
        <f>SUMIFS(F538:F1057,K538:K1057,"0",B538:B1057,"5 1 1 3 4 12 31111 6 M78 03000 135*")</f>
        <v>52278.3</v>
      </c>
      <c r="G537" s="31">
        <f>SUMIFS(G538:G1057,K538:K1057,"0",B538:B1057,"5 1 1 3 4 12 31111 6 M78 03000 135*")</f>
        <v>0</v>
      </c>
      <c r="H537" s="31">
        <f t="shared" si="11"/>
        <v>52278.3</v>
      </c>
      <c r="I537" s="31"/>
      <c r="K537" t="s">
        <v>14</v>
      </c>
    </row>
    <row r="538" spans="2:11" ht="13" x14ac:dyDescent="0.15">
      <c r="B538" s="29" t="s">
        <v>785</v>
      </c>
      <c r="C538" s="29" t="s">
        <v>180</v>
      </c>
      <c r="D538" s="31">
        <f>SUMIFS(D539:D1057,K539:K1057,"0",B539:B1057,"5 1 1 3 4 12 31111 6 M78 03000 135 00I*")-SUMIFS(E539:E1057,K539:K1057,"0",B539:B1057,"5 1 1 3 4 12 31111 6 M78 03000 135 00I*")</f>
        <v>0</v>
      </c>
      <c r="E538"/>
      <c r="F538" s="31">
        <f>SUMIFS(F539:F1057,K539:K1057,"0",B539:B1057,"5 1 1 3 4 12 31111 6 M78 03000 135 00I*")</f>
        <v>52278.3</v>
      </c>
      <c r="G538" s="31">
        <f>SUMIFS(G539:G1057,K539:K1057,"0",B539:B1057,"5 1 1 3 4 12 31111 6 M78 03000 135 00I*")</f>
        <v>0</v>
      </c>
      <c r="H538" s="31">
        <f t="shared" si="11"/>
        <v>52278.3</v>
      </c>
      <c r="I538" s="31"/>
      <c r="K538" t="s">
        <v>14</v>
      </c>
    </row>
    <row r="539" spans="2:11" ht="13" x14ac:dyDescent="0.15">
      <c r="B539" s="29" t="s">
        <v>786</v>
      </c>
      <c r="C539" s="29" t="s">
        <v>562</v>
      </c>
      <c r="D539" s="31">
        <f>SUMIFS(D540:D1057,K540:K1057,"0",B540:B1057,"5 1 1 3 4 12 31111 6 M78 03000 135 00I 001*")-SUMIFS(E540:E1057,K540:K1057,"0",B540:B1057,"5 1 1 3 4 12 31111 6 M78 03000 135 00I 001*")</f>
        <v>0</v>
      </c>
      <c r="E539"/>
      <c r="F539" s="31">
        <f>SUMIFS(F540:F1057,K540:K1057,"0",B540:B1057,"5 1 1 3 4 12 31111 6 M78 03000 135 00I 001*")</f>
        <v>52278.3</v>
      </c>
      <c r="G539" s="31">
        <f>SUMIFS(G540:G1057,K540:K1057,"0",B540:B1057,"5 1 1 3 4 12 31111 6 M78 03000 135 00I 001*")</f>
        <v>0</v>
      </c>
      <c r="H539" s="31">
        <f t="shared" si="11"/>
        <v>52278.3</v>
      </c>
      <c r="I539" s="31"/>
      <c r="K539" t="s">
        <v>14</v>
      </c>
    </row>
    <row r="540" spans="2:11" ht="13" x14ac:dyDescent="0.15">
      <c r="B540" s="29" t="s">
        <v>787</v>
      </c>
      <c r="C540" s="29" t="s">
        <v>788</v>
      </c>
      <c r="D540" s="31">
        <f>SUMIFS(D541:D1057,K541:K1057,"0",B541:B1057,"5 1 1 3 4 12 31111 6 M78 03000 135 00I 001 13406*")-SUMIFS(E541:E1057,K541:K1057,"0",B541:B1057,"5 1 1 3 4 12 31111 6 M78 03000 135 00I 001 13406*")</f>
        <v>0</v>
      </c>
      <c r="E540"/>
      <c r="F540" s="31">
        <f>SUMIFS(F541:F1057,K541:K1057,"0",B541:B1057,"5 1 1 3 4 12 31111 6 M78 03000 135 00I 001 13406*")</f>
        <v>52278.3</v>
      </c>
      <c r="G540" s="31">
        <f>SUMIFS(G541:G1057,K541:K1057,"0",B541:B1057,"5 1 1 3 4 12 31111 6 M78 03000 135 00I 001 13406*")</f>
        <v>0</v>
      </c>
      <c r="H540" s="31">
        <f t="shared" si="11"/>
        <v>52278.3</v>
      </c>
      <c r="I540" s="31"/>
      <c r="K540" t="s">
        <v>14</v>
      </c>
    </row>
    <row r="541" spans="2:11" ht="13" x14ac:dyDescent="0.15">
      <c r="B541" s="29" t="s">
        <v>789</v>
      </c>
      <c r="C541" s="29" t="s">
        <v>186</v>
      </c>
      <c r="D541" s="31">
        <f>SUMIFS(D542:D1057,K542:K1057,"0",B542:B1057,"5 1 1 3 4 12 31111 6 M78 03000 135 00I 001 13406 025*")-SUMIFS(E542:E1057,K542:K1057,"0",B542:B1057,"5 1 1 3 4 12 31111 6 M78 03000 135 00I 001 13406 025*")</f>
        <v>0</v>
      </c>
      <c r="E541"/>
      <c r="F541" s="31">
        <f>SUMIFS(F542:F1057,K542:K1057,"0",B542:B1057,"5 1 1 3 4 12 31111 6 M78 03000 135 00I 001 13406 025*")</f>
        <v>52278.3</v>
      </c>
      <c r="G541" s="31">
        <f>SUMIFS(G542:G1057,K542:K1057,"0",B542:B1057,"5 1 1 3 4 12 31111 6 M78 03000 135 00I 001 13406 025*")</f>
        <v>0</v>
      </c>
      <c r="H541" s="31">
        <f t="shared" si="11"/>
        <v>52278.3</v>
      </c>
      <c r="I541" s="31"/>
      <c r="K541" t="s">
        <v>14</v>
      </c>
    </row>
    <row r="542" spans="2:11" ht="22" x14ac:dyDescent="0.15">
      <c r="B542" s="29" t="s">
        <v>790</v>
      </c>
      <c r="C542" s="29" t="s">
        <v>640</v>
      </c>
      <c r="D542" s="31">
        <f>SUMIFS(D543:D1057,K543:K1057,"0",B543:B1057,"5 1 1 3 4 12 31111 6 M78 03000 135 00I 001 13406 025 2111100*")-SUMIFS(E543:E1057,K543:K1057,"0",B543:B1057,"5 1 1 3 4 12 31111 6 M78 03000 135 00I 001 13406 025 2111100*")</f>
        <v>0</v>
      </c>
      <c r="E542"/>
      <c r="F542" s="31">
        <f>SUMIFS(F543:F1057,K543:K1057,"0",B543:B1057,"5 1 1 3 4 12 31111 6 M78 03000 135 00I 001 13406 025 2111100*")</f>
        <v>52278.3</v>
      </c>
      <c r="G542" s="31">
        <f>SUMIFS(G543:G1057,K543:K1057,"0",B543:B1057,"5 1 1 3 4 12 31111 6 M78 03000 135 00I 001 13406 025 2111100*")</f>
        <v>0</v>
      </c>
      <c r="H542" s="31">
        <f t="shared" si="11"/>
        <v>52278.3</v>
      </c>
      <c r="I542" s="31"/>
      <c r="K542" t="s">
        <v>14</v>
      </c>
    </row>
    <row r="543" spans="2:11" ht="22" x14ac:dyDescent="0.15">
      <c r="B543" s="29" t="s">
        <v>791</v>
      </c>
      <c r="C543" s="29" t="s">
        <v>294</v>
      </c>
      <c r="D543" s="31">
        <f>SUMIFS(D544:D1057,K544:K1057,"0",B544:B1057,"5 1 1 3 4 12 31111 6 M78 03000 135 00I 001 13406 025 2111100 2024*")-SUMIFS(E544:E1057,K544:K1057,"0",B544:B1057,"5 1 1 3 4 12 31111 6 M78 03000 135 00I 001 13406 025 2111100 2024*")</f>
        <v>0</v>
      </c>
      <c r="E543"/>
      <c r="F543" s="31">
        <f>SUMIFS(F544:F1057,K544:K1057,"0",B544:B1057,"5 1 1 3 4 12 31111 6 M78 03000 135 00I 001 13406 025 2111100 2024*")</f>
        <v>52278.3</v>
      </c>
      <c r="G543" s="31">
        <f>SUMIFS(G544:G1057,K544:K1057,"0",B544:B1057,"5 1 1 3 4 12 31111 6 M78 03000 135 00I 001 13406 025 2111100 2024*")</f>
        <v>0</v>
      </c>
      <c r="H543" s="31">
        <f t="shared" si="11"/>
        <v>52278.3</v>
      </c>
      <c r="I543" s="31"/>
      <c r="K543" t="s">
        <v>14</v>
      </c>
    </row>
    <row r="544" spans="2:11" ht="22" x14ac:dyDescent="0.15">
      <c r="B544" s="29" t="s">
        <v>792</v>
      </c>
      <c r="C544" s="29" t="s">
        <v>192</v>
      </c>
      <c r="D544" s="31">
        <f>SUMIFS(D545:D1057,K545:K1057,"0",B545:B1057,"5 1 1 3 4 12 31111 6 M78 03000 135 00I 001 13406 025 2111100 2024 00000000*")-SUMIFS(E545:E1057,K545:K1057,"0",B545:B1057,"5 1 1 3 4 12 31111 6 M78 03000 135 00I 001 13406 025 2111100 2024 00000000*")</f>
        <v>0</v>
      </c>
      <c r="E544"/>
      <c r="F544" s="31">
        <f>SUMIFS(F545:F1057,K545:K1057,"0",B545:B1057,"5 1 1 3 4 12 31111 6 M78 03000 135 00I 001 13406 025 2111100 2024 00000000*")</f>
        <v>52278.3</v>
      </c>
      <c r="G544" s="31">
        <f>SUMIFS(G545:G1057,K545:K1057,"0",B545:B1057,"5 1 1 3 4 12 31111 6 M78 03000 135 00I 001 13406 025 2111100 2024 00000000*")</f>
        <v>0</v>
      </c>
      <c r="H544" s="31">
        <f t="shared" si="11"/>
        <v>52278.3</v>
      </c>
      <c r="I544" s="31"/>
      <c r="K544" t="s">
        <v>14</v>
      </c>
    </row>
    <row r="545" spans="2:11" ht="22" x14ac:dyDescent="0.15">
      <c r="B545" s="29" t="s">
        <v>793</v>
      </c>
      <c r="C545" s="29" t="s">
        <v>9</v>
      </c>
      <c r="D545" s="31">
        <f>SUMIFS(D546:D1057,K546:K1057,"0",B546:B1057,"5 1 1 3 4 12 31111 6 M78 03000 135 00I 001 13406 025 2111100 2024 00000000 003*")-SUMIFS(E546:E1057,K546:K1057,"0",B546:B1057,"5 1 1 3 4 12 31111 6 M78 03000 135 00I 001 13406 025 2111100 2024 00000000 003*")</f>
        <v>0</v>
      </c>
      <c r="E545"/>
      <c r="F545" s="31">
        <f>SUMIFS(F546:F1057,K546:K1057,"0",B546:B1057,"5 1 1 3 4 12 31111 6 M78 03000 135 00I 001 13406 025 2111100 2024 00000000 003*")</f>
        <v>52278.3</v>
      </c>
      <c r="G545" s="31">
        <f>SUMIFS(G546:G1057,K546:K1057,"0",B546:B1057,"5 1 1 3 4 12 31111 6 M78 03000 135 00I 001 13406 025 2111100 2024 00000000 003*")</f>
        <v>0</v>
      </c>
      <c r="H545" s="31">
        <f t="shared" si="11"/>
        <v>52278.3</v>
      </c>
      <c r="I545" s="31"/>
      <c r="K545" t="s">
        <v>14</v>
      </c>
    </row>
    <row r="546" spans="2:11" ht="22" x14ac:dyDescent="0.15">
      <c r="B546" s="29" t="s">
        <v>794</v>
      </c>
      <c r="C546" s="29" t="s">
        <v>645</v>
      </c>
      <c r="D546" s="31">
        <f>SUMIFS(D547:D1057,K547:K1057,"0",B547:B1057,"5 1 1 3 4 12 31111 6 M78 03000 135 00I 001 13406 025 2111100 2024 00000000 003 001*")-SUMIFS(E547:E1057,K547:K1057,"0",B547:B1057,"5 1 1 3 4 12 31111 6 M78 03000 135 00I 001 13406 025 2111100 2024 00000000 003 001*")</f>
        <v>0</v>
      </c>
      <c r="E546"/>
      <c r="F546" s="31">
        <f>SUMIFS(F547:F1057,K547:K1057,"0",B547:B1057,"5 1 1 3 4 12 31111 6 M78 03000 135 00I 001 13406 025 2111100 2024 00000000 003 001*")</f>
        <v>52278.3</v>
      </c>
      <c r="G546" s="31">
        <f>SUMIFS(G547:G1057,K547:K1057,"0",B547:B1057,"5 1 1 3 4 12 31111 6 M78 03000 135 00I 001 13406 025 2111100 2024 00000000 003 001*")</f>
        <v>0</v>
      </c>
      <c r="H546" s="31">
        <f t="shared" si="11"/>
        <v>52278.3</v>
      </c>
      <c r="I546" s="31"/>
      <c r="K546" t="s">
        <v>14</v>
      </c>
    </row>
    <row r="547" spans="2:11" ht="22" x14ac:dyDescent="0.15">
      <c r="B547" s="27" t="s">
        <v>795</v>
      </c>
      <c r="C547" s="27" t="s">
        <v>796</v>
      </c>
      <c r="D547" s="30">
        <v>0</v>
      </c>
      <c r="E547" s="30"/>
      <c r="F547" s="30">
        <v>52278.3</v>
      </c>
      <c r="G547" s="30">
        <v>0</v>
      </c>
      <c r="H547" s="30">
        <f t="shared" si="11"/>
        <v>52278.3</v>
      </c>
      <c r="I547" s="30"/>
      <c r="K547" t="s">
        <v>38</v>
      </c>
    </row>
    <row r="548" spans="2:11" ht="13" x14ac:dyDescent="0.15">
      <c r="B548" s="29" t="s">
        <v>797</v>
      </c>
      <c r="C548" s="29" t="s">
        <v>649</v>
      </c>
      <c r="D548" s="31">
        <f>SUMIFS(D549:D1057,K549:K1057,"0",B549:B1057,"5 1 1 3 4 12 31111 6 M78 04000*")-SUMIFS(E549:E1057,K549:K1057,"0",B549:B1057,"5 1 1 3 4 12 31111 6 M78 04000*")</f>
        <v>0</v>
      </c>
      <c r="E548"/>
      <c r="F548" s="31">
        <f>SUMIFS(F549:F1057,K549:K1057,"0",B549:B1057,"5 1 1 3 4 12 31111 6 M78 04000*")</f>
        <v>39762.31</v>
      </c>
      <c r="G548" s="31">
        <f>SUMIFS(G549:G1057,K549:K1057,"0",B549:B1057,"5 1 1 3 4 12 31111 6 M78 04000*")</f>
        <v>0</v>
      </c>
      <c r="H548" s="31">
        <f t="shared" si="11"/>
        <v>39762.31</v>
      </c>
      <c r="I548" s="31"/>
      <c r="K548" t="s">
        <v>14</v>
      </c>
    </row>
    <row r="549" spans="2:11" ht="13" x14ac:dyDescent="0.15">
      <c r="B549" s="29" t="s">
        <v>798</v>
      </c>
      <c r="C549" s="29" t="s">
        <v>651</v>
      </c>
      <c r="D549" s="31">
        <f>SUMIFS(D550:D1057,K550:K1057,"0",B550:B1057,"5 1 1 3 4 12 31111 6 M78 04000 152*")-SUMIFS(E550:E1057,K550:K1057,"0",B550:B1057,"5 1 1 3 4 12 31111 6 M78 04000 152*")</f>
        <v>0</v>
      </c>
      <c r="E549"/>
      <c r="F549" s="31">
        <f>SUMIFS(F550:F1057,K550:K1057,"0",B550:B1057,"5 1 1 3 4 12 31111 6 M78 04000 152*")</f>
        <v>39762.31</v>
      </c>
      <c r="G549" s="31">
        <f>SUMIFS(G550:G1057,K550:K1057,"0",B550:B1057,"5 1 1 3 4 12 31111 6 M78 04000 152*")</f>
        <v>0</v>
      </c>
      <c r="H549" s="31">
        <f t="shared" si="11"/>
        <v>39762.31</v>
      </c>
      <c r="I549" s="31"/>
      <c r="K549" t="s">
        <v>14</v>
      </c>
    </row>
    <row r="550" spans="2:11" ht="13" x14ac:dyDescent="0.15">
      <c r="B550" s="29" t="s">
        <v>799</v>
      </c>
      <c r="C550" s="29" t="s">
        <v>180</v>
      </c>
      <c r="D550" s="31">
        <f>SUMIFS(D551:D1057,K551:K1057,"0",B551:B1057,"5 1 1 3 4 12 31111 6 M78 04000 152 00I*")-SUMIFS(E551:E1057,K551:K1057,"0",B551:B1057,"5 1 1 3 4 12 31111 6 M78 04000 152 00I*")</f>
        <v>0</v>
      </c>
      <c r="E550"/>
      <c r="F550" s="31">
        <f>SUMIFS(F551:F1057,K551:K1057,"0",B551:B1057,"5 1 1 3 4 12 31111 6 M78 04000 152 00I*")</f>
        <v>39762.31</v>
      </c>
      <c r="G550" s="31">
        <f>SUMIFS(G551:G1057,K551:K1057,"0",B551:B1057,"5 1 1 3 4 12 31111 6 M78 04000 152 00I*")</f>
        <v>0</v>
      </c>
      <c r="H550" s="31">
        <f t="shared" si="11"/>
        <v>39762.31</v>
      </c>
      <c r="I550" s="31"/>
      <c r="K550" t="s">
        <v>14</v>
      </c>
    </row>
    <row r="551" spans="2:11" ht="13" x14ac:dyDescent="0.15">
      <c r="B551" s="29" t="s">
        <v>800</v>
      </c>
      <c r="C551" s="29" t="s">
        <v>562</v>
      </c>
      <c r="D551" s="31">
        <f>SUMIFS(D552:D1057,K552:K1057,"0",B552:B1057,"5 1 1 3 4 12 31111 6 M78 04000 152 00I 001*")-SUMIFS(E552:E1057,K552:K1057,"0",B552:B1057,"5 1 1 3 4 12 31111 6 M78 04000 152 00I 001*")</f>
        <v>0</v>
      </c>
      <c r="E551"/>
      <c r="F551" s="31">
        <f>SUMIFS(F552:F1057,K552:K1057,"0",B552:B1057,"5 1 1 3 4 12 31111 6 M78 04000 152 00I 001*")</f>
        <v>39762.31</v>
      </c>
      <c r="G551" s="31">
        <f>SUMIFS(G552:G1057,K552:K1057,"0",B552:B1057,"5 1 1 3 4 12 31111 6 M78 04000 152 00I 001*")</f>
        <v>0</v>
      </c>
      <c r="H551" s="31">
        <f t="shared" si="11"/>
        <v>39762.31</v>
      </c>
      <c r="I551" s="31"/>
      <c r="K551" t="s">
        <v>14</v>
      </c>
    </row>
    <row r="552" spans="2:11" ht="13" x14ac:dyDescent="0.15">
      <c r="B552" s="29" t="s">
        <v>801</v>
      </c>
      <c r="C552" s="29" t="s">
        <v>788</v>
      </c>
      <c r="D552" s="31">
        <f>SUMIFS(D553:D1057,K553:K1057,"0",B553:B1057,"5 1 1 3 4 12 31111 6 M78 04000 152 00I 001 13406*")-SUMIFS(E553:E1057,K553:K1057,"0",B553:B1057,"5 1 1 3 4 12 31111 6 M78 04000 152 00I 001 13406*")</f>
        <v>0</v>
      </c>
      <c r="E552"/>
      <c r="F552" s="31">
        <f>SUMIFS(F553:F1057,K553:K1057,"0",B553:B1057,"5 1 1 3 4 12 31111 6 M78 04000 152 00I 001 13406*")</f>
        <v>39762.31</v>
      </c>
      <c r="G552" s="31">
        <f>SUMIFS(G553:G1057,K553:K1057,"0",B553:B1057,"5 1 1 3 4 12 31111 6 M78 04000 152 00I 001 13406*")</f>
        <v>0</v>
      </c>
      <c r="H552" s="31">
        <f t="shared" si="11"/>
        <v>39762.31</v>
      </c>
      <c r="I552" s="31"/>
      <c r="K552" t="s">
        <v>14</v>
      </c>
    </row>
    <row r="553" spans="2:11" ht="13" x14ac:dyDescent="0.15">
      <c r="B553" s="29" t="s">
        <v>802</v>
      </c>
      <c r="C553" s="29" t="s">
        <v>186</v>
      </c>
      <c r="D553" s="31">
        <f>SUMIFS(D554:D1057,K554:K1057,"0",B554:B1057,"5 1 1 3 4 12 31111 6 M78 04000 152 00I 001 13406 025*")-SUMIFS(E554:E1057,K554:K1057,"0",B554:B1057,"5 1 1 3 4 12 31111 6 M78 04000 152 00I 001 13406 025*")</f>
        <v>0</v>
      </c>
      <c r="E553"/>
      <c r="F553" s="31">
        <f>SUMIFS(F554:F1057,K554:K1057,"0",B554:B1057,"5 1 1 3 4 12 31111 6 M78 04000 152 00I 001 13406 025*")</f>
        <v>39762.31</v>
      </c>
      <c r="G553" s="31">
        <f>SUMIFS(G554:G1057,K554:K1057,"0",B554:B1057,"5 1 1 3 4 12 31111 6 M78 04000 152 00I 001 13406 025*")</f>
        <v>0</v>
      </c>
      <c r="H553" s="31">
        <f t="shared" si="11"/>
        <v>39762.31</v>
      </c>
      <c r="I553" s="31"/>
      <c r="K553" t="s">
        <v>14</v>
      </c>
    </row>
    <row r="554" spans="2:11" ht="22" x14ac:dyDescent="0.15">
      <c r="B554" s="29" t="s">
        <v>803</v>
      </c>
      <c r="C554" s="29" t="s">
        <v>640</v>
      </c>
      <c r="D554" s="31">
        <f>SUMIFS(D555:D1057,K555:K1057,"0",B555:B1057,"5 1 1 3 4 12 31111 6 M78 04000 152 00I 001 13406 025 2111100*")-SUMIFS(E555:E1057,K555:K1057,"0",B555:B1057,"5 1 1 3 4 12 31111 6 M78 04000 152 00I 001 13406 025 2111100*")</f>
        <v>0</v>
      </c>
      <c r="E554"/>
      <c r="F554" s="31">
        <f>SUMIFS(F555:F1057,K555:K1057,"0",B555:B1057,"5 1 1 3 4 12 31111 6 M78 04000 152 00I 001 13406 025 2111100*")</f>
        <v>39762.31</v>
      </c>
      <c r="G554" s="31">
        <f>SUMIFS(G555:G1057,K555:K1057,"0",B555:B1057,"5 1 1 3 4 12 31111 6 M78 04000 152 00I 001 13406 025 2111100*")</f>
        <v>0</v>
      </c>
      <c r="H554" s="31">
        <f t="shared" si="11"/>
        <v>39762.31</v>
      </c>
      <c r="I554" s="31"/>
      <c r="K554" t="s">
        <v>14</v>
      </c>
    </row>
    <row r="555" spans="2:11" ht="22" x14ac:dyDescent="0.15">
      <c r="B555" s="29" t="s">
        <v>804</v>
      </c>
      <c r="C555" s="29" t="s">
        <v>294</v>
      </c>
      <c r="D555" s="31">
        <f>SUMIFS(D556:D1057,K556:K1057,"0",B556:B1057,"5 1 1 3 4 12 31111 6 M78 04000 152 00I 001 13406 025 2111100 2024*")-SUMIFS(E556:E1057,K556:K1057,"0",B556:B1057,"5 1 1 3 4 12 31111 6 M78 04000 152 00I 001 13406 025 2111100 2024*")</f>
        <v>0</v>
      </c>
      <c r="E555"/>
      <c r="F555" s="31">
        <f>SUMIFS(F556:F1057,K556:K1057,"0",B556:B1057,"5 1 1 3 4 12 31111 6 M78 04000 152 00I 001 13406 025 2111100 2024*")</f>
        <v>39762.31</v>
      </c>
      <c r="G555" s="31">
        <f>SUMIFS(G556:G1057,K556:K1057,"0",B556:B1057,"5 1 1 3 4 12 31111 6 M78 04000 152 00I 001 13406 025 2111100 2024*")</f>
        <v>0</v>
      </c>
      <c r="H555" s="31">
        <f t="shared" si="11"/>
        <v>39762.31</v>
      </c>
      <c r="I555" s="31"/>
      <c r="K555" t="s">
        <v>14</v>
      </c>
    </row>
    <row r="556" spans="2:11" ht="22" x14ac:dyDescent="0.15">
      <c r="B556" s="29" t="s">
        <v>805</v>
      </c>
      <c r="C556" s="29" t="s">
        <v>192</v>
      </c>
      <c r="D556" s="31">
        <f>SUMIFS(D557:D1057,K557:K1057,"0",B557:B1057,"5 1 1 3 4 12 31111 6 M78 04000 152 00I 001 13406 025 2111100 2024 00000000*")-SUMIFS(E557:E1057,K557:K1057,"0",B557:B1057,"5 1 1 3 4 12 31111 6 M78 04000 152 00I 001 13406 025 2111100 2024 00000000*")</f>
        <v>0</v>
      </c>
      <c r="E556"/>
      <c r="F556" s="31">
        <f>SUMIFS(F557:F1057,K557:K1057,"0",B557:B1057,"5 1 1 3 4 12 31111 6 M78 04000 152 00I 001 13406 025 2111100 2024 00000000*")</f>
        <v>39762.31</v>
      </c>
      <c r="G556" s="31">
        <f>SUMIFS(G557:G1057,K557:K1057,"0",B557:B1057,"5 1 1 3 4 12 31111 6 M78 04000 152 00I 001 13406 025 2111100 2024 00000000*")</f>
        <v>0</v>
      </c>
      <c r="H556" s="31">
        <f t="shared" si="11"/>
        <v>39762.31</v>
      </c>
      <c r="I556" s="31"/>
      <c r="K556" t="s">
        <v>14</v>
      </c>
    </row>
    <row r="557" spans="2:11" ht="22" x14ac:dyDescent="0.15">
      <c r="B557" s="29" t="s">
        <v>806</v>
      </c>
      <c r="C557" s="29" t="s">
        <v>9</v>
      </c>
      <c r="D557" s="31">
        <f>SUMIFS(D558:D1057,K558:K1057,"0",B558:B1057,"5 1 1 3 4 12 31111 6 M78 04000 152 00I 001 13406 025 2111100 2024 00000000 003*")-SUMIFS(E558:E1057,K558:K1057,"0",B558:B1057,"5 1 1 3 4 12 31111 6 M78 04000 152 00I 001 13406 025 2111100 2024 00000000 003*")</f>
        <v>0</v>
      </c>
      <c r="E557"/>
      <c r="F557" s="31">
        <f>SUMIFS(F558:F1057,K558:K1057,"0",B558:B1057,"5 1 1 3 4 12 31111 6 M78 04000 152 00I 001 13406 025 2111100 2024 00000000 003*")</f>
        <v>39762.31</v>
      </c>
      <c r="G557" s="31">
        <f>SUMIFS(G558:G1057,K558:K1057,"0",B558:B1057,"5 1 1 3 4 12 31111 6 M78 04000 152 00I 001 13406 025 2111100 2024 00000000 003*")</f>
        <v>0</v>
      </c>
      <c r="H557" s="31">
        <f t="shared" si="11"/>
        <v>39762.31</v>
      </c>
      <c r="I557" s="31"/>
      <c r="K557" t="s">
        <v>14</v>
      </c>
    </row>
    <row r="558" spans="2:11" ht="22" x14ac:dyDescent="0.15">
      <c r="B558" s="29" t="s">
        <v>807</v>
      </c>
      <c r="C558" s="29" t="s">
        <v>661</v>
      </c>
      <c r="D558" s="31">
        <f>SUMIFS(D559:D1057,K559:K1057,"0",B559:B1057,"5 1 1 3 4 12 31111 6 M78 04000 152 00I 001 13406 025 2111100 2024 00000000 003 001*")-SUMIFS(E559:E1057,K559:K1057,"0",B559:B1057,"5 1 1 3 4 12 31111 6 M78 04000 152 00I 001 13406 025 2111100 2024 00000000 003 001*")</f>
        <v>0</v>
      </c>
      <c r="E558"/>
      <c r="F558" s="31">
        <f>SUMIFS(F559:F1057,K559:K1057,"0",B559:B1057,"5 1 1 3 4 12 31111 6 M78 04000 152 00I 001 13406 025 2111100 2024 00000000 003 001*")</f>
        <v>39762.31</v>
      </c>
      <c r="G558" s="31">
        <f>SUMIFS(G559:G1057,K559:K1057,"0",B559:B1057,"5 1 1 3 4 12 31111 6 M78 04000 152 00I 001 13406 025 2111100 2024 00000000 003 001*")</f>
        <v>0</v>
      </c>
      <c r="H558" s="31">
        <f t="shared" si="11"/>
        <v>39762.31</v>
      </c>
      <c r="I558" s="31"/>
      <c r="K558" t="s">
        <v>14</v>
      </c>
    </row>
    <row r="559" spans="2:11" ht="22" x14ac:dyDescent="0.15">
      <c r="B559" s="27" t="s">
        <v>808</v>
      </c>
      <c r="C559" s="27" t="s">
        <v>809</v>
      </c>
      <c r="D559" s="30">
        <v>0</v>
      </c>
      <c r="E559" s="30"/>
      <c r="F559" s="30">
        <v>39762.31</v>
      </c>
      <c r="G559" s="30">
        <v>0</v>
      </c>
      <c r="H559" s="30">
        <f t="shared" si="11"/>
        <v>39762.31</v>
      </c>
      <c r="I559" s="30"/>
      <c r="K559" t="s">
        <v>38</v>
      </c>
    </row>
    <row r="560" spans="2:11" ht="13" x14ac:dyDescent="0.15">
      <c r="B560" s="29" t="s">
        <v>810</v>
      </c>
      <c r="C560" s="29" t="s">
        <v>176</v>
      </c>
      <c r="D560" s="31">
        <f>SUMIFS(D561:D1057,K561:K1057,"0",B561:B1057,"5 1 1 3 4 12 31111 6 M78 15000*")-SUMIFS(E561:E1057,K561:K1057,"0",B561:B1057,"5 1 1 3 4 12 31111 6 M78 15000*")</f>
        <v>0</v>
      </c>
      <c r="E560"/>
      <c r="F560" s="31">
        <f>SUMIFS(F561:F1057,K561:K1057,"0",B561:B1057,"5 1 1 3 4 12 31111 6 M78 15000*")</f>
        <v>160007.19</v>
      </c>
      <c r="G560" s="31">
        <f>SUMIFS(G561:G1057,K561:K1057,"0",B561:B1057,"5 1 1 3 4 12 31111 6 M78 15000*")</f>
        <v>0</v>
      </c>
      <c r="H560" s="31">
        <f t="shared" si="11"/>
        <v>160007.19</v>
      </c>
      <c r="I560" s="31"/>
      <c r="K560" t="s">
        <v>14</v>
      </c>
    </row>
    <row r="561" spans="2:11" ht="13" x14ac:dyDescent="0.15">
      <c r="B561" s="29" t="s">
        <v>811</v>
      </c>
      <c r="C561" s="29" t="s">
        <v>178</v>
      </c>
      <c r="D561" s="31">
        <f>SUMIFS(D562:D1057,K562:K1057,"0",B562:B1057,"5 1 1 3 4 12 31111 6 M78 15000 171*")-SUMIFS(E562:E1057,K562:K1057,"0",B562:B1057,"5 1 1 3 4 12 31111 6 M78 15000 171*")</f>
        <v>0</v>
      </c>
      <c r="E561"/>
      <c r="F561" s="31">
        <f>SUMIFS(F562:F1057,K562:K1057,"0",B562:B1057,"5 1 1 3 4 12 31111 6 M78 15000 171*")</f>
        <v>160007.19</v>
      </c>
      <c r="G561" s="31">
        <f>SUMIFS(G562:G1057,K562:K1057,"0",B562:B1057,"5 1 1 3 4 12 31111 6 M78 15000 171*")</f>
        <v>0</v>
      </c>
      <c r="H561" s="31">
        <f t="shared" si="11"/>
        <v>160007.19</v>
      </c>
      <c r="I561" s="31"/>
      <c r="K561" t="s">
        <v>14</v>
      </c>
    </row>
    <row r="562" spans="2:11" ht="13" x14ac:dyDescent="0.15">
      <c r="B562" s="29" t="s">
        <v>812</v>
      </c>
      <c r="C562" s="29" t="s">
        <v>180</v>
      </c>
      <c r="D562" s="31">
        <f>SUMIFS(D563:D1057,K563:K1057,"0",B563:B1057,"5 1 1 3 4 12 31111 6 M78 15000 171 00I*")-SUMIFS(E563:E1057,K563:K1057,"0",B563:B1057,"5 1 1 3 4 12 31111 6 M78 15000 171 00I*")</f>
        <v>0</v>
      </c>
      <c r="E562"/>
      <c r="F562" s="31">
        <f>SUMIFS(F563:F1057,K563:K1057,"0",B563:B1057,"5 1 1 3 4 12 31111 6 M78 15000 171 00I*")</f>
        <v>160007.19</v>
      </c>
      <c r="G562" s="31">
        <f>SUMIFS(G563:G1057,K563:K1057,"0",B563:B1057,"5 1 1 3 4 12 31111 6 M78 15000 171 00I*")</f>
        <v>0</v>
      </c>
      <c r="H562" s="31">
        <f t="shared" si="11"/>
        <v>160007.19</v>
      </c>
      <c r="I562" s="31"/>
      <c r="K562" t="s">
        <v>14</v>
      </c>
    </row>
    <row r="563" spans="2:11" ht="13" x14ac:dyDescent="0.15">
      <c r="B563" s="29" t="s">
        <v>813</v>
      </c>
      <c r="C563" s="29" t="s">
        <v>562</v>
      </c>
      <c r="D563" s="31">
        <f>SUMIFS(D564:D1057,K564:K1057,"0",B564:B1057,"5 1 1 3 4 12 31111 6 M78 15000 171 00I 001*")-SUMIFS(E564:E1057,K564:K1057,"0",B564:B1057,"5 1 1 3 4 12 31111 6 M78 15000 171 00I 001*")</f>
        <v>0</v>
      </c>
      <c r="E563"/>
      <c r="F563" s="31">
        <f>SUMIFS(F564:F1057,K564:K1057,"0",B564:B1057,"5 1 1 3 4 12 31111 6 M78 15000 171 00I 001*")</f>
        <v>160007.19</v>
      </c>
      <c r="G563" s="31">
        <f>SUMIFS(G564:G1057,K564:K1057,"0",B564:B1057,"5 1 1 3 4 12 31111 6 M78 15000 171 00I 001*")</f>
        <v>0</v>
      </c>
      <c r="H563" s="31">
        <f t="shared" si="11"/>
        <v>160007.19</v>
      </c>
      <c r="I563" s="31"/>
      <c r="K563" t="s">
        <v>14</v>
      </c>
    </row>
    <row r="564" spans="2:11" ht="13" x14ac:dyDescent="0.15">
      <c r="B564" s="29" t="s">
        <v>814</v>
      </c>
      <c r="C564" s="29" t="s">
        <v>788</v>
      </c>
      <c r="D564" s="31">
        <f>SUMIFS(D565:D1057,K565:K1057,"0",B565:B1057,"5 1 1 3 4 12 31111 6 M78 15000 171 00I 001 13406*")-SUMIFS(E565:E1057,K565:K1057,"0",B565:B1057,"5 1 1 3 4 12 31111 6 M78 15000 171 00I 001 13406*")</f>
        <v>0</v>
      </c>
      <c r="E564"/>
      <c r="F564" s="31">
        <f>SUMIFS(F565:F1057,K565:K1057,"0",B565:B1057,"5 1 1 3 4 12 31111 6 M78 15000 171 00I 001 13406*")</f>
        <v>160007.19</v>
      </c>
      <c r="G564" s="31">
        <f>SUMIFS(G565:G1057,K565:K1057,"0",B565:B1057,"5 1 1 3 4 12 31111 6 M78 15000 171 00I 001 13406*")</f>
        <v>0</v>
      </c>
      <c r="H564" s="31">
        <f t="shared" si="11"/>
        <v>160007.19</v>
      </c>
      <c r="I564" s="31"/>
      <c r="K564" t="s">
        <v>14</v>
      </c>
    </row>
    <row r="565" spans="2:11" ht="13" x14ac:dyDescent="0.15">
      <c r="B565" s="29" t="s">
        <v>815</v>
      </c>
      <c r="C565" s="29" t="s">
        <v>186</v>
      </c>
      <c r="D565" s="31">
        <f>SUMIFS(D566:D1057,K566:K1057,"0",B566:B1057,"5 1 1 3 4 12 31111 6 M78 15000 171 00I 001 13406 025*")-SUMIFS(E566:E1057,K566:K1057,"0",B566:B1057,"5 1 1 3 4 12 31111 6 M78 15000 171 00I 001 13406 025*")</f>
        <v>0</v>
      </c>
      <c r="E565"/>
      <c r="F565" s="31">
        <f>SUMIFS(F566:F1057,K566:K1057,"0",B566:B1057,"5 1 1 3 4 12 31111 6 M78 15000 171 00I 001 13406 025*")</f>
        <v>160007.19</v>
      </c>
      <c r="G565" s="31">
        <f>SUMIFS(G566:G1057,K566:K1057,"0",B566:B1057,"5 1 1 3 4 12 31111 6 M78 15000 171 00I 001 13406 025*")</f>
        <v>0</v>
      </c>
      <c r="H565" s="31">
        <f t="shared" si="11"/>
        <v>160007.19</v>
      </c>
      <c r="I565" s="31"/>
      <c r="K565" t="s">
        <v>14</v>
      </c>
    </row>
    <row r="566" spans="2:11" ht="22" x14ac:dyDescent="0.15">
      <c r="B566" s="29" t="s">
        <v>816</v>
      </c>
      <c r="C566" s="29" t="s">
        <v>640</v>
      </c>
      <c r="D566" s="31">
        <f>SUMIFS(D567:D1057,K567:K1057,"0",B567:B1057,"5 1 1 3 4 12 31111 6 M78 15000 171 00I 001 13406 025 2111100*")-SUMIFS(E567:E1057,K567:K1057,"0",B567:B1057,"5 1 1 3 4 12 31111 6 M78 15000 171 00I 001 13406 025 2111100*")</f>
        <v>0</v>
      </c>
      <c r="E566"/>
      <c r="F566" s="31">
        <f>SUMIFS(F567:F1057,K567:K1057,"0",B567:B1057,"5 1 1 3 4 12 31111 6 M78 15000 171 00I 001 13406 025 2111100*")</f>
        <v>160007.19</v>
      </c>
      <c r="G566" s="31">
        <f>SUMIFS(G567:G1057,K567:K1057,"0",B567:B1057,"5 1 1 3 4 12 31111 6 M78 15000 171 00I 001 13406 025 2111100*")</f>
        <v>0</v>
      </c>
      <c r="H566" s="31">
        <f t="shared" si="11"/>
        <v>160007.19</v>
      </c>
      <c r="I566" s="31"/>
      <c r="K566" t="s">
        <v>14</v>
      </c>
    </row>
    <row r="567" spans="2:11" ht="22" x14ac:dyDescent="0.15">
      <c r="B567" s="29" t="s">
        <v>817</v>
      </c>
      <c r="C567" s="29" t="s">
        <v>294</v>
      </c>
      <c r="D567" s="31">
        <f>SUMIFS(D568:D1057,K568:K1057,"0",B568:B1057,"5 1 1 3 4 12 31111 6 M78 15000 171 00I 001 13406 025 2111100 2024*")-SUMIFS(E568:E1057,K568:K1057,"0",B568:B1057,"5 1 1 3 4 12 31111 6 M78 15000 171 00I 001 13406 025 2111100 2024*")</f>
        <v>0</v>
      </c>
      <c r="E567"/>
      <c r="F567" s="31">
        <f>SUMIFS(F568:F1057,K568:K1057,"0",B568:B1057,"5 1 1 3 4 12 31111 6 M78 15000 171 00I 001 13406 025 2111100 2024*")</f>
        <v>160007.19</v>
      </c>
      <c r="G567" s="31">
        <f>SUMIFS(G568:G1057,K568:K1057,"0",B568:B1057,"5 1 1 3 4 12 31111 6 M78 15000 171 00I 001 13406 025 2111100 2024*")</f>
        <v>0</v>
      </c>
      <c r="H567" s="31">
        <f t="shared" si="11"/>
        <v>160007.19</v>
      </c>
      <c r="I567" s="31"/>
      <c r="K567" t="s">
        <v>14</v>
      </c>
    </row>
    <row r="568" spans="2:11" ht="22" x14ac:dyDescent="0.15">
      <c r="B568" s="29" t="s">
        <v>818</v>
      </c>
      <c r="C568" s="29" t="s">
        <v>192</v>
      </c>
      <c r="D568" s="31">
        <f>SUMIFS(D569:D1057,K569:K1057,"0",B569:B1057,"5 1 1 3 4 12 31111 6 M78 15000 171 00I 001 13406 025 2111100 2024 00000000*")-SUMIFS(E569:E1057,K569:K1057,"0",B569:B1057,"5 1 1 3 4 12 31111 6 M78 15000 171 00I 001 13406 025 2111100 2024 00000000*")</f>
        <v>0</v>
      </c>
      <c r="E568"/>
      <c r="F568" s="31">
        <f>SUMIFS(F569:F1057,K569:K1057,"0",B569:B1057,"5 1 1 3 4 12 31111 6 M78 15000 171 00I 001 13406 025 2111100 2024 00000000*")</f>
        <v>160007.19</v>
      </c>
      <c r="G568" s="31">
        <f>SUMIFS(G569:G1057,K569:K1057,"0",B569:B1057,"5 1 1 3 4 12 31111 6 M78 15000 171 00I 001 13406 025 2111100 2024 00000000*")</f>
        <v>0</v>
      </c>
      <c r="H568" s="31">
        <f t="shared" si="11"/>
        <v>160007.19</v>
      </c>
      <c r="I568" s="31"/>
      <c r="K568" t="s">
        <v>14</v>
      </c>
    </row>
    <row r="569" spans="2:11" ht="22" x14ac:dyDescent="0.15">
      <c r="B569" s="29" t="s">
        <v>819</v>
      </c>
      <c r="C569" s="29" t="s">
        <v>9</v>
      </c>
      <c r="D569" s="31">
        <f>SUMIFS(D570:D1057,K570:K1057,"0",B570:B1057,"5 1 1 3 4 12 31111 6 M78 15000 171 00I 001 13406 025 2111100 2024 00000000 003*")-SUMIFS(E570:E1057,K570:K1057,"0",B570:B1057,"5 1 1 3 4 12 31111 6 M78 15000 171 00I 001 13406 025 2111100 2024 00000000 003*")</f>
        <v>0</v>
      </c>
      <c r="E569"/>
      <c r="F569" s="31">
        <f>SUMIFS(F570:F1057,K570:K1057,"0",B570:B1057,"5 1 1 3 4 12 31111 6 M78 15000 171 00I 001 13406 025 2111100 2024 00000000 003*")</f>
        <v>160007.19</v>
      </c>
      <c r="G569" s="31">
        <f>SUMIFS(G570:G1057,K570:K1057,"0",B570:B1057,"5 1 1 3 4 12 31111 6 M78 15000 171 00I 001 13406 025 2111100 2024 00000000 003*")</f>
        <v>0</v>
      </c>
      <c r="H569" s="31">
        <f t="shared" si="11"/>
        <v>160007.19</v>
      </c>
      <c r="I569" s="31"/>
      <c r="K569" t="s">
        <v>14</v>
      </c>
    </row>
    <row r="570" spans="2:11" ht="22" x14ac:dyDescent="0.15">
      <c r="B570" s="29" t="s">
        <v>820</v>
      </c>
      <c r="C570" s="29" t="s">
        <v>675</v>
      </c>
      <c r="D570" s="31">
        <f>SUMIFS(D571:D1057,K571:K1057,"0",B571:B1057,"5 1 1 3 4 12 31111 6 M78 15000 171 00I 001 13406 025 2111100 2024 00000000 003 001*")-SUMIFS(E571:E1057,K571:K1057,"0",B571:B1057,"5 1 1 3 4 12 31111 6 M78 15000 171 00I 001 13406 025 2111100 2024 00000000 003 001*")</f>
        <v>0</v>
      </c>
      <c r="E570"/>
      <c r="F570" s="31">
        <f>SUMIFS(F571:F1057,K571:K1057,"0",B571:B1057,"5 1 1 3 4 12 31111 6 M78 15000 171 00I 001 13406 025 2111100 2024 00000000 003 001*")</f>
        <v>160007.19</v>
      </c>
      <c r="G570" s="31">
        <f>SUMIFS(G571:G1057,K571:K1057,"0",B571:B1057,"5 1 1 3 4 12 31111 6 M78 15000 171 00I 001 13406 025 2111100 2024 00000000 003 001*")</f>
        <v>0</v>
      </c>
      <c r="H570" s="31">
        <f t="shared" si="11"/>
        <v>160007.19</v>
      </c>
      <c r="I570" s="31"/>
      <c r="K570" t="s">
        <v>14</v>
      </c>
    </row>
    <row r="571" spans="2:11" ht="22" x14ac:dyDescent="0.15">
      <c r="B571" s="27" t="s">
        <v>821</v>
      </c>
      <c r="C571" s="27" t="s">
        <v>809</v>
      </c>
      <c r="D571" s="30">
        <v>0</v>
      </c>
      <c r="E571" s="30"/>
      <c r="F571" s="30">
        <v>160007.19</v>
      </c>
      <c r="G571" s="30">
        <v>0</v>
      </c>
      <c r="H571" s="30">
        <f t="shared" si="11"/>
        <v>160007.19</v>
      </c>
      <c r="I571" s="30"/>
      <c r="K571" t="s">
        <v>38</v>
      </c>
    </row>
    <row r="572" spans="2:11" ht="13" x14ac:dyDescent="0.15">
      <c r="B572" s="29" t="s">
        <v>822</v>
      </c>
      <c r="C572" s="29" t="s">
        <v>678</v>
      </c>
      <c r="D572" s="31">
        <f>SUMIFS(D573:D1057,K573:K1057,"0",B573:B1057,"5 1 1 3 4 12 31111 6 M78 16000*")-SUMIFS(E573:E1057,K573:K1057,"0",B573:B1057,"5 1 1 3 4 12 31111 6 M78 16000*")</f>
        <v>0</v>
      </c>
      <c r="E572"/>
      <c r="F572" s="31">
        <f>SUMIFS(F573:F1057,K573:K1057,"0",B573:B1057,"5 1 1 3 4 12 31111 6 M78 16000*")</f>
        <v>38654.54</v>
      </c>
      <c r="G572" s="31">
        <f>SUMIFS(G573:G1057,K573:K1057,"0",B573:B1057,"5 1 1 3 4 12 31111 6 M78 16000*")</f>
        <v>0</v>
      </c>
      <c r="H572" s="31">
        <f t="shared" si="11"/>
        <v>38654.54</v>
      </c>
      <c r="I572" s="31"/>
      <c r="K572" t="s">
        <v>14</v>
      </c>
    </row>
    <row r="573" spans="2:11" ht="13" x14ac:dyDescent="0.15">
      <c r="B573" s="29" t="s">
        <v>823</v>
      </c>
      <c r="C573" s="29" t="s">
        <v>680</v>
      </c>
      <c r="D573" s="31">
        <f>SUMIFS(D574:D1057,K574:K1057,"0",B574:B1057,"5 1 1 3 4 12 31111 6 M78 16000 173*")-SUMIFS(E574:E1057,K574:K1057,"0",B574:B1057,"5 1 1 3 4 12 31111 6 M78 16000 173*")</f>
        <v>0</v>
      </c>
      <c r="E573"/>
      <c r="F573" s="31">
        <f>SUMIFS(F574:F1057,K574:K1057,"0",B574:B1057,"5 1 1 3 4 12 31111 6 M78 16000 173*")</f>
        <v>38654.54</v>
      </c>
      <c r="G573" s="31">
        <f>SUMIFS(G574:G1057,K574:K1057,"0",B574:B1057,"5 1 1 3 4 12 31111 6 M78 16000 173*")</f>
        <v>0</v>
      </c>
      <c r="H573" s="31">
        <f t="shared" si="11"/>
        <v>38654.54</v>
      </c>
      <c r="I573" s="31"/>
      <c r="K573" t="s">
        <v>14</v>
      </c>
    </row>
    <row r="574" spans="2:11" ht="13" x14ac:dyDescent="0.15">
      <c r="B574" s="29" t="s">
        <v>824</v>
      </c>
      <c r="C574" s="29" t="s">
        <v>180</v>
      </c>
      <c r="D574" s="31">
        <f>SUMIFS(D575:D1057,K575:K1057,"0",B575:B1057,"5 1 1 3 4 12 31111 6 M78 16000 173 00I*")-SUMIFS(E575:E1057,K575:K1057,"0",B575:B1057,"5 1 1 3 4 12 31111 6 M78 16000 173 00I*")</f>
        <v>0</v>
      </c>
      <c r="E574"/>
      <c r="F574" s="31">
        <f>SUMIFS(F575:F1057,K575:K1057,"0",B575:B1057,"5 1 1 3 4 12 31111 6 M78 16000 173 00I*")</f>
        <v>38654.54</v>
      </c>
      <c r="G574" s="31">
        <f>SUMIFS(G575:G1057,K575:K1057,"0",B575:B1057,"5 1 1 3 4 12 31111 6 M78 16000 173 00I*")</f>
        <v>0</v>
      </c>
      <c r="H574" s="31">
        <f t="shared" si="11"/>
        <v>38654.54</v>
      </c>
      <c r="I574" s="31"/>
      <c r="K574" t="s">
        <v>14</v>
      </c>
    </row>
    <row r="575" spans="2:11" ht="13" x14ac:dyDescent="0.15">
      <c r="B575" s="29" t="s">
        <v>825</v>
      </c>
      <c r="C575" s="29" t="s">
        <v>562</v>
      </c>
      <c r="D575" s="31">
        <f>SUMIFS(D576:D1057,K576:K1057,"0",B576:B1057,"5 1 1 3 4 12 31111 6 M78 16000 173 00I 001*")-SUMIFS(E576:E1057,K576:K1057,"0",B576:B1057,"5 1 1 3 4 12 31111 6 M78 16000 173 00I 001*")</f>
        <v>0</v>
      </c>
      <c r="E575"/>
      <c r="F575" s="31">
        <f>SUMIFS(F576:F1057,K576:K1057,"0",B576:B1057,"5 1 1 3 4 12 31111 6 M78 16000 173 00I 001*")</f>
        <v>38654.54</v>
      </c>
      <c r="G575" s="31">
        <f>SUMIFS(G576:G1057,K576:K1057,"0",B576:B1057,"5 1 1 3 4 12 31111 6 M78 16000 173 00I 001*")</f>
        <v>0</v>
      </c>
      <c r="H575" s="31">
        <f t="shared" si="11"/>
        <v>38654.54</v>
      </c>
      <c r="I575" s="31"/>
      <c r="K575" t="s">
        <v>14</v>
      </c>
    </row>
    <row r="576" spans="2:11" ht="13" x14ac:dyDescent="0.15">
      <c r="B576" s="29" t="s">
        <v>826</v>
      </c>
      <c r="C576" s="29" t="s">
        <v>788</v>
      </c>
      <c r="D576" s="31">
        <f>SUMIFS(D577:D1057,K577:K1057,"0",B577:B1057,"5 1 1 3 4 12 31111 6 M78 16000 173 00I 001 13406*")-SUMIFS(E577:E1057,K577:K1057,"0",B577:B1057,"5 1 1 3 4 12 31111 6 M78 16000 173 00I 001 13406*")</f>
        <v>0</v>
      </c>
      <c r="E576"/>
      <c r="F576" s="31">
        <f>SUMIFS(F577:F1057,K577:K1057,"0",B577:B1057,"5 1 1 3 4 12 31111 6 M78 16000 173 00I 001 13406*")</f>
        <v>38654.54</v>
      </c>
      <c r="G576" s="31">
        <f>SUMIFS(G577:G1057,K577:K1057,"0",B577:B1057,"5 1 1 3 4 12 31111 6 M78 16000 173 00I 001 13406*")</f>
        <v>0</v>
      </c>
      <c r="H576" s="31">
        <f t="shared" si="11"/>
        <v>38654.54</v>
      </c>
      <c r="I576" s="31"/>
      <c r="K576" t="s">
        <v>14</v>
      </c>
    </row>
    <row r="577" spans="2:11" ht="13" x14ac:dyDescent="0.15">
      <c r="B577" s="29" t="s">
        <v>827</v>
      </c>
      <c r="C577" s="29" t="s">
        <v>186</v>
      </c>
      <c r="D577" s="31">
        <f>SUMIFS(D578:D1057,K578:K1057,"0",B578:B1057,"5 1 1 3 4 12 31111 6 M78 16000 173 00I 001 13406 025*")-SUMIFS(E578:E1057,K578:K1057,"0",B578:B1057,"5 1 1 3 4 12 31111 6 M78 16000 173 00I 001 13406 025*")</f>
        <v>0</v>
      </c>
      <c r="E577"/>
      <c r="F577" s="31">
        <f>SUMIFS(F578:F1057,K578:K1057,"0",B578:B1057,"5 1 1 3 4 12 31111 6 M78 16000 173 00I 001 13406 025*")</f>
        <v>38654.54</v>
      </c>
      <c r="G577" s="31">
        <f>SUMIFS(G578:G1057,K578:K1057,"0",B578:B1057,"5 1 1 3 4 12 31111 6 M78 16000 173 00I 001 13406 025*")</f>
        <v>0</v>
      </c>
      <c r="H577" s="31">
        <f t="shared" si="11"/>
        <v>38654.54</v>
      </c>
      <c r="I577" s="31"/>
      <c r="K577" t="s">
        <v>14</v>
      </c>
    </row>
    <row r="578" spans="2:11" ht="22" x14ac:dyDescent="0.15">
      <c r="B578" s="29" t="s">
        <v>828</v>
      </c>
      <c r="C578" s="29" t="s">
        <v>640</v>
      </c>
      <c r="D578" s="31">
        <f>SUMIFS(D579:D1057,K579:K1057,"0",B579:B1057,"5 1 1 3 4 12 31111 6 M78 16000 173 00I 001 13406 025 2111100*")-SUMIFS(E579:E1057,K579:K1057,"0",B579:B1057,"5 1 1 3 4 12 31111 6 M78 16000 173 00I 001 13406 025 2111100*")</f>
        <v>0</v>
      </c>
      <c r="E578"/>
      <c r="F578" s="31">
        <f>SUMIFS(F579:F1057,K579:K1057,"0",B579:B1057,"5 1 1 3 4 12 31111 6 M78 16000 173 00I 001 13406 025 2111100*")</f>
        <v>38654.54</v>
      </c>
      <c r="G578" s="31">
        <f>SUMIFS(G579:G1057,K579:K1057,"0",B579:B1057,"5 1 1 3 4 12 31111 6 M78 16000 173 00I 001 13406 025 2111100*")</f>
        <v>0</v>
      </c>
      <c r="H578" s="31">
        <f t="shared" si="11"/>
        <v>38654.54</v>
      </c>
      <c r="I578" s="31"/>
      <c r="K578" t="s">
        <v>14</v>
      </c>
    </row>
    <row r="579" spans="2:11" ht="22" x14ac:dyDescent="0.15">
      <c r="B579" s="29" t="s">
        <v>829</v>
      </c>
      <c r="C579" s="29" t="s">
        <v>294</v>
      </c>
      <c r="D579" s="31">
        <f>SUMIFS(D580:D1057,K580:K1057,"0",B580:B1057,"5 1 1 3 4 12 31111 6 M78 16000 173 00I 001 13406 025 2111100 2024*")-SUMIFS(E580:E1057,K580:K1057,"0",B580:B1057,"5 1 1 3 4 12 31111 6 M78 16000 173 00I 001 13406 025 2111100 2024*")</f>
        <v>0</v>
      </c>
      <c r="E579"/>
      <c r="F579" s="31">
        <f>SUMIFS(F580:F1057,K580:K1057,"0",B580:B1057,"5 1 1 3 4 12 31111 6 M78 16000 173 00I 001 13406 025 2111100 2024*")</f>
        <v>38654.54</v>
      </c>
      <c r="G579" s="31">
        <f>SUMIFS(G580:G1057,K580:K1057,"0",B580:B1057,"5 1 1 3 4 12 31111 6 M78 16000 173 00I 001 13406 025 2111100 2024*")</f>
        <v>0</v>
      </c>
      <c r="H579" s="31">
        <f t="shared" si="11"/>
        <v>38654.54</v>
      </c>
      <c r="I579" s="31"/>
      <c r="K579" t="s">
        <v>14</v>
      </c>
    </row>
    <row r="580" spans="2:11" ht="22" x14ac:dyDescent="0.15">
      <c r="B580" s="29" t="s">
        <v>830</v>
      </c>
      <c r="C580" s="29" t="s">
        <v>192</v>
      </c>
      <c r="D580" s="31">
        <f>SUMIFS(D581:D1057,K581:K1057,"0",B581:B1057,"5 1 1 3 4 12 31111 6 M78 16000 173 00I 001 13406 025 2111100 2024 00000000*")-SUMIFS(E581:E1057,K581:K1057,"0",B581:B1057,"5 1 1 3 4 12 31111 6 M78 16000 173 00I 001 13406 025 2111100 2024 00000000*")</f>
        <v>0</v>
      </c>
      <c r="E580"/>
      <c r="F580" s="31">
        <f>SUMIFS(F581:F1057,K581:K1057,"0",B581:B1057,"5 1 1 3 4 12 31111 6 M78 16000 173 00I 001 13406 025 2111100 2024 00000000*")</f>
        <v>38654.54</v>
      </c>
      <c r="G580" s="31">
        <f>SUMIFS(G581:G1057,K581:K1057,"0",B581:B1057,"5 1 1 3 4 12 31111 6 M78 16000 173 00I 001 13406 025 2111100 2024 00000000*")</f>
        <v>0</v>
      </c>
      <c r="H580" s="31">
        <f t="shared" si="11"/>
        <v>38654.54</v>
      </c>
      <c r="I580" s="31"/>
      <c r="K580" t="s">
        <v>14</v>
      </c>
    </row>
    <row r="581" spans="2:11" ht="22" x14ac:dyDescent="0.15">
      <c r="B581" s="29" t="s">
        <v>831</v>
      </c>
      <c r="C581" s="29" t="s">
        <v>9</v>
      </c>
      <c r="D581" s="31">
        <f>SUMIFS(D582:D1057,K582:K1057,"0",B582:B1057,"5 1 1 3 4 12 31111 6 M78 16000 173 00I 001 13406 025 2111100 2024 00000000 003*")-SUMIFS(E582:E1057,K582:K1057,"0",B582:B1057,"5 1 1 3 4 12 31111 6 M78 16000 173 00I 001 13406 025 2111100 2024 00000000 003*")</f>
        <v>0</v>
      </c>
      <c r="E581"/>
      <c r="F581" s="31">
        <f>SUMIFS(F582:F1057,K582:K1057,"0",B582:B1057,"5 1 1 3 4 12 31111 6 M78 16000 173 00I 001 13406 025 2111100 2024 00000000 003*")</f>
        <v>38654.54</v>
      </c>
      <c r="G581" s="31">
        <f>SUMIFS(G582:G1057,K582:K1057,"0",B582:B1057,"5 1 1 3 4 12 31111 6 M78 16000 173 00I 001 13406 025 2111100 2024 00000000 003*")</f>
        <v>0</v>
      </c>
      <c r="H581" s="31">
        <f t="shared" si="11"/>
        <v>38654.54</v>
      </c>
      <c r="I581" s="31"/>
      <c r="K581" t="s">
        <v>14</v>
      </c>
    </row>
    <row r="582" spans="2:11" ht="22" x14ac:dyDescent="0.15">
      <c r="B582" s="29" t="s">
        <v>832</v>
      </c>
      <c r="C582" s="29" t="s">
        <v>690</v>
      </c>
      <c r="D582" s="31">
        <f>SUMIFS(D583:D1057,K583:K1057,"0",B583:B1057,"5 1 1 3 4 12 31111 6 M78 16000 173 00I 001 13406 025 2111100 2024 00000000 003 001*")-SUMIFS(E583:E1057,K583:K1057,"0",B583:B1057,"5 1 1 3 4 12 31111 6 M78 16000 173 00I 001 13406 025 2111100 2024 00000000 003 001*")</f>
        <v>0</v>
      </c>
      <c r="E582"/>
      <c r="F582" s="31">
        <f>SUMIFS(F583:F1057,K583:K1057,"0",B583:B1057,"5 1 1 3 4 12 31111 6 M78 16000 173 00I 001 13406 025 2111100 2024 00000000 003 001*")</f>
        <v>38654.54</v>
      </c>
      <c r="G582" s="31">
        <f>SUMIFS(G583:G1057,K583:K1057,"0",B583:B1057,"5 1 1 3 4 12 31111 6 M78 16000 173 00I 001 13406 025 2111100 2024 00000000 003 001*")</f>
        <v>0</v>
      </c>
      <c r="H582" s="31">
        <f t="shared" si="11"/>
        <v>38654.54</v>
      </c>
      <c r="I582" s="31"/>
      <c r="K582" t="s">
        <v>14</v>
      </c>
    </row>
    <row r="583" spans="2:11" ht="22" x14ac:dyDescent="0.15">
      <c r="B583" s="27" t="s">
        <v>833</v>
      </c>
      <c r="C583" s="27" t="s">
        <v>809</v>
      </c>
      <c r="D583" s="30">
        <v>0</v>
      </c>
      <c r="E583" s="30"/>
      <c r="F583" s="30">
        <v>38654.54</v>
      </c>
      <c r="G583" s="30">
        <v>0</v>
      </c>
      <c r="H583" s="30">
        <f t="shared" si="11"/>
        <v>38654.54</v>
      </c>
      <c r="I583" s="30"/>
      <c r="K583" t="s">
        <v>38</v>
      </c>
    </row>
    <row r="584" spans="2:11" ht="13" x14ac:dyDescent="0.15">
      <c r="B584" s="29" t="s">
        <v>834</v>
      </c>
      <c r="C584" s="29" t="s">
        <v>693</v>
      </c>
      <c r="D584" s="31">
        <f>SUMIFS(D585:D1057,K585:K1057,"0",B585:B1057,"5 1 1 3 4 12 31111 6 M78 17000*")-SUMIFS(E585:E1057,K585:K1057,"0",B585:B1057,"5 1 1 3 4 12 31111 6 M78 17000*")</f>
        <v>0</v>
      </c>
      <c r="E584"/>
      <c r="F584" s="31">
        <f>SUMIFS(F585:F1057,K585:K1057,"0",B585:B1057,"5 1 1 3 4 12 31111 6 M78 17000*")</f>
        <v>90801.21</v>
      </c>
      <c r="G584" s="31">
        <f>SUMIFS(G585:G1057,K585:K1057,"0",B585:B1057,"5 1 1 3 4 12 31111 6 M78 17000*")</f>
        <v>0</v>
      </c>
      <c r="H584" s="31">
        <f t="shared" si="11"/>
        <v>90801.21</v>
      </c>
      <c r="I584" s="31"/>
      <c r="K584" t="s">
        <v>14</v>
      </c>
    </row>
    <row r="585" spans="2:11" ht="13" x14ac:dyDescent="0.15">
      <c r="B585" s="29" t="s">
        <v>835</v>
      </c>
      <c r="C585" s="29" t="s">
        <v>695</v>
      </c>
      <c r="D585" s="31">
        <f>SUMIFS(D586:D1057,K586:K1057,"0",B586:B1057,"5 1 1 3 4 12 31111 6 M78 17000 172*")-SUMIFS(E586:E1057,K586:K1057,"0",B586:B1057,"5 1 1 3 4 12 31111 6 M78 17000 172*")</f>
        <v>0</v>
      </c>
      <c r="E585"/>
      <c r="F585" s="31">
        <f>SUMIFS(F586:F1057,K586:K1057,"0",B586:B1057,"5 1 1 3 4 12 31111 6 M78 17000 172*")</f>
        <v>90801.21</v>
      </c>
      <c r="G585" s="31">
        <f>SUMIFS(G586:G1057,K586:K1057,"0",B586:B1057,"5 1 1 3 4 12 31111 6 M78 17000 172*")</f>
        <v>0</v>
      </c>
      <c r="H585" s="31">
        <f t="shared" si="11"/>
        <v>90801.21</v>
      </c>
      <c r="I585" s="31"/>
      <c r="K585" t="s">
        <v>14</v>
      </c>
    </row>
    <row r="586" spans="2:11" ht="13" x14ac:dyDescent="0.15">
      <c r="B586" s="29" t="s">
        <v>836</v>
      </c>
      <c r="C586" s="29" t="s">
        <v>180</v>
      </c>
      <c r="D586" s="31">
        <f>SUMIFS(D587:D1057,K587:K1057,"0",B587:B1057,"5 1 1 3 4 12 31111 6 M78 17000 172 00I*")-SUMIFS(E587:E1057,K587:K1057,"0",B587:B1057,"5 1 1 3 4 12 31111 6 M78 17000 172 00I*")</f>
        <v>0</v>
      </c>
      <c r="E586"/>
      <c r="F586" s="31">
        <f>SUMIFS(F587:F1057,K587:K1057,"0",B587:B1057,"5 1 1 3 4 12 31111 6 M78 17000 172 00I*")</f>
        <v>90801.21</v>
      </c>
      <c r="G586" s="31">
        <f>SUMIFS(G587:G1057,K587:K1057,"0",B587:B1057,"5 1 1 3 4 12 31111 6 M78 17000 172 00I*")</f>
        <v>0</v>
      </c>
      <c r="H586" s="31">
        <f t="shared" si="11"/>
        <v>90801.21</v>
      </c>
      <c r="I586" s="31"/>
      <c r="K586" t="s">
        <v>14</v>
      </c>
    </row>
    <row r="587" spans="2:11" ht="13" x14ac:dyDescent="0.15">
      <c r="B587" s="29" t="s">
        <v>837</v>
      </c>
      <c r="C587" s="29" t="s">
        <v>562</v>
      </c>
      <c r="D587" s="31">
        <f>SUMIFS(D588:D1057,K588:K1057,"0",B588:B1057,"5 1 1 3 4 12 31111 6 M78 17000 172 00I 001*")-SUMIFS(E588:E1057,K588:K1057,"0",B588:B1057,"5 1 1 3 4 12 31111 6 M78 17000 172 00I 001*")</f>
        <v>0</v>
      </c>
      <c r="E587"/>
      <c r="F587" s="31">
        <f>SUMIFS(F588:F1057,K588:K1057,"0",B588:B1057,"5 1 1 3 4 12 31111 6 M78 17000 172 00I 001*")</f>
        <v>90801.21</v>
      </c>
      <c r="G587" s="31">
        <f>SUMIFS(G588:G1057,K588:K1057,"0",B588:B1057,"5 1 1 3 4 12 31111 6 M78 17000 172 00I 001*")</f>
        <v>0</v>
      </c>
      <c r="H587" s="31">
        <f t="shared" si="11"/>
        <v>90801.21</v>
      </c>
      <c r="I587" s="31"/>
      <c r="K587" t="s">
        <v>14</v>
      </c>
    </row>
    <row r="588" spans="2:11" ht="13" x14ac:dyDescent="0.15">
      <c r="B588" s="29" t="s">
        <v>838</v>
      </c>
      <c r="C588" s="29" t="s">
        <v>839</v>
      </c>
      <c r="D588" s="31">
        <f>SUMIFS(D589:D1057,K589:K1057,"0",B589:B1057,"5 1 1 3 4 12 31111 6 M78 17000 172 00I 001 13403*")-SUMIFS(E589:E1057,K589:K1057,"0",B589:B1057,"5 1 1 3 4 12 31111 6 M78 17000 172 00I 001 13403*")</f>
        <v>0</v>
      </c>
      <c r="E588"/>
      <c r="F588" s="31">
        <f>SUMIFS(F589:F1057,K589:K1057,"0",B589:B1057,"5 1 1 3 4 12 31111 6 M78 17000 172 00I 001 13403*")</f>
        <v>8832.86</v>
      </c>
      <c r="G588" s="31">
        <f>SUMIFS(G589:G1057,K589:K1057,"0",B589:B1057,"5 1 1 3 4 12 31111 6 M78 17000 172 00I 001 13403*")</f>
        <v>0</v>
      </c>
      <c r="H588" s="31">
        <f t="shared" ref="H588:H651" si="12">D588 + F588 - G588</f>
        <v>8832.86</v>
      </c>
      <c r="I588" s="31"/>
      <c r="K588" t="s">
        <v>14</v>
      </c>
    </row>
    <row r="589" spans="2:11" ht="13" x14ac:dyDescent="0.15">
      <c r="B589" s="29" t="s">
        <v>840</v>
      </c>
      <c r="C589" s="29" t="s">
        <v>186</v>
      </c>
      <c r="D589" s="31">
        <f>SUMIFS(D590:D1057,K590:K1057,"0",B590:B1057,"5 1 1 3 4 12 31111 6 M78 17000 172 00I 001 13403 025*")-SUMIFS(E590:E1057,K590:K1057,"0",B590:B1057,"5 1 1 3 4 12 31111 6 M78 17000 172 00I 001 13403 025*")</f>
        <v>0</v>
      </c>
      <c r="E589"/>
      <c r="F589" s="31">
        <f>SUMIFS(F590:F1057,K590:K1057,"0",B590:B1057,"5 1 1 3 4 12 31111 6 M78 17000 172 00I 001 13403 025*")</f>
        <v>8832.86</v>
      </c>
      <c r="G589" s="31">
        <f>SUMIFS(G590:G1057,K590:K1057,"0",B590:B1057,"5 1 1 3 4 12 31111 6 M78 17000 172 00I 001 13403 025*")</f>
        <v>0</v>
      </c>
      <c r="H589" s="31">
        <f t="shared" si="12"/>
        <v>8832.86</v>
      </c>
      <c r="I589" s="31"/>
      <c r="K589" t="s">
        <v>14</v>
      </c>
    </row>
    <row r="590" spans="2:11" ht="22" x14ac:dyDescent="0.15">
      <c r="B590" s="29" t="s">
        <v>841</v>
      </c>
      <c r="C590" s="29" t="s">
        <v>640</v>
      </c>
      <c r="D590" s="31">
        <f>SUMIFS(D591:D1057,K591:K1057,"0",B591:B1057,"5 1 1 3 4 12 31111 6 M78 17000 172 00I 001 13403 025 2111100*")-SUMIFS(E591:E1057,K591:K1057,"0",B591:B1057,"5 1 1 3 4 12 31111 6 M78 17000 172 00I 001 13403 025 2111100*")</f>
        <v>0</v>
      </c>
      <c r="E590"/>
      <c r="F590" s="31">
        <f>SUMIFS(F591:F1057,K591:K1057,"0",B591:B1057,"5 1 1 3 4 12 31111 6 M78 17000 172 00I 001 13403 025 2111100*")</f>
        <v>8832.86</v>
      </c>
      <c r="G590" s="31">
        <f>SUMIFS(G591:G1057,K591:K1057,"0",B591:B1057,"5 1 1 3 4 12 31111 6 M78 17000 172 00I 001 13403 025 2111100*")</f>
        <v>0</v>
      </c>
      <c r="H590" s="31">
        <f t="shared" si="12"/>
        <v>8832.86</v>
      </c>
      <c r="I590" s="31"/>
      <c r="K590" t="s">
        <v>14</v>
      </c>
    </row>
    <row r="591" spans="2:11" ht="22" x14ac:dyDescent="0.15">
      <c r="B591" s="29" t="s">
        <v>842</v>
      </c>
      <c r="C591" s="29" t="s">
        <v>294</v>
      </c>
      <c r="D591" s="31">
        <f>SUMIFS(D592:D1057,K592:K1057,"0",B592:B1057,"5 1 1 3 4 12 31111 6 M78 17000 172 00I 001 13403 025 2111100 2024*")-SUMIFS(E592:E1057,K592:K1057,"0",B592:B1057,"5 1 1 3 4 12 31111 6 M78 17000 172 00I 001 13403 025 2111100 2024*")</f>
        <v>0</v>
      </c>
      <c r="E591"/>
      <c r="F591" s="31">
        <f>SUMIFS(F592:F1057,K592:K1057,"0",B592:B1057,"5 1 1 3 4 12 31111 6 M78 17000 172 00I 001 13403 025 2111100 2024*")</f>
        <v>8832.86</v>
      </c>
      <c r="G591" s="31">
        <f>SUMIFS(G592:G1057,K592:K1057,"0",B592:B1057,"5 1 1 3 4 12 31111 6 M78 17000 172 00I 001 13403 025 2111100 2024*")</f>
        <v>0</v>
      </c>
      <c r="H591" s="31">
        <f t="shared" si="12"/>
        <v>8832.86</v>
      </c>
      <c r="I591" s="31"/>
      <c r="K591" t="s">
        <v>14</v>
      </c>
    </row>
    <row r="592" spans="2:11" ht="22" x14ac:dyDescent="0.15">
      <c r="B592" s="29" t="s">
        <v>843</v>
      </c>
      <c r="C592" s="29" t="s">
        <v>192</v>
      </c>
      <c r="D592" s="31">
        <f>SUMIFS(D593:D1057,K593:K1057,"0",B593:B1057,"5 1 1 3 4 12 31111 6 M78 17000 172 00I 001 13403 025 2111100 2024 00000000*")-SUMIFS(E593:E1057,K593:K1057,"0",B593:B1057,"5 1 1 3 4 12 31111 6 M78 17000 172 00I 001 13403 025 2111100 2024 00000000*")</f>
        <v>0</v>
      </c>
      <c r="E592"/>
      <c r="F592" s="31">
        <f>SUMIFS(F593:F1057,K593:K1057,"0",B593:B1057,"5 1 1 3 4 12 31111 6 M78 17000 172 00I 001 13403 025 2111100 2024 00000000*")</f>
        <v>8832.86</v>
      </c>
      <c r="G592" s="31">
        <f>SUMIFS(G593:G1057,K593:K1057,"0",B593:B1057,"5 1 1 3 4 12 31111 6 M78 17000 172 00I 001 13403 025 2111100 2024 00000000*")</f>
        <v>0</v>
      </c>
      <c r="H592" s="31">
        <f t="shared" si="12"/>
        <v>8832.86</v>
      </c>
      <c r="I592" s="31"/>
      <c r="K592" t="s">
        <v>14</v>
      </c>
    </row>
    <row r="593" spans="2:11" ht="22" x14ac:dyDescent="0.15">
      <c r="B593" s="29" t="s">
        <v>844</v>
      </c>
      <c r="C593" s="29" t="s">
        <v>9</v>
      </c>
      <c r="D593" s="31">
        <f>SUMIFS(D594:D1057,K594:K1057,"0",B594:B1057,"5 1 1 3 4 12 31111 6 M78 17000 172 00I 001 13403 025 2111100 2024 00000000 003*")-SUMIFS(E594:E1057,K594:K1057,"0",B594:B1057,"5 1 1 3 4 12 31111 6 M78 17000 172 00I 001 13403 025 2111100 2024 00000000 003*")</f>
        <v>0</v>
      </c>
      <c r="E593"/>
      <c r="F593" s="31">
        <f>SUMIFS(F594:F1057,K594:K1057,"0",B594:B1057,"5 1 1 3 4 12 31111 6 M78 17000 172 00I 001 13403 025 2111100 2024 00000000 003*")</f>
        <v>8832.86</v>
      </c>
      <c r="G593" s="31">
        <f>SUMIFS(G594:G1057,K594:K1057,"0",B594:B1057,"5 1 1 3 4 12 31111 6 M78 17000 172 00I 001 13403 025 2111100 2024 00000000 003*")</f>
        <v>0</v>
      </c>
      <c r="H593" s="31">
        <f t="shared" si="12"/>
        <v>8832.86</v>
      </c>
      <c r="I593" s="31"/>
      <c r="K593" t="s">
        <v>14</v>
      </c>
    </row>
    <row r="594" spans="2:11" ht="22" x14ac:dyDescent="0.15">
      <c r="B594" s="29" t="s">
        <v>845</v>
      </c>
      <c r="C594" s="29" t="s">
        <v>705</v>
      </c>
      <c r="D594" s="31">
        <f>SUMIFS(D595:D1057,K595:K1057,"0",B595:B1057,"5 1 1 3 4 12 31111 6 M78 17000 172 00I 001 13403 025 2111100 2024 00000000 003 001*")-SUMIFS(E595:E1057,K595:K1057,"0",B595:B1057,"5 1 1 3 4 12 31111 6 M78 17000 172 00I 001 13403 025 2111100 2024 00000000 003 001*")</f>
        <v>0</v>
      </c>
      <c r="E594"/>
      <c r="F594" s="31">
        <f>SUMIFS(F595:F1057,K595:K1057,"0",B595:B1057,"5 1 1 3 4 12 31111 6 M78 17000 172 00I 001 13403 025 2111100 2024 00000000 003 001*")</f>
        <v>8832.86</v>
      </c>
      <c r="G594" s="31">
        <f>SUMIFS(G595:G1057,K595:K1057,"0",B595:B1057,"5 1 1 3 4 12 31111 6 M78 17000 172 00I 001 13403 025 2111100 2024 00000000 003 001*")</f>
        <v>0</v>
      </c>
      <c r="H594" s="31">
        <f t="shared" si="12"/>
        <v>8832.86</v>
      </c>
      <c r="I594" s="31"/>
      <c r="K594" t="s">
        <v>14</v>
      </c>
    </row>
    <row r="595" spans="2:11" ht="22" x14ac:dyDescent="0.15">
      <c r="B595" s="27" t="s">
        <v>846</v>
      </c>
      <c r="C595" s="27" t="s">
        <v>847</v>
      </c>
      <c r="D595" s="30">
        <v>0</v>
      </c>
      <c r="E595" s="30"/>
      <c r="F595" s="30">
        <v>8832.86</v>
      </c>
      <c r="G595" s="30">
        <v>0</v>
      </c>
      <c r="H595" s="30">
        <f t="shared" si="12"/>
        <v>8832.86</v>
      </c>
      <c r="I595" s="30"/>
      <c r="K595" t="s">
        <v>38</v>
      </c>
    </row>
    <row r="596" spans="2:11" ht="13" x14ac:dyDescent="0.15">
      <c r="B596" s="29" t="s">
        <v>848</v>
      </c>
      <c r="C596" s="29" t="s">
        <v>788</v>
      </c>
      <c r="D596" s="31">
        <f>SUMIFS(D597:D1057,K597:K1057,"0",B597:B1057,"5 1 1 3 4 12 31111 6 M78 17000 172 00I 001 13406*")-SUMIFS(E597:E1057,K597:K1057,"0",B597:B1057,"5 1 1 3 4 12 31111 6 M78 17000 172 00I 001 13406*")</f>
        <v>0</v>
      </c>
      <c r="E596"/>
      <c r="F596" s="31">
        <f>SUMIFS(F597:F1057,K597:K1057,"0",B597:B1057,"5 1 1 3 4 12 31111 6 M78 17000 172 00I 001 13406*")</f>
        <v>81968.350000000006</v>
      </c>
      <c r="G596" s="31">
        <f>SUMIFS(G597:G1057,K597:K1057,"0",B597:B1057,"5 1 1 3 4 12 31111 6 M78 17000 172 00I 001 13406*")</f>
        <v>0</v>
      </c>
      <c r="H596" s="31">
        <f t="shared" si="12"/>
        <v>81968.350000000006</v>
      </c>
      <c r="I596" s="31"/>
      <c r="K596" t="s">
        <v>14</v>
      </c>
    </row>
    <row r="597" spans="2:11" ht="13" x14ac:dyDescent="0.15">
      <c r="B597" s="29" t="s">
        <v>849</v>
      </c>
      <c r="C597" s="29" t="s">
        <v>186</v>
      </c>
      <c r="D597" s="31">
        <f>SUMIFS(D598:D1057,K598:K1057,"0",B598:B1057,"5 1 1 3 4 12 31111 6 M78 17000 172 00I 001 13406 025*")-SUMIFS(E598:E1057,K598:K1057,"0",B598:B1057,"5 1 1 3 4 12 31111 6 M78 17000 172 00I 001 13406 025*")</f>
        <v>0</v>
      </c>
      <c r="E597"/>
      <c r="F597" s="31">
        <f>SUMIFS(F598:F1057,K598:K1057,"0",B598:B1057,"5 1 1 3 4 12 31111 6 M78 17000 172 00I 001 13406 025*")</f>
        <v>81968.350000000006</v>
      </c>
      <c r="G597" s="31">
        <f>SUMIFS(G598:G1057,K598:K1057,"0",B598:B1057,"5 1 1 3 4 12 31111 6 M78 17000 172 00I 001 13406 025*")</f>
        <v>0</v>
      </c>
      <c r="H597" s="31">
        <f t="shared" si="12"/>
        <v>81968.350000000006</v>
      </c>
      <c r="I597" s="31"/>
      <c r="K597" t="s">
        <v>14</v>
      </c>
    </row>
    <row r="598" spans="2:11" ht="22" x14ac:dyDescent="0.15">
      <c r="B598" s="29" t="s">
        <v>850</v>
      </c>
      <c r="C598" s="29" t="s">
        <v>640</v>
      </c>
      <c r="D598" s="31">
        <f>SUMIFS(D599:D1057,K599:K1057,"0",B599:B1057,"5 1 1 3 4 12 31111 6 M78 17000 172 00I 001 13406 025 2111100*")-SUMIFS(E599:E1057,K599:K1057,"0",B599:B1057,"5 1 1 3 4 12 31111 6 M78 17000 172 00I 001 13406 025 2111100*")</f>
        <v>0</v>
      </c>
      <c r="E598"/>
      <c r="F598" s="31">
        <f>SUMIFS(F599:F1057,K599:K1057,"0",B599:B1057,"5 1 1 3 4 12 31111 6 M78 17000 172 00I 001 13406 025 2111100*")</f>
        <v>81968.350000000006</v>
      </c>
      <c r="G598" s="31">
        <f>SUMIFS(G599:G1057,K599:K1057,"0",B599:B1057,"5 1 1 3 4 12 31111 6 M78 17000 172 00I 001 13406 025 2111100*")</f>
        <v>0</v>
      </c>
      <c r="H598" s="31">
        <f t="shared" si="12"/>
        <v>81968.350000000006</v>
      </c>
      <c r="I598" s="31"/>
      <c r="K598" t="s">
        <v>14</v>
      </c>
    </row>
    <row r="599" spans="2:11" ht="22" x14ac:dyDescent="0.15">
      <c r="B599" s="29" t="s">
        <v>851</v>
      </c>
      <c r="C599" s="29" t="s">
        <v>294</v>
      </c>
      <c r="D599" s="31">
        <f>SUMIFS(D600:D1057,K600:K1057,"0",B600:B1057,"5 1 1 3 4 12 31111 6 M78 17000 172 00I 001 13406 025 2111100 2024*")-SUMIFS(E600:E1057,K600:K1057,"0",B600:B1057,"5 1 1 3 4 12 31111 6 M78 17000 172 00I 001 13406 025 2111100 2024*")</f>
        <v>0</v>
      </c>
      <c r="E599"/>
      <c r="F599" s="31">
        <f>SUMIFS(F600:F1057,K600:K1057,"0",B600:B1057,"5 1 1 3 4 12 31111 6 M78 17000 172 00I 001 13406 025 2111100 2024*")</f>
        <v>81968.350000000006</v>
      </c>
      <c r="G599" s="31">
        <f>SUMIFS(G600:G1057,K600:K1057,"0",B600:B1057,"5 1 1 3 4 12 31111 6 M78 17000 172 00I 001 13406 025 2111100 2024*")</f>
        <v>0</v>
      </c>
      <c r="H599" s="31">
        <f t="shared" si="12"/>
        <v>81968.350000000006</v>
      </c>
      <c r="I599" s="31"/>
      <c r="K599" t="s">
        <v>14</v>
      </c>
    </row>
    <row r="600" spans="2:11" ht="22" x14ac:dyDescent="0.15">
      <c r="B600" s="29" t="s">
        <v>852</v>
      </c>
      <c r="C600" s="29" t="s">
        <v>192</v>
      </c>
      <c r="D600" s="31">
        <f>SUMIFS(D601:D1057,K601:K1057,"0",B601:B1057,"5 1 1 3 4 12 31111 6 M78 17000 172 00I 001 13406 025 2111100 2024 00000000*")-SUMIFS(E601:E1057,K601:K1057,"0",B601:B1057,"5 1 1 3 4 12 31111 6 M78 17000 172 00I 001 13406 025 2111100 2024 00000000*")</f>
        <v>0</v>
      </c>
      <c r="E600"/>
      <c r="F600" s="31">
        <f>SUMIFS(F601:F1057,K601:K1057,"0",B601:B1057,"5 1 1 3 4 12 31111 6 M78 17000 172 00I 001 13406 025 2111100 2024 00000000*")</f>
        <v>81968.350000000006</v>
      </c>
      <c r="G600" s="31">
        <f>SUMIFS(G601:G1057,K601:K1057,"0",B601:B1057,"5 1 1 3 4 12 31111 6 M78 17000 172 00I 001 13406 025 2111100 2024 00000000*")</f>
        <v>0</v>
      </c>
      <c r="H600" s="31">
        <f t="shared" si="12"/>
        <v>81968.350000000006</v>
      </c>
      <c r="I600" s="31"/>
      <c r="K600" t="s">
        <v>14</v>
      </c>
    </row>
    <row r="601" spans="2:11" ht="22" x14ac:dyDescent="0.15">
      <c r="B601" s="29" t="s">
        <v>853</v>
      </c>
      <c r="C601" s="29" t="s">
        <v>9</v>
      </c>
      <c r="D601" s="31">
        <f>SUMIFS(D602:D1057,K602:K1057,"0",B602:B1057,"5 1 1 3 4 12 31111 6 M78 17000 172 00I 001 13406 025 2111100 2024 00000000 003*")-SUMIFS(E602:E1057,K602:K1057,"0",B602:B1057,"5 1 1 3 4 12 31111 6 M78 17000 172 00I 001 13406 025 2111100 2024 00000000 003*")</f>
        <v>0</v>
      </c>
      <c r="E601"/>
      <c r="F601" s="31">
        <f>SUMIFS(F602:F1057,K602:K1057,"0",B602:B1057,"5 1 1 3 4 12 31111 6 M78 17000 172 00I 001 13406 025 2111100 2024 00000000 003*")</f>
        <v>81968.350000000006</v>
      </c>
      <c r="G601" s="31">
        <f>SUMIFS(G602:G1057,K602:K1057,"0",B602:B1057,"5 1 1 3 4 12 31111 6 M78 17000 172 00I 001 13406 025 2111100 2024 00000000 003*")</f>
        <v>0</v>
      </c>
      <c r="H601" s="31">
        <f t="shared" si="12"/>
        <v>81968.350000000006</v>
      </c>
      <c r="I601" s="31"/>
      <c r="K601" t="s">
        <v>14</v>
      </c>
    </row>
    <row r="602" spans="2:11" ht="22" x14ac:dyDescent="0.15">
      <c r="B602" s="29" t="s">
        <v>854</v>
      </c>
      <c r="C602" s="29" t="s">
        <v>705</v>
      </c>
      <c r="D602" s="31">
        <f>SUMIFS(D603:D1057,K603:K1057,"0",B603:B1057,"5 1 1 3 4 12 31111 6 M78 17000 172 00I 001 13406 025 2111100 2024 00000000 003 001*")-SUMIFS(E603:E1057,K603:K1057,"0",B603:B1057,"5 1 1 3 4 12 31111 6 M78 17000 172 00I 001 13406 025 2111100 2024 00000000 003 001*")</f>
        <v>0</v>
      </c>
      <c r="E602"/>
      <c r="F602" s="31">
        <f>SUMIFS(F603:F1057,K603:K1057,"0",B603:B1057,"5 1 1 3 4 12 31111 6 M78 17000 172 00I 001 13406 025 2111100 2024 00000000 003 001*")</f>
        <v>81968.350000000006</v>
      </c>
      <c r="G602" s="31">
        <f>SUMIFS(G603:G1057,K603:K1057,"0",B603:B1057,"5 1 1 3 4 12 31111 6 M78 17000 172 00I 001 13406 025 2111100 2024 00000000 003 001*")</f>
        <v>0</v>
      </c>
      <c r="H602" s="31">
        <f t="shared" si="12"/>
        <v>81968.350000000006</v>
      </c>
      <c r="I602" s="31"/>
      <c r="K602" t="s">
        <v>14</v>
      </c>
    </row>
    <row r="603" spans="2:11" ht="22" x14ac:dyDescent="0.15">
      <c r="B603" s="27" t="s">
        <v>855</v>
      </c>
      <c r="C603" s="27" t="s">
        <v>809</v>
      </c>
      <c r="D603" s="30">
        <v>0</v>
      </c>
      <c r="E603" s="30"/>
      <c r="F603" s="30">
        <v>81968.350000000006</v>
      </c>
      <c r="G603" s="30">
        <v>0</v>
      </c>
      <c r="H603" s="30">
        <f t="shared" si="12"/>
        <v>81968.350000000006</v>
      </c>
      <c r="I603" s="30"/>
      <c r="K603" t="s">
        <v>38</v>
      </c>
    </row>
    <row r="604" spans="2:11" ht="13" x14ac:dyDescent="0.15">
      <c r="B604" s="29" t="s">
        <v>856</v>
      </c>
      <c r="C604" s="29" t="s">
        <v>857</v>
      </c>
      <c r="D604" s="31">
        <f>SUMIFS(D605:D1057,K605:K1057,"0",B605:B1057,"5 1 1 5*")-SUMIFS(E605:E1057,K605:K1057,"0",B605:B1057,"5 1 1 5*")</f>
        <v>0</v>
      </c>
      <c r="E604"/>
      <c r="F604" s="31">
        <f>SUMIFS(F605:F1057,K605:K1057,"0",B605:B1057,"5 1 1 5*")</f>
        <v>93000</v>
      </c>
      <c r="G604" s="31">
        <f>SUMIFS(G605:G1057,K605:K1057,"0",B605:B1057,"5 1 1 5*")</f>
        <v>0</v>
      </c>
      <c r="H604" s="31">
        <f t="shared" si="12"/>
        <v>93000</v>
      </c>
      <c r="I604" s="31"/>
      <c r="K604" t="s">
        <v>14</v>
      </c>
    </row>
    <row r="605" spans="2:11" ht="13" x14ac:dyDescent="0.15">
      <c r="B605" s="29" t="s">
        <v>858</v>
      </c>
      <c r="C605" s="29" t="s">
        <v>859</v>
      </c>
      <c r="D605" s="31">
        <f>SUMIFS(D606:D1057,K606:K1057,"0",B606:B1057,"5 1 1 5 2*")-SUMIFS(E606:E1057,K606:K1057,"0",B606:B1057,"5 1 1 5 2*")</f>
        <v>0</v>
      </c>
      <c r="E605"/>
      <c r="F605" s="31">
        <f>SUMIFS(F606:F1057,K606:K1057,"0",B606:B1057,"5 1 1 5 2*")</f>
        <v>93000</v>
      </c>
      <c r="G605" s="31">
        <f>SUMIFS(G606:G1057,K606:K1057,"0",B606:B1057,"5 1 1 5 2*")</f>
        <v>0</v>
      </c>
      <c r="H605" s="31">
        <f t="shared" si="12"/>
        <v>93000</v>
      </c>
      <c r="I605" s="31"/>
      <c r="K605" t="s">
        <v>14</v>
      </c>
    </row>
    <row r="606" spans="2:11" ht="13" x14ac:dyDescent="0.15">
      <c r="B606" s="29" t="s">
        <v>860</v>
      </c>
      <c r="C606" s="29" t="s">
        <v>25</v>
      </c>
      <c r="D606" s="31">
        <f>SUMIFS(D607:D1057,K607:K1057,"0",B607:B1057,"5 1 1 5 2 12*")-SUMIFS(E607:E1057,K607:K1057,"0",B607:B1057,"5 1 1 5 2 12*")</f>
        <v>0</v>
      </c>
      <c r="E606"/>
      <c r="F606" s="31">
        <f>SUMIFS(F607:F1057,K607:K1057,"0",B607:B1057,"5 1 1 5 2 12*")</f>
        <v>93000</v>
      </c>
      <c r="G606" s="31">
        <f>SUMIFS(G607:G1057,K607:K1057,"0",B607:B1057,"5 1 1 5 2 12*")</f>
        <v>0</v>
      </c>
      <c r="H606" s="31">
        <f t="shared" si="12"/>
        <v>93000</v>
      </c>
      <c r="I606" s="31"/>
      <c r="K606" t="s">
        <v>14</v>
      </c>
    </row>
    <row r="607" spans="2:11" ht="13" x14ac:dyDescent="0.15">
      <c r="B607" s="29" t="s">
        <v>861</v>
      </c>
      <c r="C607" s="29" t="s">
        <v>27</v>
      </c>
      <c r="D607" s="31">
        <f>SUMIFS(D608:D1057,K608:K1057,"0",B608:B1057,"5 1 1 5 2 12 31111*")-SUMIFS(E608:E1057,K608:K1057,"0",B608:B1057,"5 1 1 5 2 12 31111*")</f>
        <v>0</v>
      </c>
      <c r="E607"/>
      <c r="F607" s="31">
        <f>SUMIFS(F608:F1057,K608:K1057,"0",B608:B1057,"5 1 1 5 2 12 31111*")</f>
        <v>93000</v>
      </c>
      <c r="G607" s="31">
        <f>SUMIFS(G608:G1057,K608:K1057,"0",B608:B1057,"5 1 1 5 2 12 31111*")</f>
        <v>0</v>
      </c>
      <c r="H607" s="31">
        <f t="shared" si="12"/>
        <v>93000</v>
      </c>
      <c r="I607" s="31"/>
      <c r="K607" t="s">
        <v>14</v>
      </c>
    </row>
    <row r="608" spans="2:11" ht="13" x14ac:dyDescent="0.15">
      <c r="B608" s="29" t="s">
        <v>862</v>
      </c>
      <c r="C608" s="29" t="s">
        <v>29</v>
      </c>
      <c r="D608" s="31">
        <f>SUMIFS(D609:D1057,K609:K1057,"0",B609:B1057,"5 1 1 5 2 12 31111 6*")-SUMIFS(E609:E1057,K609:K1057,"0",B609:B1057,"5 1 1 5 2 12 31111 6*")</f>
        <v>0</v>
      </c>
      <c r="E608"/>
      <c r="F608" s="31">
        <f>SUMIFS(F609:F1057,K609:K1057,"0",B609:B1057,"5 1 1 5 2 12 31111 6*")</f>
        <v>93000</v>
      </c>
      <c r="G608" s="31">
        <f>SUMIFS(G609:G1057,K609:K1057,"0",B609:B1057,"5 1 1 5 2 12 31111 6*")</f>
        <v>0</v>
      </c>
      <c r="H608" s="31">
        <f t="shared" si="12"/>
        <v>93000</v>
      </c>
      <c r="I608" s="31"/>
      <c r="K608" t="s">
        <v>14</v>
      </c>
    </row>
    <row r="609" spans="2:11" ht="13" x14ac:dyDescent="0.15">
      <c r="B609" s="29" t="s">
        <v>863</v>
      </c>
      <c r="C609" s="29" t="s">
        <v>629</v>
      </c>
      <c r="D609" s="31">
        <f>SUMIFS(D610:D1057,K610:K1057,"0",B610:B1057,"5 1 1 5 2 12 31111 6 M78*")-SUMIFS(E610:E1057,K610:K1057,"0",B610:B1057,"5 1 1 5 2 12 31111 6 M78*")</f>
        <v>0</v>
      </c>
      <c r="E609"/>
      <c r="F609" s="31">
        <f>SUMIFS(F610:F1057,K610:K1057,"0",B610:B1057,"5 1 1 5 2 12 31111 6 M78*")</f>
        <v>93000</v>
      </c>
      <c r="G609" s="31">
        <f>SUMIFS(G610:G1057,K610:K1057,"0",B610:B1057,"5 1 1 5 2 12 31111 6 M78*")</f>
        <v>0</v>
      </c>
      <c r="H609" s="31">
        <f t="shared" si="12"/>
        <v>93000</v>
      </c>
      <c r="I609" s="31"/>
      <c r="K609" t="s">
        <v>14</v>
      </c>
    </row>
    <row r="610" spans="2:11" ht="13" x14ac:dyDescent="0.15">
      <c r="B610" s="29" t="s">
        <v>864</v>
      </c>
      <c r="C610" s="29" t="s">
        <v>176</v>
      </c>
      <c r="D610" s="31">
        <f>SUMIFS(D611:D1057,K611:K1057,"0",B611:B1057,"5 1 1 5 2 12 31111 6 M78 15000*")-SUMIFS(E611:E1057,K611:K1057,"0",B611:B1057,"5 1 1 5 2 12 31111 6 M78 15000*")</f>
        <v>0</v>
      </c>
      <c r="E610"/>
      <c r="F610" s="31">
        <f>SUMIFS(F611:F1057,K611:K1057,"0",B611:B1057,"5 1 1 5 2 12 31111 6 M78 15000*")</f>
        <v>93000</v>
      </c>
      <c r="G610" s="31">
        <f>SUMIFS(G611:G1057,K611:K1057,"0",B611:B1057,"5 1 1 5 2 12 31111 6 M78 15000*")</f>
        <v>0</v>
      </c>
      <c r="H610" s="31">
        <f t="shared" si="12"/>
        <v>93000</v>
      </c>
      <c r="I610" s="31"/>
      <c r="K610" t="s">
        <v>14</v>
      </c>
    </row>
    <row r="611" spans="2:11" ht="13" x14ac:dyDescent="0.15">
      <c r="B611" s="29" t="s">
        <v>865</v>
      </c>
      <c r="C611" s="29" t="s">
        <v>178</v>
      </c>
      <c r="D611" s="31">
        <f>SUMIFS(D612:D1057,K612:K1057,"0",B612:B1057,"5 1 1 5 2 12 31111 6 M78 15000 171*")-SUMIFS(E612:E1057,K612:K1057,"0",B612:B1057,"5 1 1 5 2 12 31111 6 M78 15000 171*")</f>
        <v>0</v>
      </c>
      <c r="E611"/>
      <c r="F611" s="31">
        <f>SUMIFS(F612:F1057,K612:K1057,"0",B612:B1057,"5 1 1 5 2 12 31111 6 M78 15000 171*")</f>
        <v>93000</v>
      </c>
      <c r="G611" s="31">
        <f>SUMIFS(G612:G1057,K612:K1057,"0",B612:B1057,"5 1 1 5 2 12 31111 6 M78 15000 171*")</f>
        <v>0</v>
      </c>
      <c r="H611" s="31">
        <f t="shared" si="12"/>
        <v>93000</v>
      </c>
      <c r="I611" s="31"/>
      <c r="K611" t="s">
        <v>14</v>
      </c>
    </row>
    <row r="612" spans="2:11" ht="13" x14ac:dyDescent="0.15">
      <c r="B612" s="29" t="s">
        <v>866</v>
      </c>
      <c r="C612" s="29" t="s">
        <v>180</v>
      </c>
      <c r="D612" s="31">
        <f>SUMIFS(D613:D1057,K613:K1057,"0",B613:B1057,"5 1 1 5 2 12 31111 6 M78 15000 171 00I*")-SUMIFS(E613:E1057,K613:K1057,"0",B613:B1057,"5 1 1 5 2 12 31111 6 M78 15000 171 00I*")</f>
        <v>0</v>
      </c>
      <c r="E612"/>
      <c r="F612" s="31">
        <f>SUMIFS(F613:F1057,K613:K1057,"0",B613:B1057,"5 1 1 5 2 12 31111 6 M78 15000 171 00I*")</f>
        <v>93000</v>
      </c>
      <c r="G612" s="31">
        <f>SUMIFS(G613:G1057,K613:K1057,"0",B613:B1057,"5 1 1 5 2 12 31111 6 M78 15000 171 00I*")</f>
        <v>0</v>
      </c>
      <c r="H612" s="31">
        <f t="shared" si="12"/>
        <v>93000</v>
      </c>
      <c r="I612" s="31"/>
      <c r="K612" t="s">
        <v>14</v>
      </c>
    </row>
    <row r="613" spans="2:11" ht="13" x14ac:dyDescent="0.15">
      <c r="B613" s="29" t="s">
        <v>867</v>
      </c>
      <c r="C613" s="29" t="s">
        <v>562</v>
      </c>
      <c r="D613" s="31">
        <f>SUMIFS(D614:D1057,K614:K1057,"0",B614:B1057,"5 1 1 5 2 12 31111 6 M78 15000 171 00I 001*")-SUMIFS(E614:E1057,K614:K1057,"0",B614:B1057,"5 1 1 5 2 12 31111 6 M78 15000 171 00I 001*")</f>
        <v>0</v>
      </c>
      <c r="E613"/>
      <c r="F613" s="31">
        <f>SUMIFS(F614:F1057,K614:K1057,"0",B614:B1057,"5 1 1 5 2 12 31111 6 M78 15000 171 00I 001*")</f>
        <v>93000</v>
      </c>
      <c r="G613" s="31">
        <f>SUMIFS(G614:G1057,K614:K1057,"0",B614:B1057,"5 1 1 5 2 12 31111 6 M78 15000 171 00I 001*")</f>
        <v>0</v>
      </c>
      <c r="H613" s="31">
        <f t="shared" si="12"/>
        <v>93000</v>
      </c>
      <c r="I613" s="31"/>
      <c r="K613" t="s">
        <v>14</v>
      </c>
    </row>
    <row r="614" spans="2:11" ht="13" x14ac:dyDescent="0.15">
      <c r="B614" s="29" t="s">
        <v>868</v>
      </c>
      <c r="C614" s="29" t="s">
        <v>869</v>
      </c>
      <c r="D614" s="31">
        <f>SUMIFS(D615:D1057,K615:K1057,"0",B615:B1057,"5 1 1 5 2 12 31111 6 M78 15000 171 00I 001 15202*")-SUMIFS(E615:E1057,K615:K1057,"0",B615:B1057,"5 1 1 5 2 12 31111 6 M78 15000 171 00I 001 15202*")</f>
        <v>0</v>
      </c>
      <c r="E614"/>
      <c r="F614" s="31">
        <f>SUMIFS(F615:F1057,K615:K1057,"0",B615:B1057,"5 1 1 5 2 12 31111 6 M78 15000 171 00I 001 15202*")</f>
        <v>93000</v>
      </c>
      <c r="G614" s="31">
        <f>SUMIFS(G615:G1057,K615:K1057,"0",B615:B1057,"5 1 1 5 2 12 31111 6 M78 15000 171 00I 001 15202*")</f>
        <v>0</v>
      </c>
      <c r="H614" s="31">
        <f t="shared" si="12"/>
        <v>93000</v>
      </c>
      <c r="I614" s="31"/>
      <c r="K614" t="s">
        <v>14</v>
      </c>
    </row>
    <row r="615" spans="2:11" ht="13" x14ac:dyDescent="0.15">
      <c r="B615" s="29" t="s">
        <v>870</v>
      </c>
      <c r="C615" s="29" t="s">
        <v>186</v>
      </c>
      <c r="D615" s="31">
        <f>SUMIFS(D616:D1057,K616:K1057,"0",B616:B1057,"5 1 1 5 2 12 31111 6 M78 15000 171 00I 001 15202 025*")-SUMIFS(E616:E1057,K616:K1057,"0",B616:B1057,"5 1 1 5 2 12 31111 6 M78 15000 171 00I 001 15202 025*")</f>
        <v>0</v>
      </c>
      <c r="E615"/>
      <c r="F615" s="31">
        <f>SUMIFS(F616:F1057,K616:K1057,"0",B616:B1057,"5 1 1 5 2 12 31111 6 M78 15000 171 00I 001 15202 025*")</f>
        <v>93000</v>
      </c>
      <c r="G615" s="31">
        <f>SUMIFS(G616:G1057,K616:K1057,"0",B616:B1057,"5 1 1 5 2 12 31111 6 M78 15000 171 00I 001 15202 025*")</f>
        <v>0</v>
      </c>
      <c r="H615" s="31">
        <f t="shared" si="12"/>
        <v>93000</v>
      </c>
      <c r="I615" s="31"/>
      <c r="K615" t="s">
        <v>14</v>
      </c>
    </row>
    <row r="616" spans="2:11" ht="22" x14ac:dyDescent="0.15">
      <c r="B616" s="29" t="s">
        <v>871</v>
      </c>
      <c r="C616" s="29" t="s">
        <v>640</v>
      </c>
      <c r="D616" s="31">
        <f>SUMIFS(D617:D1057,K617:K1057,"0",B617:B1057,"5 1 1 5 2 12 31111 6 M78 15000 171 00I 001 15202 025 2111100*")-SUMIFS(E617:E1057,K617:K1057,"0",B617:B1057,"5 1 1 5 2 12 31111 6 M78 15000 171 00I 001 15202 025 2111100*")</f>
        <v>0</v>
      </c>
      <c r="E616"/>
      <c r="F616" s="31">
        <f>SUMIFS(F617:F1057,K617:K1057,"0",B617:B1057,"5 1 1 5 2 12 31111 6 M78 15000 171 00I 001 15202 025 2111100*")</f>
        <v>93000</v>
      </c>
      <c r="G616" s="31">
        <f>SUMIFS(G617:G1057,K617:K1057,"0",B617:B1057,"5 1 1 5 2 12 31111 6 M78 15000 171 00I 001 15202 025 2111100*")</f>
        <v>0</v>
      </c>
      <c r="H616" s="31">
        <f t="shared" si="12"/>
        <v>93000</v>
      </c>
      <c r="I616" s="31"/>
      <c r="K616" t="s">
        <v>14</v>
      </c>
    </row>
    <row r="617" spans="2:11" ht="22" x14ac:dyDescent="0.15">
      <c r="B617" s="29" t="s">
        <v>872</v>
      </c>
      <c r="C617" s="29" t="s">
        <v>294</v>
      </c>
      <c r="D617" s="31">
        <f>SUMIFS(D618:D1057,K618:K1057,"0",B618:B1057,"5 1 1 5 2 12 31111 6 M78 15000 171 00I 001 15202 025 2111100 2024*")-SUMIFS(E618:E1057,K618:K1057,"0",B618:B1057,"5 1 1 5 2 12 31111 6 M78 15000 171 00I 001 15202 025 2111100 2024*")</f>
        <v>0</v>
      </c>
      <c r="E617"/>
      <c r="F617" s="31">
        <f>SUMIFS(F618:F1057,K618:K1057,"0",B618:B1057,"5 1 1 5 2 12 31111 6 M78 15000 171 00I 001 15202 025 2111100 2024*")</f>
        <v>93000</v>
      </c>
      <c r="G617" s="31">
        <f>SUMIFS(G618:G1057,K618:K1057,"0",B618:B1057,"5 1 1 5 2 12 31111 6 M78 15000 171 00I 001 15202 025 2111100 2024*")</f>
        <v>0</v>
      </c>
      <c r="H617" s="31">
        <f t="shared" si="12"/>
        <v>93000</v>
      </c>
      <c r="I617" s="31"/>
      <c r="K617" t="s">
        <v>14</v>
      </c>
    </row>
    <row r="618" spans="2:11" ht="22" x14ac:dyDescent="0.15">
      <c r="B618" s="29" t="s">
        <v>873</v>
      </c>
      <c r="C618" s="29" t="s">
        <v>192</v>
      </c>
      <c r="D618" s="31">
        <f>SUMIFS(D619:D1057,K619:K1057,"0",B619:B1057,"5 1 1 5 2 12 31111 6 M78 15000 171 00I 001 15202 025 2111100 2024 00000000*")-SUMIFS(E619:E1057,K619:K1057,"0",B619:B1057,"5 1 1 5 2 12 31111 6 M78 15000 171 00I 001 15202 025 2111100 2024 00000000*")</f>
        <v>0</v>
      </c>
      <c r="E618"/>
      <c r="F618" s="31">
        <f>SUMIFS(F619:F1057,K619:K1057,"0",B619:B1057,"5 1 1 5 2 12 31111 6 M78 15000 171 00I 001 15202 025 2111100 2024 00000000*")</f>
        <v>93000</v>
      </c>
      <c r="G618" s="31">
        <f>SUMIFS(G619:G1057,K619:K1057,"0",B619:B1057,"5 1 1 5 2 12 31111 6 M78 15000 171 00I 001 15202 025 2111100 2024 00000000*")</f>
        <v>0</v>
      </c>
      <c r="H618" s="31">
        <f t="shared" si="12"/>
        <v>93000</v>
      </c>
      <c r="I618" s="31"/>
      <c r="K618" t="s">
        <v>14</v>
      </c>
    </row>
    <row r="619" spans="2:11" ht="22" x14ac:dyDescent="0.15">
      <c r="B619" s="29" t="s">
        <v>874</v>
      </c>
      <c r="C619" s="29" t="s">
        <v>9</v>
      </c>
      <c r="D619" s="31">
        <f>SUMIFS(D620:D1057,K620:K1057,"0",B620:B1057,"5 1 1 5 2 12 31111 6 M78 15000 171 00I 001 15202 025 2111100 2024 00000000 003*")-SUMIFS(E620:E1057,K620:K1057,"0",B620:B1057,"5 1 1 5 2 12 31111 6 M78 15000 171 00I 001 15202 025 2111100 2024 00000000 003*")</f>
        <v>0</v>
      </c>
      <c r="E619"/>
      <c r="F619" s="31">
        <f>SUMIFS(F620:F1057,K620:K1057,"0",B620:B1057,"5 1 1 5 2 12 31111 6 M78 15000 171 00I 001 15202 025 2111100 2024 00000000 003*")</f>
        <v>93000</v>
      </c>
      <c r="G619" s="31">
        <f>SUMIFS(G620:G1057,K620:K1057,"0",B620:B1057,"5 1 1 5 2 12 31111 6 M78 15000 171 00I 001 15202 025 2111100 2024 00000000 003*")</f>
        <v>0</v>
      </c>
      <c r="H619" s="31">
        <f t="shared" si="12"/>
        <v>93000</v>
      </c>
      <c r="I619" s="31"/>
      <c r="K619" t="s">
        <v>14</v>
      </c>
    </row>
    <row r="620" spans="2:11" ht="22" x14ac:dyDescent="0.15">
      <c r="B620" s="27" t="s">
        <v>875</v>
      </c>
      <c r="C620" s="27" t="s">
        <v>876</v>
      </c>
      <c r="D620" s="30">
        <v>0</v>
      </c>
      <c r="E620" s="30"/>
      <c r="F620" s="30">
        <v>93000</v>
      </c>
      <c r="G620" s="30">
        <v>0</v>
      </c>
      <c r="H620" s="30">
        <f t="shared" si="12"/>
        <v>93000</v>
      </c>
      <c r="I620" s="30"/>
      <c r="K620" t="s">
        <v>38</v>
      </c>
    </row>
    <row r="621" spans="2:11" ht="13" x14ac:dyDescent="0.15">
      <c r="B621" s="29" t="s">
        <v>877</v>
      </c>
      <c r="C621" s="29" t="s">
        <v>878</v>
      </c>
      <c r="D621" s="31">
        <f>SUMIFS(D622:D1057,K622:K1057,"0",B622:B1057,"5 1 1 6*")-SUMIFS(E622:E1057,K622:K1057,"0",B622:B1057,"5 1 1 6*")</f>
        <v>0</v>
      </c>
      <c r="E621"/>
      <c r="F621" s="31">
        <f>SUMIFS(F622:F1057,K622:K1057,"0",B622:B1057,"5 1 1 6*")</f>
        <v>345500</v>
      </c>
      <c r="G621" s="31">
        <f>SUMIFS(G622:G1057,K622:K1057,"0",B622:B1057,"5 1 1 6*")</f>
        <v>0</v>
      </c>
      <c r="H621" s="31">
        <f t="shared" si="12"/>
        <v>345500</v>
      </c>
      <c r="I621" s="31"/>
      <c r="K621" t="s">
        <v>14</v>
      </c>
    </row>
    <row r="622" spans="2:11" ht="13" x14ac:dyDescent="0.15">
      <c r="B622" s="29" t="s">
        <v>879</v>
      </c>
      <c r="C622" s="29" t="s">
        <v>880</v>
      </c>
      <c r="D622" s="31">
        <f>SUMIFS(D623:D1057,K623:K1057,"0",B623:B1057,"5 1 1 6 1*")-SUMIFS(E623:E1057,K623:K1057,"0",B623:B1057,"5 1 1 6 1*")</f>
        <v>0</v>
      </c>
      <c r="E622"/>
      <c r="F622" s="31">
        <f>SUMIFS(F623:F1057,K623:K1057,"0",B623:B1057,"5 1 1 6 1*")</f>
        <v>345500</v>
      </c>
      <c r="G622" s="31">
        <f>SUMIFS(G623:G1057,K623:K1057,"0",B623:B1057,"5 1 1 6 1*")</f>
        <v>0</v>
      </c>
      <c r="H622" s="31">
        <f t="shared" si="12"/>
        <v>345500</v>
      </c>
      <c r="I622" s="31"/>
      <c r="K622" t="s">
        <v>14</v>
      </c>
    </row>
    <row r="623" spans="2:11" ht="13" x14ac:dyDescent="0.15">
      <c r="B623" s="29" t="s">
        <v>881</v>
      </c>
      <c r="C623" s="29" t="s">
        <v>25</v>
      </c>
      <c r="D623" s="31">
        <f>SUMIFS(D624:D1057,K624:K1057,"0",B624:B1057,"5 1 1 6 1 12*")-SUMIFS(E624:E1057,K624:K1057,"0",B624:B1057,"5 1 1 6 1 12*")</f>
        <v>0</v>
      </c>
      <c r="E623"/>
      <c r="F623" s="31">
        <f>SUMIFS(F624:F1057,K624:K1057,"0",B624:B1057,"5 1 1 6 1 12*")</f>
        <v>345500</v>
      </c>
      <c r="G623" s="31">
        <f>SUMIFS(G624:G1057,K624:K1057,"0",B624:B1057,"5 1 1 6 1 12*")</f>
        <v>0</v>
      </c>
      <c r="H623" s="31">
        <f t="shared" si="12"/>
        <v>345500</v>
      </c>
      <c r="I623" s="31"/>
      <c r="K623" t="s">
        <v>14</v>
      </c>
    </row>
    <row r="624" spans="2:11" ht="13" x14ac:dyDescent="0.15">
      <c r="B624" s="29" t="s">
        <v>882</v>
      </c>
      <c r="C624" s="29" t="s">
        <v>27</v>
      </c>
      <c r="D624" s="31">
        <f>SUMIFS(D625:D1057,K625:K1057,"0",B625:B1057,"5 1 1 6 1 12 31111*")-SUMIFS(E625:E1057,K625:K1057,"0",B625:B1057,"5 1 1 6 1 12 31111*")</f>
        <v>0</v>
      </c>
      <c r="E624"/>
      <c r="F624" s="31">
        <f>SUMIFS(F625:F1057,K625:K1057,"0",B625:B1057,"5 1 1 6 1 12 31111*")</f>
        <v>345500</v>
      </c>
      <c r="G624" s="31">
        <f>SUMIFS(G625:G1057,K625:K1057,"0",B625:B1057,"5 1 1 6 1 12 31111*")</f>
        <v>0</v>
      </c>
      <c r="H624" s="31">
        <f t="shared" si="12"/>
        <v>345500</v>
      </c>
      <c r="I624" s="31"/>
      <c r="K624" t="s">
        <v>14</v>
      </c>
    </row>
    <row r="625" spans="2:11" ht="13" x14ac:dyDescent="0.15">
      <c r="B625" s="29" t="s">
        <v>883</v>
      </c>
      <c r="C625" s="29" t="s">
        <v>29</v>
      </c>
      <c r="D625" s="31">
        <f>SUMIFS(D626:D1057,K626:K1057,"0",B626:B1057,"5 1 1 6 1 12 31111 6*")-SUMIFS(E626:E1057,K626:K1057,"0",B626:B1057,"5 1 1 6 1 12 31111 6*")</f>
        <v>0</v>
      </c>
      <c r="E625"/>
      <c r="F625" s="31">
        <f>SUMIFS(F626:F1057,K626:K1057,"0",B626:B1057,"5 1 1 6 1 12 31111 6*")</f>
        <v>345500</v>
      </c>
      <c r="G625" s="31">
        <f>SUMIFS(G626:G1057,K626:K1057,"0",B626:B1057,"5 1 1 6 1 12 31111 6*")</f>
        <v>0</v>
      </c>
      <c r="H625" s="31">
        <f t="shared" si="12"/>
        <v>345500</v>
      </c>
      <c r="I625" s="31"/>
      <c r="K625" t="s">
        <v>14</v>
      </c>
    </row>
    <row r="626" spans="2:11" ht="13" x14ac:dyDescent="0.15">
      <c r="B626" s="29" t="s">
        <v>884</v>
      </c>
      <c r="C626" s="29" t="s">
        <v>629</v>
      </c>
      <c r="D626" s="31">
        <f>SUMIFS(D627:D1057,K627:K1057,"0",B627:B1057,"5 1 1 6 1 12 31111 6 M78*")-SUMIFS(E627:E1057,K627:K1057,"0",B627:B1057,"5 1 1 6 1 12 31111 6 M78*")</f>
        <v>0</v>
      </c>
      <c r="E626"/>
      <c r="F626" s="31">
        <f>SUMIFS(F627:F1057,K627:K1057,"0",B627:B1057,"5 1 1 6 1 12 31111 6 M78*")</f>
        <v>345500</v>
      </c>
      <c r="G626" s="31">
        <f>SUMIFS(G627:G1057,K627:K1057,"0",B627:B1057,"5 1 1 6 1 12 31111 6 M78*")</f>
        <v>0</v>
      </c>
      <c r="H626" s="31">
        <f t="shared" si="12"/>
        <v>345500</v>
      </c>
      <c r="I626" s="31"/>
      <c r="K626" t="s">
        <v>14</v>
      </c>
    </row>
    <row r="627" spans="2:11" ht="13" x14ac:dyDescent="0.15">
      <c r="B627" s="29" t="s">
        <v>885</v>
      </c>
      <c r="C627" s="29" t="s">
        <v>176</v>
      </c>
      <c r="D627" s="31">
        <f>SUMIFS(D628:D1057,K628:K1057,"0",B628:B1057,"5 1 1 6 1 12 31111 6 M78 15000*")-SUMIFS(E628:E1057,K628:K1057,"0",B628:B1057,"5 1 1 6 1 12 31111 6 M78 15000*")</f>
        <v>0</v>
      </c>
      <c r="E627"/>
      <c r="F627" s="31">
        <f>SUMIFS(F628:F1057,K628:K1057,"0",B628:B1057,"5 1 1 6 1 12 31111 6 M78 15000*")</f>
        <v>345500</v>
      </c>
      <c r="G627" s="31">
        <f>SUMIFS(G628:G1057,K628:K1057,"0",B628:B1057,"5 1 1 6 1 12 31111 6 M78 15000*")</f>
        <v>0</v>
      </c>
      <c r="H627" s="31">
        <f t="shared" si="12"/>
        <v>345500</v>
      </c>
      <c r="I627" s="31"/>
      <c r="K627" t="s">
        <v>14</v>
      </c>
    </row>
    <row r="628" spans="2:11" ht="13" x14ac:dyDescent="0.15">
      <c r="B628" s="29" t="s">
        <v>886</v>
      </c>
      <c r="C628" s="29" t="s">
        <v>178</v>
      </c>
      <c r="D628" s="31">
        <f>SUMIFS(D629:D1057,K629:K1057,"0",B629:B1057,"5 1 1 6 1 12 31111 6 M78 15000 171*")-SUMIFS(E629:E1057,K629:K1057,"0",B629:B1057,"5 1 1 6 1 12 31111 6 M78 15000 171*")</f>
        <v>0</v>
      </c>
      <c r="E628"/>
      <c r="F628" s="31">
        <f>SUMIFS(F629:F1057,K629:K1057,"0",B629:B1057,"5 1 1 6 1 12 31111 6 M78 15000 171*")</f>
        <v>345500</v>
      </c>
      <c r="G628" s="31">
        <f>SUMIFS(G629:G1057,K629:K1057,"0",B629:B1057,"5 1 1 6 1 12 31111 6 M78 15000 171*")</f>
        <v>0</v>
      </c>
      <c r="H628" s="31">
        <f t="shared" si="12"/>
        <v>345500</v>
      </c>
      <c r="I628" s="31"/>
      <c r="K628" t="s">
        <v>14</v>
      </c>
    </row>
    <row r="629" spans="2:11" ht="13" x14ac:dyDescent="0.15">
      <c r="B629" s="29" t="s">
        <v>887</v>
      </c>
      <c r="C629" s="29" t="s">
        <v>180</v>
      </c>
      <c r="D629" s="31">
        <f>SUMIFS(D630:D1057,K630:K1057,"0",B630:B1057,"5 1 1 6 1 12 31111 6 M78 15000 171 00I*")-SUMIFS(E630:E1057,K630:K1057,"0",B630:B1057,"5 1 1 6 1 12 31111 6 M78 15000 171 00I*")</f>
        <v>0</v>
      </c>
      <c r="E629"/>
      <c r="F629" s="31">
        <f>SUMIFS(F630:F1057,K630:K1057,"0",B630:B1057,"5 1 1 6 1 12 31111 6 M78 15000 171 00I*")</f>
        <v>345500</v>
      </c>
      <c r="G629" s="31">
        <f>SUMIFS(G630:G1057,K630:K1057,"0",B630:B1057,"5 1 1 6 1 12 31111 6 M78 15000 171 00I*")</f>
        <v>0</v>
      </c>
      <c r="H629" s="31">
        <f t="shared" si="12"/>
        <v>345500</v>
      </c>
      <c r="I629" s="31"/>
      <c r="K629" t="s">
        <v>14</v>
      </c>
    </row>
    <row r="630" spans="2:11" ht="13" x14ac:dyDescent="0.15">
      <c r="B630" s="29" t="s">
        <v>888</v>
      </c>
      <c r="C630" s="29" t="s">
        <v>562</v>
      </c>
      <c r="D630" s="31">
        <f>SUMIFS(D631:D1057,K631:K1057,"0",B631:B1057,"5 1 1 6 1 12 31111 6 M78 15000 171 00I 001*")-SUMIFS(E631:E1057,K631:K1057,"0",B631:B1057,"5 1 1 6 1 12 31111 6 M78 15000 171 00I 001*")</f>
        <v>0</v>
      </c>
      <c r="E630"/>
      <c r="F630" s="31">
        <f>SUMIFS(F631:F1057,K631:K1057,"0",B631:B1057,"5 1 1 6 1 12 31111 6 M78 15000 171 00I 001*")</f>
        <v>345500</v>
      </c>
      <c r="G630" s="31">
        <f>SUMIFS(G631:G1057,K631:K1057,"0",B631:B1057,"5 1 1 6 1 12 31111 6 M78 15000 171 00I 001*")</f>
        <v>0</v>
      </c>
      <c r="H630" s="31">
        <f t="shared" si="12"/>
        <v>345500</v>
      </c>
      <c r="I630" s="31"/>
      <c r="K630" t="s">
        <v>14</v>
      </c>
    </row>
    <row r="631" spans="2:11" ht="13" x14ac:dyDescent="0.15">
      <c r="B631" s="29" t="s">
        <v>889</v>
      </c>
      <c r="C631" s="29" t="s">
        <v>890</v>
      </c>
      <c r="D631" s="31">
        <f>SUMIFS(D632:D1057,K632:K1057,"0",B632:B1057,"5 1 1 6 1 12 31111 6 M78 15000 171 00I 001 17102*")-SUMIFS(E632:E1057,K632:K1057,"0",B632:B1057,"5 1 1 6 1 12 31111 6 M78 15000 171 00I 001 17102*")</f>
        <v>0</v>
      </c>
      <c r="E631"/>
      <c r="F631" s="31">
        <f>SUMIFS(F632:F1057,K632:K1057,"0",B632:B1057,"5 1 1 6 1 12 31111 6 M78 15000 171 00I 001 17102*")</f>
        <v>345500</v>
      </c>
      <c r="G631" s="31">
        <f>SUMIFS(G632:G1057,K632:K1057,"0",B632:B1057,"5 1 1 6 1 12 31111 6 M78 15000 171 00I 001 17102*")</f>
        <v>0</v>
      </c>
      <c r="H631" s="31">
        <f t="shared" si="12"/>
        <v>345500</v>
      </c>
      <c r="I631" s="31"/>
      <c r="K631" t="s">
        <v>14</v>
      </c>
    </row>
    <row r="632" spans="2:11" ht="13" x14ac:dyDescent="0.15">
      <c r="B632" s="29" t="s">
        <v>891</v>
      </c>
      <c r="C632" s="29" t="s">
        <v>186</v>
      </c>
      <c r="D632" s="31">
        <f>SUMIFS(D633:D1057,K633:K1057,"0",B633:B1057,"5 1 1 6 1 12 31111 6 M78 15000 171 00I 001 17102 025*")-SUMIFS(E633:E1057,K633:K1057,"0",B633:B1057,"5 1 1 6 1 12 31111 6 M78 15000 171 00I 001 17102 025*")</f>
        <v>0</v>
      </c>
      <c r="E632"/>
      <c r="F632" s="31">
        <f>SUMIFS(F633:F1057,K633:K1057,"0",B633:B1057,"5 1 1 6 1 12 31111 6 M78 15000 171 00I 001 17102 025*")</f>
        <v>345500</v>
      </c>
      <c r="G632" s="31">
        <f>SUMIFS(G633:G1057,K633:K1057,"0",B633:B1057,"5 1 1 6 1 12 31111 6 M78 15000 171 00I 001 17102 025*")</f>
        <v>0</v>
      </c>
      <c r="H632" s="31">
        <f t="shared" si="12"/>
        <v>345500</v>
      </c>
      <c r="I632" s="31"/>
      <c r="K632" t="s">
        <v>14</v>
      </c>
    </row>
    <row r="633" spans="2:11" ht="22" x14ac:dyDescent="0.15">
      <c r="B633" s="29" t="s">
        <v>892</v>
      </c>
      <c r="C633" s="29" t="s">
        <v>640</v>
      </c>
      <c r="D633" s="31">
        <f>SUMIFS(D634:D1057,K634:K1057,"0",B634:B1057,"5 1 1 6 1 12 31111 6 M78 15000 171 00I 001 17102 025 2111100*")-SUMIFS(E634:E1057,K634:K1057,"0",B634:B1057,"5 1 1 6 1 12 31111 6 M78 15000 171 00I 001 17102 025 2111100*")</f>
        <v>0</v>
      </c>
      <c r="E633"/>
      <c r="F633" s="31">
        <f>SUMIFS(F634:F1057,K634:K1057,"0",B634:B1057,"5 1 1 6 1 12 31111 6 M78 15000 171 00I 001 17102 025 2111100*")</f>
        <v>345500</v>
      </c>
      <c r="G633" s="31">
        <f>SUMIFS(G634:G1057,K634:K1057,"0",B634:B1057,"5 1 1 6 1 12 31111 6 M78 15000 171 00I 001 17102 025 2111100*")</f>
        <v>0</v>
      </c>
      <c r="H633" s="31">
        <f t="shared" si="12"/>
        <v>345500</v>
      </c>
      <c r="I633" s="31"/>
      <c r="K633" t="s">
        <v>14</v>
      </c>
    </row>
    <row r="634" spans="2:11" ht="22" x14ac:dyDescent="0.15">
      <c r="B634" s="29" t="s">
        <v>893</v>
      </c>
      <c r="C634" s="29" t="s">
        <v>294</v>
      </c>
      <c r="D634" s="31">
        <f>SUMIFS(D635:D1057,K635:K1057,"0",B635:B1057,"5 1 1 6 1 12 31111 6 M78 15000 171 00I 001 17102 025 2111100 2024*")-SUMIFS(E635:E1057,K635:K1057,"0",B635:B1057,"5 1 1 6 1 12 31111 6 M78 15000 171 00I 001 17102 025 2111100 2024*")</f>
        <v>0</v>
      </c>
      <c r="E634"/>
      <c r="F634" s="31">
        <f>SUMIFS(F635:F1057,K635:K1057,"0",B635:B1057,"5 1 1 6 1 12 31111 6 M78 15000 171 00I 001 17102 025 2111100 2024*")</f>
        <v>345500</v>
      </c>
      <c r="G634" s="31">
        <f>SUMIFS(G635:G1057,K635:K1057,"0",B635:B1057,"5 1 1 6 1 12 31111 6 M78 15000 171 00I 001 17102 025 2111100 2024*")</f>
        <v>0</v>
      </c>
      <c r="H634" s="31">
        <f t="shared" si="12"/>
        <v>345500</v>
      </c>
      <c r="I634" s="31"/>
      <c r="K634" t="s">
        <v>14</v>
      </c>
    </row>
    <row r="635" spans="2:11" ht="22" x14ac:dyDescent="0.15">
      <c r="B635" s="29" t="s">
        <v>894</v>
      </c>
      <c r="C635" s="29" t="s">
        <v>192</v>
      </c>
      <c r="D635" s="31">
        <f>SUMIFS(D636:D1057,K636:K1057,"0",B636:B1057,"5 1 1 6 1 12 31111 6 M78 15000 171 00I 001 17102 025 2111100 2024 00000000*")-SUMIFS(E636:E1057,K636:K1057,"0",B636:B1057,"5 1 1 6 1 12 31111 6 M78 15000 171 00I 001 17102 025 2111100 2024 00000000*")</f>
        <v>0</v>
      </c>
      <c r="E635"/>
      <c r="F635" s="31">
        <f>SUMIFS(F636:F1057,K636:K1057,"0",B636:B1057,"5 1 1 6 1 12 31111 6 M78 15000 171 00I 001 17102 025 2111100 2024 00000000*")</f>
        <v>345500</v>
      </c>
      <c r="G635" s="31">
        <f>SUMIFS(G636:G1057,K636:K1057,"0",B636:B1057,"5 1 1 6 1 12 31111 6 M78 15000 171 00I 001 17102 025 2111100 2024 00000000*")</f>
        <v>0</v>
      </c>
      <c r="H635" s="31">
        <f t="shared" si="12"/>
        <v>345500</v>
      </c>
      <c r="I635" s="31"/>
      <c r="K635" t="s">
        <v>14</v>
      </c>
    </row>
    <row r="636" spans="2:11" ht="22" x14ac:dyDescent="0.15">
      <c r="B636" s="29" t="s">
        <v>895</v>
      </c>
      <c r="C636" s="29" t="s">
        <v>9</v>
      </c>
      <c r="D636" s="31">
        <f>SUMIFS(D637:D1057,K637:K1057,"0",B637:B1057,"5 1 1 6 1 12 31111 6 M78 15000 171 00I 001 17102 025 2111100 2024 00000000 003*")-SUMIFS(E637:E1057,K637:K1057,"0",B637:B1057,"5 1 1 6 1 12 31111 6 M78 15000 171 00I 001 17102 025 2111100 2024 00000000 003*")</f>
        <v>0</v>
      </c>
      <c r="E636"/>
      <c r="F636" s="31">
        <f>SUMIFS(F637:F1057,K637:K1057,"0",B637:B1057,"5 1 1 6 1 12 31111 6 M78 15000 171 00I 001 17102 025 2111100 2024 00000000 003*")</f>
        <v>345500</v>
      </c>
      <c r="G636" s="31">
        <f>SUMIFS(G637:G1057,K637:K1057,"0",B637:B1057,"5 1 1 6 1 12 31111 6 M78 15000 171 00I 001 17102 025 2111100 2024 00000000 003*")</f>
        <v>0</v>
      </c>
      <c r="H636" s="31">
        <f t="shared" si="12"/>
        <v>345500</v>
      </c>
      <c r="I636" s="31"/>
      <c r="K636" t="s">
        <v>14</v>
      </c>
    </row>
    <row r="637" spans="2:11" ht="22" x14ac:dyDescent="0.15">
      <c r="B637" s="27" t="s">
        <v>896</v>
      </c>
      <c r="C637" s="27" t="s">
        <v>897</v>
      </c>
      <c r="D637" s="30">
        <v>0</v>
      </c>
      <c r="E637" s="30"/>
      <c r="F637" s="30">
        <v>345500</v>
      </c>
      <c r="G637" s="30">
        <v>0</v>
      </c>
      <c r="H637" s="30">
        <f t="shared" si="12"/>
        <v>345500</v>
      </c>
      <c r="I637" s="30"/>
      <c r="K637" t="s">
        <v>38</v>
      </c>
    </row>
    <row r="638" spans="2:11" ht="13" x14ac:dyDescent="0.15">
      <c r="B638" s="29" t="s">
        <v>898</v>
      </c>
      <c r="C638" s="29" t="s">
        <v>899</v>
      </c>
      <c r="D638" s="31">
        <f>SUMIFS(D639:D1057,K639:K1057,"0",B639:B1057,"5 1 2*")-SUMIFS(E639:E1057,K639:K1057,"0",B639:B1057,"5 1 2*")</f>
        <v>0</v>
      </c>
      <c r="E638"/>
      <c r="F638" s="31">
        <f>SUMIFS(F639:F1057,K639:K1057,"0",B639:B1057,"5 1 2*")</f>
        <v>2349355.6</v>
      </c>
      <c r="G638" s="31">
        <f>SUMIFS(G639:G1057,K639:K1057,"0",B639:B1057,"5 1 2*")</f>
        <v>0</v>
      </c>
      <c r="H638" s="31">
        <f t="shared" si="12"/>
        <v>2349355.6</v>
      </c>
      <c r="I638" s="31"/>
      <c r="K638" t="s">
        <v>14</v>
      </c>
    </row>
    <row r="639" spans="2:11" ht="22" x14ac:dyDescent="0.15">
      <c r="B639" s="29" t="s">
        <v>900</v>
      </c>
      <c r="C639" s="29" t="s">
        <v>901</v>
      </c>
      <c r="D639" s="31">
        <f>SUMIFS(D640:D1057,K640:K1057,"0",B640:B1057,"5 1 2 1*")-SUMIFS(E640:E1057,K640:K1057,"0",B640:B1057,"5 1 2 1*")</f>
        <v>0</v>
      </c>
      <c r="E639"/>
      <c r="F639" s="31">
        <f>SUMIFS(F640:F1057,K640:K1057,"0",B640:B1057,"5 1 2 1*")</f>
        <v>955663.42</v>
      </c>
      <c r="G639" s="31">
        <f>SUMIFS(G640:G1057,K640:K1057,"0",B640:B1057,"5 1 2 1*")</f>
        <v>0</v>
      </c>
      <c r="H639" s="31">
        <f t="shared" si="12"/>
        <v>955663.42</v>
      </c>
      <c r="I639" s="31"/>
      <c r="K639" t="s">
        <v>14</v>
      </c>
    </row>
    <row r="640" spans="2:11" ht="13" x14ac:dyDescent="0.15">
      <c r="B640" s="29" t="s">
        <v>902</v>
      </c>
      <c r="C640" s="29" t="s">
        <v>903</v>
      </c>
      <c r="D640" s="31">
        <f>SUMIFS(D641:D1057,K641:K1057,"0",B641:B1057,"5 1 2 1 1*")-SUMIFS(E641:E1057,K641:K1057,"0",B641:B1057,"5 1 2 1 1*")</f>
        <v>0</v>
      </c>
      <c r="E640"/>
      <c r="F640" s="31">
        <f>SUMIFS(F641:F1057,K641:K1057,"0",B641:B1057,"5 1 2 1 1*")</f>
        <v>316951.82</v>
      </c>
      <c r="G640" s="31">
        <f>SUMIFS(G641:G1057,K641:K1057,"0",B641:B1057,"5 1 2 1 1*")</f>
        <v>0</v>
      </c>
      <c r="H640" s="31">
        <f t="shared" si="12"/>
        <v>316951.82</v>
      </c>
      <c r="I640" s="31"/>
      <c r="K640" t="s">
        <v>14</v>
      </c>
    </row>
    <row r="641" spans="2:11" ht="13" x14ac:dyDescent="0.15">
      <c r="B641" s="29" t="s">
        <v>904</v>
      </c>
      <c r="C641" s="29" t="s">
        <v>25</v>
      </c>
      <c r="D641" s="31">
        <f>SUMIFS(D642:D1057,K642:K1057,"0",B642:B1057,"5 1 2 1 1 12*")-SUMIFS(E642:E1057,K642:K1057,"0",B642:B1057,"5 1 2 1 1 12*")</f>
        <v>0</v>
      </c>
      <c r="E641"/>
      <c r="F641" s="31">
        <f>SUMIFS(F642:F1057,K642:K1057,"0",B642:B1057,"5 1 2 1 1 12*")</f>
        <v>316951.82</v>
      </c>
      <c r="G641" s="31">
        <f>SUMIFS(G642:G1057,K642:K1057,"0",B642:B1057,"5 1 2 1 1 12*")</f>
        <v>0</v>
      </c>
      <c r="H641" s="31">
        <f t="shared" si="12"/>
        <v>316951.82</v>
      </c>
      <c r="I641" s="31"/>
      <c r="K641" t="s">
        <v>14</v>
      </c>
    </row>
    <row r="642" spans="2:11" ht="13" x14ac:dyDescent="0.15">
      <c r="B642" s="29" t="s">
        <v>905</v>
      </c>
      <c r="C642" s="29" t="s">
        <v>27</v>
      </c>
      <c r="D642" s="31">
        <f>SUMIFS(D643:D1057,K643:K1057,"0",B643:B1057,"5 1 2 1 1 12 31111*")-SUMIFS(E643:E1057,K643:K1057,"0",B643:B1057,"5 1 2 1 1 12 31111*")</f>
        <v>0</v>
      </c>
      <c r="E642"/>
      <c r="F642" s="31">
        <f>SUMIFS(F643:F1057,K643:K1057,"0",B643:B1057,"5 1 2 1 1 12 31111*")</f>
        <v>316951.82</v>
      </c>
      <c r="G642" s="31">
        <f>SUMIFS(G643:G1057,K643:K1057,"0",B643:B1057,"5 1 2 1 1 12 31111*")</f>
        <v>0</v>
      </c>
      <c r="H642" s="31">
        <f t="shared" si="12"/>
        <v>316951.82</v>
      </c>
      <c r="I642" s="31"/>
      <c r="K642" t="s">
        <v>14</v>
      </c>
    </row>
    <row r="643" spans="2:11" ht="13" x14ac:dyDescent="0.15">
      <c r="B643" s="29" t="s">
        <v>906</v>
      </c>
      <c r="C643" s="29" t="s">
        <v>29</v>
      </c>
      <c r="D643" s="31">
        <f>SUMIFS(D644:D1057,K644:K1057,"0",B644:B1057,"5 1 2 1 1 12 31111 6*")-SUMIFS(E644:E1057,K644:K1057,"0",B644:B1057,"5 1 2 1 1 12 31111 6*")</f>
        <v>0</v>
      </c>
      <c r="E643"/>
      <c r="F643" s="31">
        <f>SUMIFS(F644:F1057,K644:K1057,"0",B644:B1057,"5 1 2 1 1 12 31111 6*")</f>
        <v>316951.82</v>
      </c>
      <c r="G643" s="31">
        <f>SUMIFS(G644:G1057,K644:K1057,"0",B644:B1057,"5 1 2 1 1 12 31111 6*")</f>
        <v>0</v>
      </c>
      <c r="H643" s="31">
        <f t="shared" si="12"/>
        <v>316951.82</v>
      </c>
      <c r="I643" s="31"/>
      <c r="K643" t="s">
        <v>14</v>
      </c>
    </row>
    <row r="644" spans="2:11" ht="13" x14ac:dyDescent="0.15">
      <c r="B644" s="29" t="s">
        <v>907</v>
      </c>
      <c r="C644" s="29" t="s">
        <v>629</v>
      </c>
      <c r="D644" s="31">
        <f>SUMIFS(D645:D1057,K645:K1057,"0",B645:B1057,"5 1 2 1 1 12 31111 6 M78*")-SUMIFS(E645:E1057,K645:K1057,"0",B645:B1057,"5 1 2 1 1 12 31111 6 M78*")</f>
        <v>0</v>
      </c>
      <c r="E644"/>
      <c r="F644" s="31">
        <f>SUMIFS(F645:F1057,K645:K1057,"0",B645:B1057,"5 1 2 1 1 12 31111 6 M78*")</f>
        <v>316951.82</v>
      </c>
      <c r="G644" s="31">
        <f>SUMIFS(G645:G1057,K645:K1057,"0",B645:B1057,"5 1 2 1 1 12 31111 6 M78*")</f>
        <v>0</v>
      </c>
      <c r="H644" s="31">
        <f t="shared" si="12"/>
        <v>316951.82</v>
      </c>
      <c r="I644" s="31"/>
      <c r="K644" t="s">
        <v>14</v>
      </c>
    </row>
    <row r="645" spans="2:11" ht="13" x14ac:dyDescent="0.15">
      <c r="B645" s="29" t="s">
        <v>908</v>
      </c>
      <c r="C645" s="29" t="s">
        <v>176</v>
      </c>
      <c r="D645" s="31">
        <f>SUMIFS(D646:D1057,K646:K1057,"0",B646:B1057,"5 1 2 1 1 12 31111 6 M78 15000*")-SUMIFS(E646:E1057,K646:K1057,"0",B646:B1057,"5 1 2 1 1 12 31111 6 M78 15000*")</f>
        <v>0</v>
      </c>
      <c r="E645"/>
      <c r="F645" s="31">
        <f>SUMIFS(F646:F1057,K646:K1057,"0",B646:B1057,"5 1 2 1 1 12 31111 6 M78 15000*")</f>
        <v>316951.82</v>
      </c>
      <c r="G645" s="31">
        <f>SUMIFS(G646:G1057,K646:K1057,"0",B646:B1057,"5 1 2 1 1 12 31111 6 M78 15000*")</f>
        <v>0</v>
      </c>
      <c r="H645" s="31">
        <f t="shared" si="12"/>
        <v>316951.82</v>
      </c>
      <c r="I645" s="31"/>
      <c r="K645" t="s">
        <v>14</v>
      </c>
    </row>
    <row r="646" spans="2:11" ht="13" x14ac:dyDescent="0.15">
      <c r="B646" s="29" t="s">
        <v>909</v>
      </c>
      <c r="C646" s="29" t="s">
        <v>178</v>
      </c>
      <c r="D646" s="31">
        <f>SUMIFS(D647:D1057,K647:K1057,"0",B647:B1057,"5 1 2 1 1 12 31111 6 M78 15000 171*")-SUMIFS(E647:E1057,K647:K1057,"0",B647:B1057,"5 1 2 1 1 12 31111 6 M78 15000 171*")</f>
        <v>0</v>
      </c>
      <c r="E646"/>
      <c r="F646" s="31">
        <f>SUMIFS(F647:F1057,K647:K1057,"0",B647:B1057,"5 1 2 1 1 12 31111 6 M78 15000 171*")</f>
        <v>316951.82</v>
      </c>
      <c r="G646" s="31">
        <f>SUMIFS(G647:G1057,K647:K1057,"0",B647:B1057,"5 1 2 1 1 12 31111 6 M78 15000 171*")</f>
        <v>0</v>
      </c>
      <c r="H646" s="31">
        <f t="shared" si="12"/>
        <v>316951.82</v>
      </c>
      <c r="I646" s="31"/>
      <c r="K646" t="s">
        <v>14</v>
      </c>
    </row>
    <row r="647" spans="2:11" ht="13" x14ac:dyDescent="0.15">
      <c r="B647" s="29" t="s">
        <v>910</v>
      </c>
      <c r="C647" s="29" t="s">
        <v>180</v>
      </c>
      <c r="D647" s="31">
        <f>SUMIFS(D648:D1057,K648:K1057,"0",B648:B1057,"5 1 2 1 1 12 31111 6 M78 15000 171 00I*")-SUMIFS(E648:E1057,K648:K1057,"0",B648:B1057,"5 1 2 1 1 12 31111 6 M78 15000 171 00I*")</f>
        <v>0</v>
      </c>
      <c r="E647"/>
      <c r="F647" s="31">
        <f>SUMIFS(F648:F1057,K648:K1057,"0",B648:B1057,"5 1 2 1 1 12 31111 6 M78 15000 171 00I*")</f>
        <v>316951.82</v>
      </c>
      <c r="G647" s="31">
        <f>SUMIFS(G648:G1057,K648:K1057,"0",B648:B1057,"5 1 2 1 1 12 31111 6 M78 15000 171 00I*")</f>
        <v>0</v>
      </c>
      <c r="H647" s="31">
        <f t="shared" si="12"/>
        <v>316951.82</v>
      </c>
      <c r="I647" s="31"/>
      <c r="K647" t="s">
        <v>14</v>
      </c>
    </row>
    <row r="648" spans="2:11" ht="13" x14ac:dyDescent="0.15">
      <c r="B648" s="29" t="s">
        <v>911</v>
      </c>
      <c r="C648" s="29" t="s">
        <v>562</v>
      </c>
      <c r="D648" s="31">
        <f>SUMIFS(D649:D1057,K649:K1057,"0",B649:B1057,"5 1 2 1 1 12 31111 6 M78 15000 171 00I 001*")-SUMIFS(E649:E1057,K649:K1057,"0",B649:B1057,"5 1 2 1 1 12 31111 6 M78 15000 171 00I 001*")</f>
        <v>0</v>
      </c>
      <c r="E648"/>
      <c r="F648" s="31">
        <f>SUMIFS(F649:F1057,K649:K1057,"0",B649:B1057,"5 1 2 1 1 12 31111 6 M78 15000 171 00I 001*")</f>
        <v>316951.82</v>
      </c>
      <c r="G648" s="31">
        <f>SUMIFS(G649:G1057,K649:K1057,"0",B649:B1057,"5 1 2 1 1 12 31111 6 M78 15000 171 00I 001*")</f>
        <v>0</v>
      </c>
      <c r="H648" s="31">
        <f t="shared" si="12"/>
        <v>316951.82</v>
      </c>
      <c r="I648" s="31"/>
      <c r="K648" t="s">
        <v>14</v>
      </c>
    </row>
    <row r="649" spans="2:11" ht="13" x14ac:dyDescent="0.15">
      <c r="B649" s="29" t="s">
        <v>912</v>
      </c>
      <c r="C649" s="29" t="s">
        <v>913</v>
      </c>
      <c r="D649" s="31">
        <f>SUMIFS(D650:D1057,K650:K1057,"0",B650:B1057,"5 1 2 1 1 12 31111 6 M78 15000 171 00I 001 21101*")-SUMIFS(E650:E1057,K650:K1057,"0",B650:B1057,"5 1 2 1 1 12 31111 6 M78 15000 171 00I 001 21101*")</f>
        <v>0</v>
      </c>
      <c r="E649"/>
      <c r="F649" s="31">
        <f>SUMIFS(F650:F1057,K650:K1057,"0",B650:B1057,"5 1 2 1 1 12 31111 6 M78 15000 171 00I 001 21101*")</f>
        <v>316951.82</v>
      </c>
      <c r="G649" s="31">
        <f>SUMIFS(G650:G1057,K650:K1057,"0",B650:B1057,"5 1 2 1 1 12 31111 6 M78 15000 171 00I 001 21101*")</f>
        <v>0</v>
      </c>
      <c r="H649" s="31">
        <f t="shared" si="12"/>
        <v>316951.82</v>
      </c>
      <c r="I649" s="31"/>
      <c r="K649" t="s">
        <v>14</v>
      </c>
    </row>
    <row r="650" spans="2:11" ht="13" x14ac:dyDescent="0.15">
      <c r="B650" s="29" t="s">
        <v>914</v>
      </c>
      <c r="C650" s="29" t="s">
        <v>186</v>
      </c>
      <c r="D650" s="31">
        <f>SUMIFS(D651:D1057,K651:K1057,"0",B651:B1057,"5 1 2 1 1 12 31111 6 M78 15000 171 00I 001 21101 025*")-SUMIFS(E651:E1057,K651:K1057,"0",B651:B1057,"5 1 2 1 1 12 31111 6 M78 15000 171 00I 001 21101 025*")</f>
        <v>0</v>
      </c>
      <c r="E650"/>
      <c r="F650" s="31">
        <f>SUMIFS(F651:F1057,K651:K1057,"0",B651:B1057,"5 1 2 1 1 12 31111 6 M78 15000 171 00I 001 21101 025*")</f>
        <v>316951.82</v>
      </c>
      <c r="G650" s="31">
        <f>SUMIFS(G651:G1057,K651:K1057,"0",B651:B1057,"5 1 2 1 1 12 31111 6 M78 15000 171 00I 001 21101 025*")</f>
        <v>0</v>
      </c>
      <c r="H650" s="31">
        <f t="shared" si="12"/>
        <v>316951.82</v>
      </c>
      <c r="I650" s="31"/>
      <c r="K650" t="s">
        <v>14</v>
      </c>
    </row>
    <row r="651" spans="2:11" ht="22" x14ac:dyDescent="0.15">
      <c r="B651" s="29" t="s">
        <v>915</v>
      </c>
      <c r="C651" s="29" t="s">
        <v>188</v>
      </c>
      <c r="D651" s="31">
        <f>SUMIFS(D652:D1057,K652:K1057,"0",B652:B1057,"5 1 2 1 1 12 31111 6 M78 15000 171 00I 001 21101 025 2112000*")-SUMIFS(E652:E1057,K652:K1057,"0",B652:B1057,"5 1 2 1 1 12 31111 6 M78 15000 171 00I 001 21101 025 2112000*")</f>
        <v>0</v>
      </c>
      <c r="E651"/>
      <c r="F651" s="31">
        <f>SUMIFS(F652:F1057,K652:K1057,"0",B652:B1057,"5 1 2 1 1 12 31111 6 M78 15000 171 00I 001 21101 025 2112000*")</f>
        <v>316951.82</v>
      </c>
      <c r="G651" s="31">
        <f>SUMIFS(G652:G1057,K652:K1057,"0",B652:B1057,"5 1 2 1 1 12 31111 6 M78 15000 171 00I 001 21101 025 2112000*")</f>
        <v>0</v>
      </c>
      <c r="H651" s="31">
        <f t="shared" si="12"/>
        <v>316951.82</v>
      </c>
      <c r="I651" s="31"/>
      <c r="K651" t="s">
        <v>14</v>
      </c>
    </row>
    <row r="652" spans="2:11" ht="22" x14ac:dyDescent="0.15">
      <c r="B652" s="29" t="s">
        <v>916</v>
      </c>
      <c r="C652" s="29" t="s">
        <v>294</v>
      </c>
      <c r="D652" s="31">
        <f>SUMIFS(D653:D1057,K653:K1057,"0",B653:B1057,"5 1 2 1 1 12 31111 6 M78 15000 171 00I 001 21101 025 2112000 2024*")-SUMIFS(E653:E1057,K653:K1057,"0",B653:B1057,"5 1 2 1 1 12 31111 6 M78 15000 171 00I 001 21101 025 2112000 2024*")</f>
        <v>0</v>
      </c>
      <c r="E652"/>
      <c r="F652" s="31">
        <f>SUMIFS(F653:F1057,K653:K1057,"0",B653:B1057,"5 1 2 1 1 12 31111 6 M78 15000 171 00I 001 21101 025 2112000 2024*")</f>
        <v>316951.82</v>
      </c>
      <c r="G652" s="31">
        <f>SUMIFS(G653:G1057,K653:K1057,"0",B653:B1057,"5 1 2 1 1 12 31111 6 M78 15000 171 00I 001 21101 025 2112000 2024*")</f>
        <v>0</v>
      </c>
      <c r="H652" s="31">
        <f t="shared" ref="H652:H715" si="13">D652 + F652 - G652</f>
        <v>316951.82</v>
      </c>
      <c r="I652" s="31"/>
      <c r="K652" t="s">
        <v>14</v>
      </c>
    </row>
    <row r="653" spans="2:11" ht="22" x14ac:dyDescent="0.15">
      <c r="B653" s="29" t="s">
        <v>917</v>
      </c>
      <c r="C653" s="29" t="s">
        <v>192</v>
      </c>
      <c r="D653" s="31">
        <f>SUMIFS(D654:D1057,K654:K1057,"0",B654:B1057,"5 1 2 1 1 12 31111 6 M78 15000 171 00I 001 21101 025 2112000 2024 00000000*")-SUMIFS(E654:E1057,K654:K1057,"0",B654:B1057,"5 1 2 1 1 12 31111 6 M78 15000 171 00I 001 21101 025 2112000 2024 00000000*")</f>
        <v>0</v>
      </c>
      <c r="E653"/>
      <c r="F653" s="31">
        <f>SUMIFS(F654:F1057,K654:K1057,"0",B654:B1057,"5 1 2 1 1 12 31111 6 M78 15000 171 00I 001 21101 025 2112000 2024 00000000*")</f>
        <v>316951.82</v>
      </c>
      <c r="G653" s="31">
        <f>SUMIFS(G654:G1057,K654:K1057,"0",B654:B1057,"5 1 2 1 1 12 31111 6 M78 15000 171 00I 001 21101 025 2112000 2024 00000000*")</f>
        <v>0</v>
      </c>
      <c r="H653" s="31">
        <f t="shared" si="13"/>
        <v>316951.82</v>
      </c>
      <c r="I653" s="31"/>
      <c r="K653" t="s">
        <v>14</v>
      </c>
    </row>
    <row r="654" spans="2:11" ht="22" x14ac:dyDescent="0.15">
      <c r="B654" s="29" t="s">
        <v>918</v>
      </c>
      <c r="C654" s="29" t="s">
        <v>9</v>
      </c>
      <c r="D654" s="31">
        <f>SUMIFS(D655:D1057,K655:K1057,"0",B655:B1057,"5 1 2 1 1 12 31111 6 M78 15000 171 00I 001 21101 025 2112000 2024 00000000 003*")-SUMIFS(E655:E1057,K655:K1057,"0",B655:B1057,"5 1 2 1 1 12 31111 6 M78 15000 171 00I 001 21101 025 2112000 2024 00000000 003*")</f>
        <v>0</v>
      </c>
      <c r="E654"/>
      <c r="F654" s="31">
        <f>SUMIFS(F655:F1057,K655:K1057,"0",B655:B1057,"5 1 2 1 1 12 31111 6 M78 15000 171 00I 001 21101 025 2112000 2024 00000000 003*")</f>
        <v>316951.82</v>
      </c>
      <c r="G654" s="31">
        <f>SUMIFS(G655:G1057,K655:K1057,"0",B655:B1057,"5 1 2 1 1 12 31111 6 M78 15000 171 00I 001 21101 025 2112000 2024 00000000 003*")</f>
        <v>0</v>
      </c>
      <c r="H654" s="31">
        <f t="shared" si="13"/>
        <v>316951.82</v>
      </c>
      <c r="I654" s="31"/>
      <c r="K654" t="s">
        <v>14</v>
      </c>
    </row>
    <row r="655" spans="2:11" ht="22" x14ac:dyDescent="0.15">
      <c r="B655" s="27" t="s">
        <v>919</v>
      </c>
      <c r="C655" s="27" t="s">
        <v>920</v>
      </c>
      <c r="D655" s="30">
        <v>0</v>
      </c>
      <c r="E655" s="30"/>
      <c r="F655" s="30">
        <v>316951.82</v>
      </c>
      <c r="G655" s="30">
        <v>0</v>
      </c>
      <c r="H655" s="30">
        <f t="shared" si="13"/>
        <v>316951.82</v>
      </c>
      <c r="I655" s="30"/>
      <c r="K655" t="s">
        <v>38</v>
      </c>
    </row>
    <row r="656" spans="2:11" ht="13" x14ac:dyDescent="0.15">
      <c r="B656" s="29" t="s">
        <v>921</v>
      </c>
      <c r="C656" s="29" t="s">
        <v>922</v>
      </c>
      <c r="D656" s="31">
        <f>SUMIFS(D657:D1057,K657:K1057,"0",B657:B1057,"5 1 2 1 2*")-SUMIFS(E657:E1057,K657:K1057,"0",B657:B1057,"5 1 2 1 2*")</f>
        <v>0</v>
      </c>
      <c r="E656"/>
      <c r="F656" s="31">
        <f>SUMIFS(F657:F1057,K657:K1057,"0",B657:B1057,"5 1 2 1 2*")</f>
        <v>349891.2</v>
      </c>
      <c r="G656" s="31">
        <f>SUMIFS(G657:G1057,K657:K1057,"0",B657:B1057,"5 1 2 1 2*")</f>
        <v>0</v>
      </c>
      <c r="H656" s="31">
        <f t="shared" si="13"/>
        <v>349891.2</v>
      </c>
      <c r="I656" s="31"/>
      <c r="K656" t="s">
        <v>14</v>
      </c>
    </row>
    <row r="657" spans="2:11" ht="13" x14ac:dyDescent="0.15">
      <c r="B657" s="29" t="s">
        <v>923</v>
      </c>
      <c r="C657" s="29" t="s">
        <v>25</v>
      </c>
      <c r="D657" s="31">
        <f>SUMIFS(D658:D1057,K658:K1057,"0",B658:B1057,"5 1 2 1 2 12*")-SUMIFS(E658:E1057,K658:K1057,"0",B658:B1057,"5 1 2 1 2 12*")</f>
        <v>0</v>
      </c>
      <c r="E657"/>
      <c r="F657" s="31">
        <f>SUMIFS(F658:F1057,K658:K1057,"0",B658:B1057,"5 1 2 1 2 12*")</f>
        <v>349891.2</v>
      </c>
      <c r="G657" s="31">
        <f>SUMIFS(G658:G1057,K658:K1057,"0",B658:B1057,"5 1 2 1 2 12*")</f>
        <v>0</v>
      </c>
      <c r="H657" s="31">
        <f t="shared" si="13"/>
        <v>349891.2</v>
      </c>
      <c r="I657" s="31"/>
      <c r="K657" t="s">
        <v>14</v>
      </c>
    </row>
    <row r="658" spans="2:11" ht="13" x14ac:dyDescent="0.15">
      <c r="B658" s="29" t="s">
        <v>924</v>
      </c>
      <c r="C658" s="29" t="s">
        <v>27</v>
      </c>
      <c r="D658" s="31">
        <f>SUMIFS(D659:D1057,K659:K1057,"0",B659:B1057,"5 1 2 1 2 12 31111*")-SUMIFS(E659:E1057,K659:K1057,"0",B659:B1057,"5 1 2 1 2 12 31111*")</f>
        <v>0</v>
      </c>
      <c r="E658"/>
      <c r="F658" s="31">
        <f>SUMIFS(F659:F1057,K659:K1057,"0",B659:B1057,"5 1 2 1 2 12 31111*")</f>
        <v>349891.2</v>
      </c>
      <c r="G658" s="31">
        <f>SUMIFS(G659:G1057,K659:K1057,"0",B659:B1057,"5 1 2 1 2 12 31111*")</f>
        <v>0</v>
      </c>
      <c r="H658" s="31">
        <f t="shared" si="13"/>
        <v>349891.2</v>
      </c>
      <c r="I658" s="31"/>
      <c r="K658" t="s">
        <v>14</v>
      </c>
    </row>
    <row r="659" spans="2:11" ht="13" x14ac:dyDescent="0.15">
      <c r="B659" s="29" t="s">
        <v>925</v>
      </c>
      <c r="C659" s="29" t="s">
        <v>29</v>
      </c>
      <c r="D659" s="31">
        <f>SUMIFS(D660:D1057,K660:K1057,"0",B660:B1057,"5 1 2 1 2 12 31111 6*")-SUMIFS(E660:E1057,K660:K1057,"0",B660:B1057,"5 1 2 1 2 12 31111 6*")</f>
        <v>0</v>
      </c>
      <c r="E659"/>
      <c r="F659" s="31">
        <f>SUMIFS(F660:F1057,K660:K1057,"0",B660:B1057,"5 1 2 1 2 12 31111 6*")</f>
        <v>349891.2</v>
      </c>
      <c r="G659" s="31">
        <f>SUMIFS(G660:G1057,K660:K1057,"0",B660:B1057,"5 1 2 1 2 12 31111 6*")</f>
        <v>0</v>
      </c>
      <c r="H659" s="31">
        <f t="shared" si="13"/>
        <v>349891.2</v>
      </c>
      <c r="I659" s="31"/>
      <c r="K659" t="s">
        <v>14</v>
      </c>
    </row>
    <row r="660" spans="2:11" ht="13" x14ac:dyDescent="0.15">
      <c r="B660" s="29" t="s">
        <v>926</v>
      </c>
      <c r="C660" s="29" t="s">
        <v>629</v>
      </c>
      <c r="D660" s="31">
        <f>SUMIFS(D661:D1057,K661:K1057,"0",B661:B1057,"5 1 2 1 2 12 31111 6 M78*")-SUMIFS(E661:E1057,K661:K1057,"0",B661:B1057,"5 1 2 1 2 12 31111 6 M78*")</f>
        <v>0</v>
      </c>
      <c r="E660"/>
      <c r="F660" s="31">
        <f>SUMIFS(F661:F1057,K661:K1057,"0",B661:B1057,"5 1 2 1 2 12 31111 6 M78*")</f>
        <v>349891.2</v>
      </c>
      <c r="G660" s="31">
        <f>SUMIFS(G661:G1057,K661:K1057,"0",B661:B1057,"5 1 2 1 2 12 31111 6 M78*")</f>
        <v>0</v>
      </c>
      <c r="H660" s="31">
        <f t="shared" si="13"/>
        <v>349891.2</v>
      </c>
      <c r="I660" s="31"/>
      <c r="K660" t="s">
        <v>14</v>
      </c>
    </row>
    <row r="661" spans="2:11" ht="13" x14ac:dyDescent="0.15">
      <c r="B661" s="29" t="s">
        <v>927</v>
      </c>
      <c r="C661" s="29" t="s">
        <v>176</v>
      </c>
      <c r="D661" s="31">
        <f>SUMIFS(D662:D1057,K662:K1057,"0",B662:B1057,"5 1 2 1 2 12 31111 6 M78 15000*")-SUMIFS(E662:E1057,K662:K1057,"0",B662:B1057,"5 1 2 1 2 12 31111 6 M78 15000*")</f>
        <v>0</v>
      </c>
      <c r="E661"/>
      <c r="F661" s="31">
        <f>SUMIFS(F662:F1057,K662:K1057,"0",B662:B1057,"5 1 2 1 2 12 31111 6 M78 15000*")</f>
        <v>349891.2</v>
      </c>
      <c r="G661" s="31">
        <f>SUMIFS(G662:G1057,K662:K1057,"0",B662:B1057,"5 1 2 1 2 12 31111 6 M78 15000*")</f>
        <v>0</v>
      </c>
      <c r="H661" s="31">
        <f t="shared" si="13"/>
        <v>349891.2</v>
      </c>
      <c r="I661" s="31"/>
      <c r="K661" t="s">
        <v>14</v>
      </c>
    </row>
    <row r="662" spans="2:11" ht="13" x14ac:dyDescent="0.15">
      <c r="B662" s="29" t="s">
        <v>928</v>
      </c>
      <c r="C662" s="29" t="s">
        <v>178</v>
      </c>
      <c r="D662" s="31">
        <f>SUMIFS(D663:D1057,K663:K1057,"0",B663:B1057,"5 1 2 1 2 12 31111 6 M78 15000 171*")-SUMIFS(E663:E1057,K663:K1057,"0",B663:B1057,"5 1 2 1 2 12 31111 6 M78 15000 171*")</f>
        <v>0</v>
      </c>
      <c r="E662"/>
      <c r="F662" s="31">
        <f>SUMIFS(F663:F1057,K663:K1057,"0",B663:B1057,"5 1 2 1 2 12 31111 6 M78 15000 171*")</f>
        <v>349891.2</v>
      </c>
      <c r="G662" s="31">
        <f>SUMIFS(G663:G1057,K663:K1057,"0",B663:B1057,"5 1 2 1 2 12 31111 6 M78 15000 171*")</f>
        <v>0</v>
      </c>
      <c r="H662" s="31">
        <f t="shared" si="13"/>
        <v>349891.2</v>
      </c>
      <c r="I662" s="31"/>
      <c r="K662" t="s">
        <v>14</v>
      </c>
    </row>
    <row r="663" spans="2:11" ht="13" x14ac:dyDescent="0.15">
      <c r="B663" s="29" t="s">
        <v>929</v>
      </c>
      <c r="C663" s="29" t="s">
        <v>180</v>
      </c>
      <c r="D663" s="31">
        <f>SUMIFS(D664:D1057,K664:K1057,"0",B664:B1057,"5 1 2 1 2 12 31111 6 M78 15000 171 00I*")-SUMIFS(E664:E1057,K664:K1057,"0",B664:B1057,"5 1 2 1 2 12 31111 6 M78 15000 171 00I*")</f>
        <v>0</v>
      </c>
      <c r="E663"/>
      <c r="F663" s="31">
        <f>SUMIFS(F664:F1057,K664:K1057,"0",B664:B1057,"5 1 2 1 2 12 31111 6 M78 15000 171 00I*")</f>
        <v>349891.2</v>
      </c>
      <c r="G663" s="31">
        <f>SUMIFS(G664:G1057,K664:K1057,"0",B664:B1057,"5 1 2 1 2 12 31111 6 M78 15000 171 00I*")</f>
        <v>0</v>
      </c>
      <c r="H663" s="31">
        <f t="shared" si="13"/>
        <v>349891.2</v>
      </c>
      <c r="I663" s="31"/>
      <c r="K663" t="s">
        <v>14</v>
      </c>
    </row>
    <row r="664" spans="2:11" ht="13" x14ac:dyDescent="0.15">
      <c r="B664" s="29" t="s">
        <v>930</v>
      </c>
      <c r="C664" s="29" t="s">
        <v>562</v>
      </c>
      <c r="D664" s="31">
        <f>SUMIFS(D665:D1057,K665:K1057,"0",B665:B1057,"5 1 2 1 2 12 31111 6 M78 15000 171 00I 001*")-SUMIFS(E665:E1057,K665:K1057,"0",B665:B1057,"5 1 2 1 2 12 31111 6 M78 15000 171 00I 001*")</f>
        <v>0</v>
      </c>
      <c r="E664"/>
      <c r="F664" s="31">
        <f>SUMIFS(F665:F1057,K665:K1057,"0",B665:B1057,"5 1 2 1 2 12 31111 6 M78 15000 171 00I 001*")</f>
        <v>349891.2</v>
      </c>
      <c r="G664" s="31">
        <f>SUMIFS(G665:G1057,K665:K1057,"0",B665:B1057,"5 1 2 1 2 12 31111 6 M78 15000 171 00I 001*")</f>
        <v>0</v>
      </c>
      <c r="H664" s="31">
        <f t="shared" si="13"/>
        <v>349891.2</v>
      </c>
      <c r="I664" s="31"/>
      <c r="K664" t="s">
        <v>14</v>
      </c>
    </row>
    <row r="665" spans="2:11" ht="13" x14ac:dyDescent="0.15">
      <c r="B665" s="29" t="s">
        <v>931</v>
      </c>
      <c r="C665" s="29" t="s">
        <v>932</v>
      </c>
      <c r="D665" s="31">
        <f>SUMIFS(D666:D1057,K666:K1057,"0",B666:B1057,"5 1 2 1 2 12 31111 6 M78 15000 171 00I 001 21201*")-SUMIFS(E666:E1057,K666:K1057,"0",B666:B1057,"5 1 2 1 2 12 31111 6 M78 15000 171 00I 001 21201*")</f>
        <v>0</v>
      </c>
      <c r="E665"/>
      <c r="F665" s="31">
        <f>SUMIFS(F666:F1057,K666:K1057,"0",B666:B1057,"5 1 2 1 2 12 31111 6 M78 15000 171 00I 001 21201*")</f>
        <v>349891.2</v>
      </c>
      <c r="G665" s="31">
        <f>SUMIFS(G666:G1057,K666:K1057,"0",B666:B1057,"5 1 2 1 2 12 31111 6 M78 15000 171 00I 001 21201*")</f>
        <v>0</v>
      </c>
      <c r="H665" s="31">
        <f t="shared" si="13"/>
        <v>349891.2</v>
      </c>
      <c r="I665" s="31"/>
      <c r="K665" t="s">
        <v>14</v>
      </c>
    </row>
    <row r="666" spans="2:11" ht="13" x14ac:dyDescent="0.15">
      <c r="B666" s="29" t="s">
        <v>933</v>
      </c>
      <c r="C666" s="29" t="s">
        <v>186</v>
      </c>
      <c r="D666" s="31">
        <f>SUMIFS(D667:D1057,K667:K1057,"0",B667:B1057,"5 1 2 1 2 12 31111 6 M78 15000 171 00I 001 21201 025*")-SUMIFS(E667:E1057,K667:K1057,"0",B667:B1057,"5 1 2 1 2 12 31111 6 M78 15000 171 00I 001 21201 025*")</f>
        <v>0</v>
      </c>
      <c r="E666"/>
      <c r="F666" s="31">
        <f>SUMIFS(F667:F1057,K667:K1057,"0",B667:B1057,"5 1 2 1 2 12 31111 6 M78 15000 171 00I 001 21201 025*")</f>
        <v>349891.2</v>
      </c>
      <c r="G666" s="31">
        <f>SUMIFS(G667:G1057,K667:K1057,"0",B667:B1057,"5 1 2 1 2 12 31111 6 M78 15000 171 00I 001 21201 025*")</f>
        <v>0</v>
      </c>
      <c r="H666" s="31">
        <f t="shared" si="13"/>
        <v>349891.2</v>
      </c>
      <c r="I666" s="31"/>
      <c r="K666" t="s">
        <v>14</v>
      </c>
    </row>
    <row r="667" spans="2:11" ht="22" x14ac:dyDescent="0.15">
      <c r="B667" s="29" t="s">
        <v>934</v>
      </c>
      <c r="C667" s="29" t="s">
        <v>188</v>
      </c>
      <c r="D667" s="31">
        <f>SUMIFS(D668:D1057,K668:K1057,"0",B668:B1057,"5 1 2 1 2 12 31111 6 M78 15000 171 00I 001 21201 025 2112000*")-SUMIFS(E668:E1057,K668:K1057,"0",B668:B1057,"5 1 2 1 2 12 31111 6 M78 15000 171 00I 001 21201 025 2112000*")</f>
        <v>0</v>
      </c>
      <c r="E667"/>
      <c r="F667" s="31">
        <f>SUMIFS(F668:F1057,K668:K1057,"0",B668:B1057,"5 1 2 1 2 12 31111 6 M78 15000 171 00I 001 21201 025 2112000*")</f>
        <v>349891.2</v>
      </c>
      <c r="G667" s="31">
        <f>SUMIFS(G668:G1057,K668:K1057,"0",B668:B1057,"5 1 2 1 2 12 31111 6 M78 15000 171 00I 001 21201 025 2112000*")</f>
        <v>0</v>
      </c>
      <c r="H667" s="31">
        <f t="shared" si="13"/>
        <v>349891.2</v>
      </c>
      <c r="I667" s="31"/>
      <c r="K667" t="s">
        <v>14</v>
      </c>
    </row>
    <row r="668" spans="2:11" ht="22" x14ac:dyDescent="0.15">
      <c r="B668" s="29" t="s">
        <v>935</v>
      </c>
      <c r="C668" s="29" t="s">
        <v>294</v>
      </c>
      <c r="D668" s="31">
        <f>SUMIFS(D669:D1057,K669:K1057,"0",B669:B1057,"5 1 2 1 2 12 31111 6 M78 15000 171 00I 001 21201 025 2112000 2024*")-SUMIFS(E669:E1057,K669:K1057,"0",B669:B1057,"5 1 2 1 2 12 31111 6 M78 15000 171 00I 001 21201 025 2112000 2024*")</f>
        <v>0</v>
      </c>
      <c r="E668"/>
      <c r="F668" s="31">
        <f>SUMIFS(F669:F1057,K669:K1057,"0",B669:B1057,"5 1 2 1 2 12 31111 6 M78 15000 171 00I 001 21201 025 2112000 2024*")</f>
        <v>349891.2</v>
      </c>
      <c r="G668" s="31">
        <f>SUMIFS(G669:G1057,K669:K1057,"0",B669:B1057,"5 1 2 1 2 12 31111 6 M78 15000 171 00I 001 21201 025 2112000 2024*")</f>
        <v>0</v>
      </c>
      <c r="H668" s="31">
        <f t="shared" si="13"/>
        <v>349891.2</v>
      </c>
      <c r="I668" s="31"/>
      <c r="K668" t="s">
        <v>14</v>
      </c>
    </row>
    <row r="669" spans="2:11" ht="22" x14ac:dyDescent="0.15">
      <c r="B669" s="29" t="s">
        <v>936</v>
      </c>
      <c r="C669" s="29" t="s">
        <v>192</v>
      </c>
      <c r="D669" s="31">
        <f>SUMIFS(D670:D1057,K670:K1057,"0",B670:B1057,"5 1 2 1 2 12 31111 6 M78 15000 171 00I 001 21201 025 2112000 2024 00000000*")-SUMIFS(E670:E1057,K670:K1057,"0",B670:B1057,"5 1 2 1 2 12 31111 6 M78 15000 171 00I 001 21201 025 2112000 2024 00000000*")</f>
        <v>0</v>
      </c>
      <c r="E669"/>
      <c r="F669" s="31">
        <f>SUMIFS(F670:F1057,K670:K1057,"0",B670:B1057,"5 1 2 1 2 12 31111 6 M78 15000 171 00I 001 21201 025 2112000 2024 00000000*")</f>
        <v>349891.2</v>
      </c>
      <c r="G669" s="31">
        <f>SUMIFS(G670:G1057,K670:K1057,"0",B670:B1057,"5 1 2 1 2 12 31111 6 M78 15000 171 00I 001 21201 025 2112000 2024 00000000*")</f>
        <v>0</v>
      </c>
      <c r="H669" s="31">
        <f t="shared" si="13"/>
        <v>349891.2</v>
      </c>
      <c r="I669" s="31"/>
      <c r="K669" t="s">
        <v>14</v>
      </c>
    </row>
    <row r="670" spans="2:11" ht="22" x14ac:dyDescent="0.15">
      <c r="B670" s="29" t="s">
        <v>937</v>
      </c>
      <c r="C670" s="29" t="s">
        <v>9</v>
      </c>
      <c r="D670" s="31">
        <f>SUMIFS(D671:D1057,K671:K1057,"0",B671:B1057,"5 1 2 1 2 12 31111 6 M78 15000 171 00I 001 21201 025 2112000 2024 00000000 003*")-SUMIFS(E671:E1057,K671:K1057,"0",B671:B1057,"5 1 2 1 2 12 31111 6 M78 15000 171 00I 001 21201 025 2112000 2024 00000000 003*")</f>
        <v>0</v>
      </c>
      <c r="E670"/>
      <c r="F670" s="31">
        <f>SUMIFS(F671:F1057,K671:K1057,"0",B671:B1057,"5 1 2 1 2 12 31111 6 M78 15000 171 00I 001 21201 025 2112000 2024 00000000 003*")</f>
        <v>349891.2</v>
      </c>
      <c r="G670" s="31">
        <f>SUMIFS(G671:G1057,K671:K1057,"0",B671:B1057,"5 1 2 1 2 12 31111 6 M78 15000 171 00I 001 21201 025 2112000 2024 00000000 003*")</f>
        <v>0</v>
      </c>
      <c r="H670" s="31">
        <f t="shared" si="13"/>
        <v>349891.2</v>
      </c>
      <c r="I670" s="31"/>
      <c r="K670" t="s">
        <v>14</v>
      </c>
    </row>
    <row r="671" spans="2:11" ht="22" x14ac:dyDescent="0.15">
      <c r="B671" s="27" t="s">
        <v>938</v>
      </c>
      <c r="C671" s="27" t="s">
        <v>939</v>
      </c>
      <c r="D671" s="30">
        <v>0</v>
      </c>
      <c r="E671" s="30"/>
      <c r="F671" s="30">
        <v>349891.2</v>
      </c>
      <c r="G671" s="30">
        <v>0</v>
      </c>
      <c r="H671" s="30">
        <f t="shared" si="13"/>
        <v>349891.2</v>
      </c>
      <c r="I671" s="30"/>
      <c r="K671" t="s">
        <v>38</v>
      </c>
    </row>
    <row r="672" spans="2:11" ht="22" x14ac:dyDescent="0.15">
      <c r="B672" s="29" t="s">
        <v>940</v>
      </c>
      <c r="C672" s="29" t="s">
        <v>941</v>
      </c>
      <c r="D672" s="31">
        <f>SUMIFS(D673:D1057,K673:K1057,"0",B673:B1057,"5 1 2 1 4*")-SUMIFS(E673:E1057,K673:K1057,"0",B673:B1057,"5 1 2 1 4*")</f>
        <v>0</v>
      </c>
      <c r="E672"/>
      <c r="F672" s="31">
        <f>SUMIFS(F673:F1057,K673:K1057,"0",B673:B1057,"5 1 2 1 4*")</f>
        <v>60134.400000000001</v>
      </c>
      <c r="G672" s="31">
        <f>SUMIFS(G673:G1057,K673:K1057,"0",B673:B1057,"5 1 2 1 4*")</f>
        <v>0</v>
      </c>
      <c r="H672" s="31">
        <f t="shared" si="13"/>
        <v>60134.400000000001</v>
      </c>
      <c r="I672" s="31"/>
      <c r="K672" t="s">
        <v>14</v>
      </c>
    </row>
    <row r="673" spans="2:11" ht="13" x14ac:dyDescent="0.15">
      <c r="B673" s="29" t="s">
        <v>942</v>
      </c>
      <c r="C673" s="29" t="s">
        <v>25</v>
      </c>
      <c r="D673" s="31">
        <f>SUMIFS(D674:D1057,K674:K1057,"0",B674:B1057,"5 1 2 1 4 12*")-SUMIFS(E674:E1057,K674:K1057,"0",B674:B1057,"5 1 2 1 4 12*")</f>
        <v>0</v>
      </c>
      <c r="E673"/>
      <c r="F673" s="31">
        <f>SUMIFS(F674:F1057,K674:K1057,"0",B674:B1057,"5 1 2 1 4 12*")</f>
        <v>60134.400000000001</v>
      </c>
      <c r="G673" s="31">
        <f>SUMIFS(G674:G1057,K674:K1057,"0",B674:B1057,"5 1 2 1 4 12*")</f>
        <v>0</v>
      </c>
      <c r="H673" s="31">
        <f t="shared" si="13"/>
        <v>60134.400000000001</v>
      </c>
      <c r="I673" s="31"/>
      <c r="K673" t="s">
        <v>14</v>
      </c>
    </row>
    <row r="674" spans="2:11" ht="13" x14ac:dyDescent="0.15">
      <c r="B674" s="29" t="s">
        <v>943</v>
      </c>
      <c r="C674" s="29" t="s">
        <v>27</v>
      </c>
      <c r="D674" s="31">
        <f>SUMIFS(D675:D1057,K675:K1057,"0",B675:B1057,"5 1 2 1 4 12 31111*")-SUMIFS(E675:E1057,K675:K1057,"0",B675:B1057,"5 1 2 1 4 12 31111*")</f>
        <v>0</v>
      </c>
      <c r="E674"/>
      <c r="F674" s="31">
        <f>SUMIFS(F675:F1057,K675:K1057,"0",B675:B1057,"5 1 2 1 4 12 31111*")</f>
        <v>60134.400000000001</v>
      </c>
      <c r="G674" s="31">
        <f>SUMIFS(G675:G1057,K675:K1057,"0",B675:B1057,"5 1 2 1 4 12 31111*")</f>
        <v>0</v>
      </c>
      <c r="H674" s="31">
        <f t="shared" si="13"/>
        <v>60134.400000000001</v>
      </c>
      <c r="I674" s="31"/>
      <c r="K674" t="s">
        <v>14</v>
      </c>
    </row>
    <row r="675" spans="2:11" ht="13" x14ac:dyDescent="0.15">
      <c r="B675" s="29" t="s">
        <v>944</v>
      </c>
      <c r="C675" s="29" t="s">
        <v>29</v>
      </c>
      <c r="D675" s="31">
        <f>SUMIFS(D676:D1057,K676:K1057,"0",B676:B1057,"5 1 2 1 4 12 31111 6*")-SUMIFS(E676:E1057,K676:K1057,"0",B676:B1057,"5 1 2 1 4 12 31111 6*")</f>
        <v>0</v>
      </c>
      <c r="E675"/>
      <c r="F675" s="31">
        <f>SUMIFS(F676:F1057,K676:K1057,"0",B676:B1057,"5 1 2 1 4 12 31111 6*")</f>
        <v>60134.400000000001</v>
      </c>
      <c r="G675" s="31">
        <f>SUMIFS(G676:G1057,K676:K1057,"0",B676:B1057,"5 1 2 1 4 12 31111 6*")</f>
        <v>0</v>
      </c>
      <c r="H675" s="31">
        <f t="shared" si="13"/>
        <v>60134.400000000001</v>
      </c>
      <c r="I675" s="31"/>
      <c r="K675" t="s">
        <v>14</v>
      </c>
    </row>
    <row r="676" spans="2:11" ht="13" x14ac:dyDescent="0.15">
      <c r="B676" s="29" t="s">
        <v>945</v>
      </c>
      <c r="C676" s="29" t="s">
        <v>629</v>
      </c>
      <c r="D676" s="31">
        <f>SUMIFS(D677:D1057,K677:K1057,"0",B677:B1057,"5 1 2 1 4 12 31111 6 M78*")-SUMIFS(E677:E1057,K677:K1057,"0",B677:B1057,"5 1 2 1 4 12 31111 6 M78*")</f>
        <v>0</v>
      </c>
      <c r="E676"/>
      <c r="F676" s="31">
        <f>SUMIFS(F677:F1057,K677:K1057,"0",B677:B1057,"5 1 2 1 4 12 31111 6 M78*")</f>
        <v>60134.400000000001</v>
      </c>
      <c r="G676" s="31">
        <f>SUMIFS(G677:G1057,K677:K1057,"0",B677:B1057,"5 1 2 1 4 12 31111 6 M78*")</f>
        <v>0</v>
      </c>
      <c r="H676" s="31">
        <f t="shared" si="13"/>
        <v>60134.400000000001</v>
      </c>
      <c r="I676" s="31"/>
      <c r="K676" t="s">
        <v>14</v>
      </c>
    </row>
    <row r="677" spans="2:11" ht="13" x14ac:dyDescent="0.15">
      <c r="B677" s="29" t="s">
        <v>946</v>
      </c>
      <c r="C677" s="29" t="s">
        <v>176</v>
      </c>
      <c r="D677" s="31">
        <f>SUMIFS(D678:D1057,K678:K1057,"0",B678:B1057,"5 1 2 1 4 12 31111 6 M78 15000*")-SUMIFS(E678:E1057,K678:K1057,"0",B678:B1057,"5 1 2 1 4 12 31111 6 M78 15000*")</f>
        <v>0</v>
      </c>
      <c r="E677"/>
      <c r="F677" s="31">
        <f>SUMIFS(F678:F1057,K678:K1057,"0",B678:B1057,"5 1 2 1 4 12 31111 6 M78 15000*")</f>
        <v>60134.400000000001</v>
      </c>
      <c r="G677" s="31">
        <f>SUMIFS(G678:G1057,K678:K1057,"0",B678:B1057,"5 1 2 1 4 12 31111 6 M78 15000*")</f>
        <v>0</v>
      </c>
      <c r="H677" s="31">
        <f t="shared" si="13"/>
        <v>60134.400000000001</v>
      </c>
      <c r="I677" s="31"/>
      <c r="K677" t="s">
        <v>14</v>
      </c>
    </row>
    <row r="678" spans="2:11" ht="13" x14ac:dyDescent="0.15">
      <c r="B678" s="29" t="s">
        <v>947</v>
      </c>
      <c r="C678" s="29" t="s">
        <v>178</v>
      </c>
      <c r="D678" s="31">
        <f>SUMIFS(D679:D1057,K679:K1057,"0",B679:B1057,"5 1 2 1 4 12 31111 6 M78 15000 171*")-SUMIFS(E679:E1057,K679:K1057,"0",B679:B1057,"5 1 2 1 4 12 31111 6 M78 15000 171*")</f>
        <v>0</v>
      </c>
      <c r="E678"/>
      <c r="F678" s="31">
        <f>SUMIFS(F679:F1057,K679:K1057,"0",B679:B1057,"5 1 2 1 4 12 31111 6 M78 15000 171*")</f>
        <v>60134.400000000001</v>
      </c>
      <c r="G678" s="31">
        <f>SUMIFS(G679:G1057,K679:K1057,"0",B679:B1057,"5 1 2 1 4 12 31111 6 M78 15000 171*")</f>
        <v>0</v>
      </c>
      <c r="H678" s="31">
        <f t="shared" si="13"/>
        <v>60134.400000000001</v>
      </c>
      <c r="I678" s="31"/>
      <c r="K678" t="s">
        <v>14</v>
      </c>
    </row>
    <row r="679" spans="2:11" ht="13" x14ac:dyDescent="0.15">
      <c r="B679" s="29" t="s">
        <v>948</v>
      </c>
      <c r="C679" s="29" t="s">
        <v>180</v>
      </c>
      <c r="D679" s="31">
        <f>SUMIFS(D680:D1057,K680:K1057,"0",B680:B1057,"5 1 2 1 4 12 31111 6 M78 15000 171 00I*")-SUMIFS(E680:E1057,K680:K1057,"0",B680:B1057,"5 1 2 1 4 12 31111 6 M78 15000 171 00I*")</f>
        <v>0</v>
      </c>
      <c r="E679"/>
      <c r="F679" s="31">
        <f>SUMIFS(F680:F1057,K680:K1057,"0",B680:B1057,"5 1 2 1 4 12 31111 6 M78 15000 171 00I*")</f>
        <v>60134.400000000001</v>
      </c>
      <c r="G679" s="31">
        <f>SUMIFS(G680:G1057,K680:K1057,"0",B680:B1057,"5 1 2 1 4 12 31111 6 M78 15000 171 00I*")</f>
        <v>0</v>
      </c>
      <c r="H679" s="31">
        <f t="shared" si="13"/>
        <v>60134.400000000001</v>
      </c>
      <c r="I679" s="31"/>
      <c r="K679" t="s">
        <v>14</v>
      </c>
    </row>
    <row r="680" spans="2:11" ht="13" x14ac:dyDescent="0.15">
      <c r="B680" s="29" t="s">
        <v>949</v>
      </c>
      <c r="C680" s="29" t="s">
        <v>562</v>
      </c>
      <c r="D680" s="31">
        <f>SUMIFS(D681:D1057,K681:K1057,"0",B681:B1057,"5 1 2 1 4 12 31111 6 M78 15000 171 00I 001*")-SUMIFS(E681:E1057,K681:K1057,"0",B681:B1057,"5 1 2 1 4 12 31111 6 M78 15000 171 00I 001*")</f>
        <v>0</v>
      </c>
      <c r="E680"/>
      <c r="F680" s="31">
        <f>SUMIFS(F681:F1057,K681:K1057,"0",B681:B1057,"5 1 2 1 4 12 31111 6 M78 15000 171 00I 001*")</f>
        <v>60134.400000000001</v>
      </c>
      <c r="G680" s="31">
        <f>SUMIFS(G681:G1057,K681:K1057,"0",B681:B1057,"5 1 2 1 4 12 31111 6 M78 15000 171 00I 001*")</f>
        <v>0</v>
      </c>
      <c r="H680" s="31">
        <f t="shared" si="13"/>
        <v>60134.400000000001</v>
      </c>
      <c r="I680" s="31"/>
      <c r="K680" t="s">
        <v>14</v>
      </c>
    </row>
    <row r="681" spans="2:11" ht="22" x14ac:dyDescent="0.15">
      <c r="B681" s="29" t="s">
        <v>950</v>
      </c>
      <c r="C681" s="29" t="s">
        <v>951</v>
      </c>
      <c r="D681" s="31">
        <f>SUMIFS(D682:D1057,K682:K1057,"0",B682:B1057,"5 1 2 1 4 12 31111 6 M78 15000 171 00I 001 21401*")-SUMIFS(E682:E1057,K682:K1057,"0",B682:B1057,"5 1 2 1 4 12 31111 6 M78 15000 171 00I 001 21401*")</f>
        <v>0</v>
      </c>
      <c r="E681"/>
      <c r="F681" s="31">
        <f>SUMIFS(F682:F1057,K682:K1057,"0",B682:B1057,"5 1 2 1 4 12 31111 6 M78 15000 171 00I 001 21401*")</f>
        <v>60134.400000000001</v>
      </c>
      <c r="G681" s="31">
        <f>SUMIFS(G682:G1057,K682:K1057,"0",B682:B1057,"5 1 2 1 4 12 31111 6 M78 15000 171 00I 001 21401*")</f>
        <v>0</v>
      </c>
      <c r="H681" s="31">
        <f t="shared" si="13"/>
        <v>60134.400000000001</v>
      </c>
      <c r="I681" s="31"/>
      <c r="K681" t="s">
        <v>14</v>
      </c>
    </row>
    <row r="682" spans="2:11" ht="13" x14ac:dyDescent="0.15">
      <c r="B682" s="29" t="s">
        <v>952</v>
      </c>
      <c r="C682" s="29" t="s">
        <v>186</v>
      </c>
      <c r="D682" s="31">
        <f>SUMIFS(D683:D1057,K683:K1057,"0",B683:B1057,"5 1 2 1 4 12 31111 6 M78 15000 171 00I 001 21401 025*")-SUMIFS(E683:E1057,K683:K1057,"0",B683:B1057,"5 1 2 1 4 12 31111 6 M78 15000 171 00I 001 21401 025*")</f>
        <v>0</v>
      </c>
      <c r="E682"/>
      <c r="F682" s="31">
        <f>SUMIFS(F683:F1057,K683:K1057,"0",B683:B1057,"5 1 2 1 4 12 31111 6 M78 15000 171 00I 001 21401 025*")</f>
        <v>60134.400000000001</v>
      </c>
      <c r="G682" s="31">
        <f>SUMIFS(G683:G1057,K683:K1057,"0",B683:B1057,"5 1 2 1 4 12 31111 6 M78 15000 171 00I 001 21401 025*")</f>
        <v>0</v>
      </c>
      <c r="H682" s="31">
        <f t="shared" si="13"/>
        <v>60134.400000000001</v>
      </c>
      <c r="I682" s="31"/>
      <c r="K682" t="s">
        <v>14</v>
      </c>
    </row>
    <row r="683" spans="2:11" ht="22" x14ac:dyDescent="0.15">
      <c r="B683" s="29" t="s">
        <v>953</v>
      </c>
      <c r="C683" s="29" t="s">
        <v>188</v>
      </c>
      <c r="D683" s="31">
        <f>SUMIFS(D684:D1057,K684:K1057,"0",B684:B1057,"5 1 2 1 4 12 31111 6 M78 15000 171 00I 001 21401 025 2112000*")-SUMIFS(E684:E1057,K684:K1057,"0",B684:B1057,"5 1 2 1 4 12 31111 6 M78 15000 171 00I 001 21401 025 2112000*")</f>
        <v>0</v>
      </c>
      <c r="E683"/>
      <c r="F683" s="31">
        <f>SUMIFS(F684:F1057,K684:K1057,"0",B684:B1057,"5 1 2 1 4 12 31111 6 M78 15000 171 00I 001 21401 025 2112000*")</f>
        <v>60134.400000000001</v>
      </c>
      <c r="G683" s="31">
        <f>SUMIFS(G684:G1057,K684:K1057,"0",B684:B1057,"5 1 2 1 4 12 31111 6 M78 15000 171 00I 001 21401 025 2112000*")</f>
        <v>0</v>
      </c>
      <c r="H683" s="31">
        <f t="shared" si="13"/>
        <v>60134.400000000001</v>
      </c>
      <c r="I683" s="31"/>
      <c r="K683" t="s">
        <v>14</v>
      </c>
    </row>
    <row r="684" spans="2:11" ht="22" x14ac:dyDescent="0.15">
      <c r="B684" s="29" t="s">
        <v>954</v>
      </c>
      <c r="C684" s="29" t="s">
        <v>294</v>
      </c>
      <c r="D684" s="31">
        <f>SUMIFS(D685:D1057,K685:K1057,"0",B685:B1057,"5 1 2 1 4 12 31111 6 M78 15000 171 00I 001 21401 025 2112000 2024*")-SUMIFS(E685:E1057,K685:K1057,"0",B685:B1057,"5 1 2 1 4 12 31111 6 M78 15000 171 00I 001 21401 025 2112000 2024*")</f>
        <v>0</v>
      </c>
      <c r="E684"/>
      <c r="F684" s="31">
        <f>SUMIFS(F685:F1057,K685:K1057,"0",B685:B1057,"5 1 2 1 4 12 31111 6 M78 15000 171 00I 001 21401 025 2112000 2024*")</f>
        <v>60134.400000000001</v>
      </c>
      <c r="G684" s="31">
        <f>SUMIFS(G685:G1057,K685:K1057,"0",B685:B1057,"5 1 2 1 4 12 31111 6 M78 15000 171 00I 001 21401 025 2112000 2024*")</f>
        <v>0</v>
      </c>
      <c r="H684" s="31">
        <f t="shared" si="13"/>
        <v>60134.400000000001</v>
      </c>
      <c r="I684" s="31"/>
      <c r="K684" t="s">
        <v>14</v>
      </c>
    </row>
    <row r="685" spans="2:11" ht="22" x14ac:dyDescent="0.15">
      <c r="B685" s="29" t="s">
        <v>955</v>
      </c>
      <c r="C685" s="29" t="s">
        <v>192</v>
      </c>
      <c r="D685" s="31">
        <f>SUMIFS(D686:D1057,K686:K1057,"0",B686:B1057,"5 1 2 1 4 12 31111 6 M78 15000 171 00I 001 21401 025 2112000 2024 00000000*")-SUMIFS(E686:E1057,K686:K1057,"0",B686:B1057,"5 1 2 1 4 12 31111 6 M78 15000 171 00I 001 21401 025 2112000 2024 00000000*")</f>
        <v>0</v>
      </c>
      <c r="E685"/>
      <c r="F685" s="31">
        <f>SUMIFS(F686:F1057,K686:K1057,"0",B686:B1057,"5 1 2 1 4 12 31111 6 M78 15000 171 00I 001 21401 025 2112000 2024 00000000*")</f>
        <v>60134.400000000001</v>
      </c>
      <c r="G685" s="31">
        <f>SUMIFS(G686:G1057,K686:K1057,"0",B686:B1057,"5 1 2 1 4 12 31111 6 M78 15000 171 00I 001 21401 025 2112000 2024 00000000*")</f>
        <v>0</v>
      </c>
      <c r="H685" s="31">
        <f t="shared" si="13"/>
        <v>60134.400000000001</v>
      </c>
      <c r="I685" s="31"/>
      <c r="K685" t="s">
        <v>14</v>
      </c>
    </row>
    <row r="686" spans="2:11" ht="22" x14ac:dyDescent="0.15">
      <c r="B686" s="29" t="s">
        <v>956</v>
      </c>
      <c r="C686" s="29" t="s">
        <v>9</v>
      </c>
      <c r="D686" s="31">
        <f>SUMIFS(D687:D1057,K687:K1057,"0",B687:B1057,"5 1 2 1 4 12 31111 6 M78 15000 171 00I 001 21401 025 2112000 2024 00000000 003*")-SUMIFS(E687:E1057,K687:K1057,"0",B687:B1057,"5 1 2 1 4 12 31111 6 M78 15000 171 00I 001 21401 025 2112000 2024 00000000 003*")</f>
        <v>0</v>
      </c>
      <c r="E686"/>
      <c r="F686" s="31">
        <f>SUMIFS(F687:F1057,K687:K1057,"0",B687:B1057,"5 1 2 1 4 12 31111 6 M78 15000 171 00I 001 21401 025 2112000 2024 00000000 003*")</f>
        <v>60134.400000000001</v>
      </c>
      <c r="G686" s="31">
        <f>SUMIFS(G687:G1057,K687:K1057,"0",B687:B1057,"5 1 2 1 4 12 31111 6 M78 15000 171 00I 001 21401 025 2112000 2024 00000000 003*")</f>
        <v>0</v>
      </c>
      <c r="H686" s="31">
        <f t="shared" si="13"/>
        <v>60134.400000000001</v>
      </c>
      <c r="I686" s="31"/>
      <c r="K686" t="s">
        <v>14</v>
      </c>
    </row>
    <row r="687" spans="2:11" ht="22" x14ac:dyDescent="0.15">
      <c r="B687" s="27" t="s">
        <v>957</v>
      </c>
      <c r="C687" s="27" t="s">
        <v>958</v>
      </c>
      <c r="D687" s="30">
        <v>0</v>
      </c>
      <c r="E687" s="30"/>
      <c r="F687" s="30">
        <v>60134.400000000001</v>
      </c>
      <c r="G687" s="30">
        <v>0</v>
      </c>
      <c r="H687" s="30">
        <f t="shared" si="13"/>
        <v>60134.400000000001</v>
      </c>
      <c r="I687" s="30"/>
      <c r="K687" t="s">
        <v>38</v>
      </c>
    </row>
    <row r="688" spans="2:11" ht="13" x14ac:dyDescent="0.15">
      <c r="B688" s="29" t="s">
        <v>959</v>
      </c>
      <c r="C688" s="29" t="s">
        <v>960</v>
      </c>
      <c r="D688" s="31">
        <f>SUMIFS(D689:D1057,K689:K1057,"0",B689:B1057,"5 1 2 1 6*")-SUMIFS(E689:E1057,K689:K1057,"0",B689:B1057,"5 1 2 1 6*")</f>
        <v>0</v>
      </c>
      <c r="E688"/>
      <c r="F688" s="31">
        <f>SUMIFS(F689:F1057,K689:K1057,"0",B689:B1057,"5 1 2 1 6*")</f>
        <v>228686</v>
      </c>
      <c r="G688" s="31">
        <f>SUMIFS(G689:G1057,K689:K1057,"0",B689:B1057,"5 1 2 1 6*")</f>
        <v>0</v>
      </c>
      <c r="H688" s="31">
        <f t="shared" si="13"/>
        <v>228686</v>
      </c>
      <c r="I688" s="31"/>
      <c r="K688" t="s">
        <v>14</v>
      </c>
    </row>
    <row r="689" spans="2:11" ht="13" x14ac:dyDescent="0.15">
      <c r="B689" s="29" t="s">
        <v>961</v>
      </c>
      <c r="C689" s="29" t="s">
        <v>25</v>
      </c>
      <c r="D689" s="31">
        <f>SUMIFS(D690:D1057,K690:K1057,"0",B690:B1057,"5 1 2 1 6 12*")-SUMIFS(E690:E1057,K690:K1057,"0",B690:B1057,"5 1 2 1 6 12*")</f>
        <v>0</v>
      </c>
      <c r="E689"/>
      <c r="F689" s="31">
        <f>SUMIFS(F690:F1057,K690:K1057,"0",B690:B1057,"5 1 2 1 6 12*")</f>
        <v>228686</v>
      </c>
      <c r="G689" s="31">
        <f>SUMIFS(G690:G1057,K690:K1057,"0",B690:B1057,"5 1 2 1 6 12*")</f>
        <v>0</v>
      </c>
      <c r="H689" s="31">
        <f t="shared" si="13"/>
        <v>228686</v>
      </c>
      <c r="I689" s="31"/>
      <c r="K689" t="s">
        <v>14</v>
      </c>
    </row>
    <row r="690" spans="2:11" ht="13" x14ac:dyDescent="0.15">
      <c r="B690" s="29" t="s">
        <v>962</v>
      </c>
      <c r="C690" s="29" t="s">
        <v>27</v>
      </c>
      <c r="D690" s="31">
        <f>SUMIFS(D691:D1057,K691:K1057,"0",B691:B1057,"5 1 2 1 6 12 31111*")-SUMIFS(E691:E1057,K691:K1057,"0",B691:B1057,"5 1 2 1 6 12 31111*")</f>
        <v>0</v>
      </c>
      <c r="E690"/>
      <c r="F690" s="31">
        <f>SUMIFS(F691:F1057,K691:K1057,"0",B691:B1057,"5 1 2 1 6 12 31111*")</f>
        <v>228686</v>
      </c>
      <c r="G690" s="31">
        <f>SUMIFS(G691:G1057,K691:K1057,"0",B691:B1057,"5 1 2 1 6 12 31111*")</f>
        <v>0</v>
      </c>
      <c r="H690" s="31">
        <f t="shared" si="13"/>
        <v>228686</v>
      </c>
      <c r="I690" s="31"/>
      <c r="K690" t="s">
        <v>14</v>
      </c>
    </row>
    <row r="691" spans="2:11" ht="13" x14ac:dyDescent="0.15">
      <c r="B691" s="29" t="s">
        <v>963</v>
      </c>
      <c r="C691" s="29" t="s">
        <v>29</v>
      </c>
      <c r="D691" s="31">
        <f>SUMIFS(D692:D1057,K692:K1057,"0",B692:B1057,"5 1 2 1 6 12 31111 6*")-SUMIFS(E692:E1057,K692:K1057,"0",B692:B1057,"5 1 2 1 6 12 31111 6*")</f>
        <v>0</v>
      </c>
      <c r="E691"/>
      <c r="F691" s="31">
        <f>SUMIFS(F692:F1057,K692:K1057,"0",B692:B1057,"5 1 2 1 6 12 31111 6*")</f>
        <v>228686</v>
      </c>
      <c r="G691" s="31">
        <f>SUMIFS(G692:G1057,K692:K1057,"0",B692:B1057,"5 1 2 1 6 12 31111 6*")</f>
        <v>0</v>
      </c>
      <c r="H691" s="31">
        <f t="shared" si="13"/>
        <v>228686</v>
      </c>
      <c r="I691" s="31"/>
      <c r="K691" t="s">
        <v>14</v>
      </c>
    </row>
    <row r="692" spans="2:11" ht="13" x14ac:dyDescent="0.15">
      <c r="B692" s="29" t="s">
        <v>964</v>
      </c>
      <c r="C692" s="29" t="s">
        <v>629</v>
      </c>
      <c r="D692" s="31">
        <f>SUMIFS(D693:D1057,K693:K1057,"0",B693:B1057,"5 1 2 1 6 12 31111 6 M78*")-SUMIFS(E693:E1057,K693:K1057,"0",B693:B1057,"5 1 2 1 6 12 31111 6 M78*")</f>
        <v>0</v>
      </c>
      <c r="E692"/>
      <c r="F692" s="31">
        <f>SUMIFS(F693:F1057,K693:K1057,"0",B693:B1057,"5 1 2 1 6 12 31111 6 M78*")</f>
        <v>228686</v>
      </c>
      <c r="G692" s="31">
        <f>SUMIFS(G693:G1057,K693:K1057,"0",B693:B1057,"5 1 2 1 6 12 31111 6 M78*")</f>
        <v>0</v>
      </c>
      <c r="H692" s="31">
        <f t="shared" si="13"/>
        <v>228686</v>
      </c>
      <c r="I692" s="31"/>
      <c r="K692" t="s">
        <v>14</v>
      </c>
    </row>
    <row r="693" spans="2:11" ht="13" x14ac:dyDescent="0.15">
      <c r="B693" s="29" t="s">
        <v>965</v>
      </c>
      <c r="C693" s="29" t="s">
        <v>176</v>
      </c>
      <c r="D693" s="31">
        <f>SUMIFS(D694:D1057,K694:K1057,"0",B694:B1057,"5 1 2 1 6 12 31111 6 M78 15000*")-SUMIFS(E694:E1057,K694:K1057,"0",B694:B1057,"5 1 2 1 6 12 31111 6 M78 15000*")</f>
        <v>0</v>
      </c>
      <c r="E693"/>
      <c r="F693" s="31">
        <f>SUMIFS(F694:F1057,K694:K1057,"0",B694:B1057,"5 1 2 1 6 12 31111 6 M78 15000*")</f>
        <v>228686</v>
      </c>
      <c r="G693" s="31">
        <f>SUMIFS(G694:G1057,K694:K1057,"0",B694:B1057,"5 1 2 1 6 12 31111 6 M78 15000*")</f>
        <v>0</v>
      </c>
      <c r="H693" s="31">
        <f t="shared" si="13"/>
        <v>228686</v>
      </c>
      <c r="I693" s="31"/>
      <c r="K693" t="s">
        <v>14</v>
      </c>
    </row>
    <row r="694" spans="2:11" ht="13" x14ac:dyDescent="0.15">
      <c r="B694" s="29" t="s">
        <v>966</v>
      </c>
      <c r="C694" s="29" t="s">
        <v>178</v>
      </c>
      <c r="D694" s="31">
        <f>SUMIFS(D695:D1057,K695:K1057,"0",B695:B1057,"5 1 2 1 6 12 31111 6 M78 15000 171*")-SUMIFS(E695:E1057,K695:K1057,"0",B695:B1057,"5 1 2 1 6 12 31111 6 M78 15000 171*")</f>
        <v>0</v>
      </c>
      <c r="E694"/>
      <c r="F694" s="31">
        <f>SUMIFS(F695:F1057,K695:K1057,"0",B695:B1057,"5 1 2 1 6 12 31111 6 M78 15000 171*")</f>
        <v>228686</v>
      </c>
      <c r="G694" s="31">
        <f>SUMIFS(G695:G1057,K695:K1057,"0",B695:B1057,"5 1 2 1 6 12 31111 6 M78 15000 171*")</f>
        <v>0</v>
      </c>
      <c r="H694" s="31">
        <f t="shared" si="13"/>
        <v>228686</v>
      </c>
      <c r="I694" s="31"/>
      <c r="K694" t="s">
        <v>14</v>
      </c>
    </row>
    <row r="695" spans="2:11" ht="13" x14ac:dyDescent="0.15">
      <c r="B695" s="29" t="s">
        <v>967</v>
      </c>
      <c r="C695" s="29" t="s">
        <v>180</v>
      </c>
      <c r="D695" s="31">
        <f>SUMIFS(D696:D1057,K696:K1057,"0",B696:B1057,"5 1 2 1 6 12 31111 6 M78 15000 171 00I*")-SUMIFS(E696:E1057,K696:K1057,"0",B696:B1057,"5 1 2 1 6 12 31111 6 M78 15000 171 00I*")</f>
        <v>0</v>
      </c>
      <c r="E695"/>
      <c r="F695" s="31">
        <f>SUMIFS(F696:F1057,K696:K1057,"0",B696:B1057,"5 1 2 1 6 12 31111 6 M78 15000 171 00I*")</f>
        <v>228686</v>
      </c>
      <c r="G695" s="31">
        <f>SUMIFS(G696:G1057,K696:K1057,"0",B696:B1057,"5 1 2 1 6 12 31111 6 M78 15000 171 00I*")</f>
        <v>0</v>
      </c>
      <c r="H695" s="31">
        <f t="shared" si="13"/>
        <v>228686</v>
      </c>
      <c r="I695" s="31"/>
      <c r="K695" t="s">
        <v>14</v>
      </c>
    </row>
    <row r="696" spans="2:11" ht="13" x14ac:dyDescent="0.15">
      <c r="B696" s="29" t="s">
        <v>968</v>
      </c>
      <c r="C696" s="29" t="s">
        <v>562</v>
      </c>
      <c r="D696" s="31">
        <f>SUMIFS(D697:D1057,K697:K1057,"0",B697:B1057,"5 1 2 1 6 12 31111 6 M78 15000 171 00I 001*")-SUMIFS(E697:E1057,K697:K1057,"0",B697:B1057,"5 1 2 1 6 12 31111 6 M78 15000 171 00I 001*")</f>
        <v>0</v>
      </c>
      <c r="E696"/>
      <c r="F696" s="31">
        <f>SUMIFS(F697:F1057,K697:K1057,"0",B697:B1057,"5 1 2 1 6 12 31111 6 M78 15000 171 00I 001*")</f>
        <v>228686</v>
      </c>
      <c r="G696" s="31">
        <f>SUMIFS(G697:G1057,K697:K1057,"0",B697:B1057,"5 1 2 1 6 12 31111 6 M78 15000 171 00I 001*")</f>
        <v>0</v>
      </c>
      <c r="H696" s="31">
        <f t="shared" si="13"/>
        <v>228686</v>
      </c>
      <c r="I696" s="31"/>
      <c r="K696" t="s">
        <v>14</v>
      </c>
    </row>
    <row r="697" spans="2:11" ht="13" x14ac:dyDescent="0.15">
      <c r="B697" s="29" t="s">
        <v>969</v>
      </c>
      <c r="C697" s="29" t="s">
        <v>970</v>
      </c>
      <c r="D697" s="31">
        <f>SUMIFS(D698:D1057,K698:K1057,"0",B698:B1057,"5 1 2 1 6 12 31111 6 M78 15000 171 00I 001 21601*")-SUMIFS(E698:E1057,K698:K1057,"0",B698:B1057,"5 1 2 1 6 12 31111 6 M78 15000 171 00I 001 21601*")</f>
        <v>0</v>
      </c>
      <c r="E697"/>
      <c r="F697" s="31">
        <f>SUMIFS(F698:F1057,K698:K1057,"0",B698:B1057,"5 1 2 1 6 12 31111 6 M78 15000 171 00I 001 21601*")</f>
        <v>228686</v>
      </c>
      <c r="G697" s="31">
        <f>SUMIFS(G698:G1057,K698:K1057,"0",B698:B1057,"5 1 2 1 6 12 31111 6 M78 15000 171 00I 001 21601*")</f>
        <v>0</v>
      </c>
      <c r="H697" s="31">
        <f t="shared" si="13"/>
        <v>228686</v>
      </c>
      <c r="I697" s="31"/>
      <c r="K697" t="s">
        <v>14</v>
      </c>
    </row>
    <row r="698" spans="2:11" ht="13" x14ac:dyDescent="0.15">
      <c r="B698" s="29" t="s">
        <v>971</v>
      </c>
      <c r="C698" s="29" t="s">
        <v>186</v>
      </c>
      <c r="D698" s="31">
        <f>SUMIFS(D699:D1057,K699:K1057,"0",B699:B1057,"5 1 2 1 6 12 31111 6 M78 15000 171 00I 001 21601 025*")-SUMIFS(E699:E1057,K699:K1057,"0",B699:B1057,"5 1 2 1 6 12 31111 6 M78 15000 171 00I 001 21601 025*")</f>
        <v>0</v>
      </c>
      <c r="E698"/>
      <c r="F698" s="31">
        <f>SUMIFS(F699:F1057,K699:K1057,"0",B699:B1057,"5 1 2 1 6 12 31111 6 M78 15000 171 00I 001 21601 025*")</f>
        <v>228686</v>
      </c>
      <c r="G698" s="31">
        <f>SUMIFS(G699:G1057,K699:K1057,"0",B699:B1057,"5 1 2 1 6 12 31111 6 M78 15000 171 00I 001 21601 025*")</f>
        <v>0</v>
      </c>
      <c r="H698" s="31">
        <f t="shared" si="13"/>
        <v>228686</v>
      </c>
      <c r="I698" s="31"/>
      <c r="K698" t="s">
        <v>14</v>
      </c>
    </row>
    <row r="699" spans="2:11" ht="22" x14ac:dyDescent="0.15">
      <c r="B699" s="29" t="s">
        <v>972</v>
      </c>
      <c r="C699" s="29" t="s">
        <v>188</v>
      </c>
      <c r="D699" s="31">
        <f>SUMIFS(D700:D1057,K700:K1057,"0",B700:B1057,"5 1 2 1 6 12 31111 6 M78 15000 171 00I 001 21601 025 2112000*")-SUMIFS(E700:E1057,K700:K1057,"0",B700:B1057,"5 1 2 1 6 12 31111 6 M78 15000 171 00I 001 21601 025 2112000*")</f>
        <v>0</v>
      </c>
      <c r="E699"/>
      <c r="F699" s="31">
        <f>SUMIFS(F700:F1057,K700:K1057,"0",B700:B1057,"5 1 2 1 6 12 31111 6 M78 15000 171 00I 001 21601 025 2112000*")</f>
        <v>228686</v>
      </c>
      <c r="G699" s="31">
        <f>SUMIFS(G700:G1057,K700:K1057,"0",B700:B1057,"5 1 2 1 6 12 31111 6 M78 15000 171 00I 001 21601 025 2112000*")</f>
        <v>0</v>
      </c>
      <c r="H699" s="31">
        <f t="shared" si="13"/>
        <v>228686</v>
      </c>
      <c r="I699" s="31"/>
      <c r="K699" t="s">
        <v>14</v>
      </c>
    </row>
    <row r="700" spans="2:11" ht="22" x14ac:dyDescent="0.15">
      <c r="B700" s="29" t="s">
        <v>973</v>
      </c>
      <c r="C700" s="29" t="s">
        <v>294</v>
      </c>
      <c r="D700" s="31">
        <f>SUMIFS(D701:D1057,K701:K1057,"0",B701:B1057,"5 1 2 1 6 12 31111 6 M78 15000 171 00I 001 21601 025 2112000 2024*")-SUMIFS(E701:E1057,K701:K1057,"0",B701:B1057,"5 1 2 1 6 12 31111 6 M78 15000 171 00I 001 21601 025 2112000 2024*")</f>
        <v>0</v>
      </c>
      <c r="E700"/>
      <c r="F700" s="31">
        <f>SUMIFS(F701:F1057,K701:K1057,"0",B701:B1057,"5 1 2 1 6 12 31111 6 M78 15000 171 00I 001 21601 025 2112000 2024*")</f>
        <v>228686</v>
      </c>
      <c r="G700" s="31">
        <f>SUMIFS(G701:G1057,K701:K1057,"0",B701:B1057,"5 1 2 1 6 12 31111 6 M78 15000 171 00I 001 21601 025 2112000 2024*")</f>
        <v>0</v>
      </c>
      <c r="H700" s="31">
        <f t="shared" si="13"/>
        <v>228686</v>
      </c>
      <c r="I700" s="31"/>
      <c r="K700" t="s">
        <v>14</v>
      </c>
    </row>
    <row r="701" spans="2:11" ht="22" x14ac:dyDescent="0.15">
      <c r="B701" s="29" t="s">
        <v>974</v>
      </c>
      <c r="C701" s="29" t="s">
        <v>192</v>
      </c>
      <c r="D701" s="31">
        <f>SUMIFS(D702:D1057,K702:K1057,"0",B702:B1057,"5 1 2 1 6 12 31111 6 M78 15000 171 00I 001 21601 025 2112000 2024 00000000*")-SUMIFS(E702:E1057,K702:K1057,"0",B702:B1057,"5 1 2 1 6 12 31111 6 M78 15000 171 00I 001 21601 025 2112000 2024 00000000*")</f>
        <v>0</v>
      </c>
      <c r="E701"/>
      <c r="F701" s="31">
        <f>SUMIFS(F702:F1057,K702:K1057,"0",B702:B1057,"5 1 2 1 6 12 31111 6 M78 15000 171 00I 001 21601 025 2112000 2024 00000000*")</f>
        <v>228686</v>
      </c>
      <c r="G701" s="31">
        <f>SUMIFS(G702:G1057,K702:K1057,"0",B702:B1057,"5 1 2 1 6 12 31111 6 M78 15000 171 00I 001 21601 025 2112000 2024 00000000*")</f>
        <v>0</v>
      </c>
      <c r="H701" s="31">
        <f t="shared" si="13"/>
        <v>228686</v>
      </c>
      <c r="I701" s="31"/>
      <c r="K701" t="s">
        <v>14</v>
      </c>
    </row>
    <row r="702" spans="2:11" ht="22" x14ac:dyDescent="0.15">
      <c r="B702" s="29" t="s">
        <v>975</v>
      </c>
      <c r="C702" s="29" t="s">
        <v>9</v>
      </c>
      <c r="D702" s="31">
        <f>SUMIFS(D703:D1057,K703:K1057,"0",B703:B1057,"5 1 2 1 6 12 31111 6 M78 15000 171 00I 001 21601 025 2112000 2024 00000000 003*")-SUMIFS(E703:E1057,K703:K1057,"0",B703:B1057,"5 1 2 1 6 12 31111 6 M78 15000 171 00I 001 21601 025 2112000 2024 00000000 003*")</f>
        <v>0</v>
      </c>
      <c r="E702"/>
      <c r="F702" s="31">
        <f>SUMIFS(F703:F1057,K703:K1057,"0",B703:B1057,"5 1 2 1 6 12 31111 6 M78 15000 171 00I 001 21601 025 2112000 2024 00000000 003*")</f>
        <v>228686</v>
      </c>
      <c r="G702" s="31">
        <f>SUMIFS(G703:G1057,K703:K1057,"0",B703:B1057,"5 1 2 1 6 12 31111 6 M78 15000 171 00I 001 21601 025 2112000 2024 00000000 003*")</f>
        <v>0</v>
      </c>
      <c r="H702" s="31">
        <f t="shared" si="13"/>
        <v>228686</v>
      </c>
      <c r="I702" s="31"/>
      <c r="K702" t="s">
        <v>14</v>
      </c>
    </row>
    <row r="703" spans="2:11" ht="22" x14ac:dyDescent="0.15">
      <c r="B703" s="27" t="s">
        <v>976</v>
      </c>
      <c r="C703" s="27" t="s">
        <v>977</v>
      </c>
      <c r="D703" s="30">
        <v>0</v>
      </c>
      <c r="E703" s="30"/>
      <c r="F703" s="30">
        <v>228686</v>
      </c>
      <c r="G703" s="30">
        <v>0</v>
      </c>
      <c r="H703" s="30">
        <f t="shared" si="13"/>
        <v>228686</v>
      </c>
      <c r="I703" s="30"/>
      <c r="K703" t="s">
        <v>38</v>
      </c>
    </row>
    <row r="704" spans="2:11" ht="13" x14ac:dyDescent="0.15">
      <c r="B704" s="29" t="s">
        <v>978</v>
      </c>
      <c r="C704" s="29" t="s">
        <v>979</v>
      </c>
      <c r="D704" s="31">
        <f>SUMIFS(D705:D1057,K705:K1057,"0",B705:B1057,"5 1 2 2*")-SUMIFS(E705:E1057,K705:K1057,"0",B705:B1057,"5 1 2 2*")</f>
        <v>0</v>
      </c>
      <c r="E704"/>
      <c r="F704" s="31">
        <f>SUMIFS(F705:F1057,K705:K1057,"0",B705:B1057,"5 1 2 2*")</f>
        <v>90700</v>
      </c>
      <c r="G704" s="31">
        <f>SUMIFS(G705:G1057,K705:K1057,"0",B705:B1057,"5 1 2 2*")</f>
        <v>0</v>
      </c>
      <c r="H704" s="31">
        <f t="shared" si="13"/>
        <v>90700</v>
      </c>
      <c r="I704" s="31"/>
      <c r="K704" t="s">
        <v>14</v>
      </c>
    </row>
    <row r="705" spans="2:11" ht="13" x14ac:dyDescent="0.15">
      <c r="B705" s="29" t="s">
        <v>980</v>
      </c>
      <c r="C705" s="29" t="s">
        <v>981</v>
      </c>
      <c r="D705" s="31">
        <f>SUMIFS(D706:D1057,K706:K1057,"0",B706:B1057,"5 1 2 2 1*")-SUMIFS(E706:E1057,K706:K1057,"0",B706:B1057,"5 1 2 2 1*")</f>
        <v>0</v>
      </c>
      <c r="E705"/>
      <c r="F705" s="31">
        <f>SUMIFS(F706:F1057,K706:K1057,"0",B706:B1057,"5 1 2 2 1*")</f>
        <v>90700</v>
      </c>
      <c r="G705" s="31">
        <f>SUMIFS(G706:G1057,K706:K1057,"0",B706:B1057,"5 1 2 2 1*")</f>
        <v>0</v>
      </c>
      <c r="H705" s="31">
        <f t="shared" si="13"/>
        <v>90700</v>
      </c>
      <c r="I705" s="31"/>
      <c r="K705" t="s">
        <v>14</v>
      </c>
    </row>
    <row r="706" spans="2:11" ht="13" x14ac:dyDescent="0.15">
      <c r="B706" s="29" t="s">
        <v>982</v>
      </c>
      <c r="C706" s="29" t="s">
        <v>25</v>
      </c>
      <c r="D706" s="31">
        <f>SUMIFS(D707:D1057,K707:K1057,"0",B707:B1057,"5 1 2 2 1 12*")-SUMIFS(E707:E1057,K707:K1057,"0",B707:B1057,"5 1 2 2 1 12*")</f>
        <v>0</v>
      </c>
      <c r="E706"/>
      <c r="F706" s="31">
        <f>SUMIFS(F707:F1057,K707:K1057,"0",B707:B1057,"5 1 2 2 1 12*")</f>
        <v>90700</v>
      </c>
      <c r="G706" s="31">
        <f>SUMIFS(G707:G1057,K707:K1057,"0",B707:B1057,"5 1 2 2 1 12*")</f>
        <v>0</v>
      </c>
      <c r="H706" s="31">
        <f t="shared" si="13"/>
        <v>90700</v>
      </c>
      <c r="I706" s="31"/>
      <c r="K706" t="s">
        <v>14</v>
      </c>
    </row>
    <row r="707" spans="2:11" ht="13" x14ac:dyDescent="0.15">
      <c r="B707" s="29" t="s">
        <v>983</v>
      </c>
      <c r="C707" s="29" t="s">
        <v>27</v>
      </c>
      <c r="D707" s="31">
        <f>SUMIFS(D708:D1057,K708:K1057,"0",B708:B1057,"5 1 2 2 1 12 31111*")-SUMIFS(E708:E1057,K708:K1057,"0",B708:B1057,"5 1 2 2 1 12 31111*")</f>
        <v>0</v>
      </c>
      <c r="E707"/>
      <c r="F707" s="31">
        <f>SUMIFS(F708:F1057,K708:K1057,"0",B708:B1057,"5 1 2 2 1 12 31111*")</f>
        <v>90700</v>
      </c>
      <c r="G707" s="31">
        <f>SUMIFS(G708:G1057,K708:K1057,"0",B708:B1057,"5 1 2 2 1 12 31111*")</f>
        <v>0</v>
      </c>
      <c r="H707" s="31">
        <f t="shared" si="13"/>
        <v>90700</v>
      </c>
      <c r="I707" s="31"/>
      <c r="K707" t="s">
        <v>14</v>
      </c>
    </row>
    <row r="708" spans="2:11" ht="13" x14ac:dyDescent="0.15">
      <c r="B708" s="29" t="s">
        <v>984</v>
      </c>
      <c r="C708" s="29" t="s">
        <v>29</v>
      </c>
      <c r="D708" s="31">
        <f>SUMIFS(D709:D1057,K709:K1057,"0",B709:B1057,"5 1 2 2 1 12 31111 6*")-SUMIFS(E709:E1057,K709:K1057,"0",B709:B1057,"5 1 2 2 1 12 31111 6*")</f>
        <v>0</v>
      </c>
      <c r="E708"/>
      <c r="F708" s="31">
        <f>SUMIFS(F709:F1057,K709:K1057,"0",B709:B1057,"5 1 2 2 1 12 31111 6*")</f>
        <v>90700</v>
      </c>
      <c r="G708" s="31">
        <f>SUMIFS(G709:G1057,K709:K1057,"0",B709:B1057,"5 1 2 2 1 12 31111 6*")</f>
        <v>0</v>
      </c>
      <c r="H708" s="31">
        <f t="shared" si="13"/>
        <v>90700</v>
      </c>
      <c r="I708" s="31"/>
      <c r="K708" t="s">
        <v>14</v>
      </c>
    </row>
    <row r="709" spans="2:11" ht="13" x14ac:dyDescent="0.15">
      <c r="B709" s="29" t="s">
        <v>985</v>
      </c>
      <c r="C709" s="29" t="s">
        <v>629</v>
      </c>
      <c r="D709" s="31">
        <f>SUMIFS(D710:D1057,K710:K1057,"0",B710:B1057,"5 1 2 2 1 12 31111 6 M78*")-SUMIFS(E710:E1057,K710:K1057,"0",B710:B1057,"5 1 2 2 1 12 31111 6 M78*")</f>
        <v>0</v>
      </c>
      <c r="E709"/>
      <c r="F709" s="31">
        <f>SUMIFS(F710:F1057,K710:K1057,"0",B710:B1057,"5 1 2 2 1 12 31111 6 M78*")</f>
        <v>90700</v>
      </c>
      <c r="G709" s="31">
        <f>SUMIFS(G710:G1057,K710:K1057,"0",B710:B1057,"5 1 2 2 1 12 31111 6 M78*")</f>
        <v>0</v>
      </c>
      <c r="H709" s="31">
        <f t="shared" si="13"/>
        <v>90700</v>
      </c>
      <c r="I709" s="31"/>
      <c r="K709" t="s">
        <v>14</v>
      </c>
    </row>
    <row r="710" spans="2:11" ht="13" x14ac:dyDescent="0.15">
      <c r="B710" s="29" t="s">
        <v>986</v>
      </c>
      <c r="C710" s="29" t="s">
        <v>176</v>
      </c>
      <c r="D710" s="31">
        <f>SUMIFS(D711:D1057,K711:K1057,"0",B711:B1057,"5 1 2 2 1 12 31111 6 M78 15000*")-SUMIFS(E711:E1057,K711:K1057,"0",B711:B1057,"5 1 2 2 1 12 31111 6 M78 15000*")</f>
        <v>0</v>
      </c>
      <c r="E710"/>
      <c r="F710" s="31">
        <f>SUMIFS(F711:F1057,K711:K1057,"0",B711:B1057,"5 1 2 2 1 12 31111 6 M78 15000*")</f>
        <v>90700</v>
      </c>
      <c r="G710" s="31">
        <f>SUMIFS(G711:G1057,K711:K1057,"0",B711:B1057,"5 1 2 2 1 12 31111 6 M78 15000*")</f>
        <v>0</v>
      </c>
      <c r="H710" s="31">
        <f t="shared" si="13"/>
        <v>90700</v>
      </c>
      <c r="I710" s="31"/>
      <c r="K710" t="s">
        <v>14</v>
      </c>
    </row>
    <row r="711" spans="2:11" ht="13" x14ac:dyDescent="0.15">
      <c r="B711" s="29" t="s">
        <v>987</v>
      </c>
      <c r="C711" s="29" t="s">
        <v>178</v>
      </c>
      <c r="D711" s="31">
        <f>SUMIFS(D712:D1057,K712:K1057,"0",B712:B1057,"5 1 2 2 1 12 31111 6 M78 15000 171*")-SUMIFS(E712:E1057,K712:K1057,"0",B712:B1057,"5 1 2 2 1 12 31111 6 M78 15000 171*")</f>
        <v>0</v>
      </c>
      <c r="E711"/>
      <c r="F711" s="31">
        <f>SUMIFS(F712:F1057,K712:K1057,"0",B712:B1057,"5 1 2 2 1 12 31111 6 M78 15000 171*")</f>
        <v>90700</v>
      </c>
      <c r="G711" s="31">
        <f>SUMIFS(G712:G1057,K712:K1057,"0",B712:B1057,"5 1 2 2 1 12 31111 6 M78 15000 171*")</f>
        <v>0</v>
      </c>
      <c r="H711" s="31">
        <f t="shared" si="13"/>
        <v>90700</v>
      </c>
      <c r="I711" s="31"/>
      <c r="K711" t="s">
        <v>14</v>
      </c>
    </row>
    <row r="712" spans="2:11" ht="13" x14ac:dyDescent="0.15">
      <c r="B712" s="29" t="s">
        <v>988</v>
      </c>
      <c r="C712" s="29" t="s">
        <v>180</v>
      </c>
      <c r="D712" s="31">
        <f>SUMIFS(D713:D1057,K713:K1057,"0",B713:B1057,"5 1 2 2 1 12 31111 6 M78 15000 171 00I*")-SUMIFS(E713:E1057,K713:K1057,"0",B713:B1057,"5 1 2 2 1 12 31111 6 M78 15000 171 00I*")</f>
        <v>0</v>
      </c>
      <c r="E712"/>
      <c r="F712" s="31">
        <f>SUMIFS(F713:F1057,K713:K1057,"0",B713:B1057,"5 1 2 2 1 12 31111 6 M78 15000 171 00I*")</f>
        <v>90700</v>
      </c>
      <c r="G712" s="31">
        <f>SUMIFS(G713:G1057,K713:K1057,"0",B713:B1057,"5 1 2 2 1 12 31111 6 M78 15000 171 00I*")</f>
        <v>0</v>
      </c>
      <c r="H712" s="31">
        <f t="shared" si="13"/>
        <v>90700</v>
      </c>
      <c r="I712" s="31"/>
      <c r="K712" t="s">
        <v>14</v>
      </c>
    </row>
    <row r="713" spans="2:11" ht="13" x14ac:dyDescent="0.15">
      <c r="B713" s="29" t="s">
        <v>989</v>
      </c>
      <c r="C713" s="29" t="s">
        <v>562</v>
      </c>
      <c r="D713" s="31">
        <f>SUMIFS(D714:D1057,K714:K1057,"0",B714:B1057,"5 1 2 2 1 12 31111 6 M78 15000 171 00I 001*")-SUMIFS(E714:E1057,K714:K1057,"0",B714:B1057,"5 1 2 2 1 12 31111 6 M78 15000 171 00I 001*")</f>
        <v>0</v>
      </c>
      <c r="E713"/>
      <c r="F713" s="31">
        <f>SUMIFS(F714:F1057,K714:K1057,"0",B714:B1057,"5 1 2 2 1 12 31111 6 M78 15000 171 00I 001*")</f>
        <v>90700</v>
      </c>
      <c r="G713" s="31">
        <f>SUMIFS(G714:G1057,K714:K1057,"0",B714:B1057,"5 1 2 2 1 12 31111 6 M78 15000 171 00I 001*")</f>
        <v>0</v>
      </c>
      <c r="H713" s="31">
        <f t="shared" si="13"/>
        <v>90700</v>
      </c>
      <c r="I713" s="31"/>
      <c r="K713" t="s">
        <v>14</v>
      </c>
    </row>
    <row r="714" spans="2:11" ht="22" x14ac:dyDescent="0.15">
      <c r="B714" s="29" t="s">
        <v>990</v>
      </c>
      <c r="C714" s="29" t="s">
        <v>991</v>
      </c>
      <c r="D714" s="31">
        <f>SUMIFS(D715:D1057,K715:K1057,"0",B715:B1057,"5 1 2 2 1 12 31111 6 M78 15000 171 00I 001 22104*")-SUMIFS(E715:E1057,K715:K1057,"0",B715:B1057,"5 1 2 2 1 12 31111 6 M78 15000 171 00I 001 22104*")</f>
        <v>0</v>
      </c>
      <c r="E714"/>
      <c r="F714" s="31">
        <f>SUMIFS(F715:F1057,K715:K1057,"0",B715:B1057,"5 1 2 2 1 12 31111 6 M78 15000 171 00I 001 22104*")</f>
        <v>90700</v>
      </c>
      <c r="G714" s="31">
        <f>SUMIFS(G715:G1057,K715:K1057,"0",B715:B1057,"5 1 2 2 1 12 31111 6 M78 15000 171 00I 001 22104*")</f>
        <v>0</v>
      </c>
      <c r="H714" s="31">
        <f t="shared" si="13"/>
        <v>90700</v>
      </c>
      <c r="I714" s="31"/>
      <c r="K714" t="s">
        <v>14</v>
      </c>
    </row>
    <row r="715" spans="2:11" ht="13" x14ac:dyDescent="0.15">
      <c r="B715" s="29" t="s">
        <v>992</v>
      </c>
      <c r="C715" s="29" t="s">
        <v>186</v>
      </c>
      <c r="D715" s="31">
        <f>SUMIFS(D716:D1057,K716:K1057,"0",B716:B1057,"5 1 2 2 1 12 31111 6 M78 15000 171 00I 001 22104 025*")-SUMIFS(E716:E1057,K716:K1057,"0",B716:B1057,"5 1 2 2 1 12 31111 6 M78 15000 171 00I 001 22104 025*")</f>
        <v>0</v>
      </c>
      <c r="E715"/>
      <c r="F715" s="31">
        <f>SUMIFS(F716:F1057,K716:K1057,"0",B716:B1057,"5 1 2 2 1 12 31111 6 M78 15000 171 00I 001 22104 025*")</f>
        <v>90700</v>
      </c>
      <c r="G715" s="31">
        <f>SUMIFS(G716:G1057,K716:K1057,"0",B716:B1057,"5 1 2 2 1 12 31111 6 M78 15000 171 00I 001 22104 025*")</f>
        <v>0</v>
      </c>
      <c r="H715" s="31">
        <f t="shared" si="13"/>
        <v>90700</v>
      </c>
      <c r="I715" s="31"/>
      <c r="K715" t="s">
        <v>14</v>
      </c>
    </row>
    <row r="716" spans="2:11" ht="22" x14ac:dyDescent="0.15">
      <c r="B716" s="29" t="s">
        <v>993</v>
      </c>
      <c r="C716" s="29" t="s">
        <v>188</v>
      </c>
      <c r="D716" s="31">
        <f>SUMIFS(D717:D1057,K717:K1057,"0",B717:B1057,"5 1 2 2 1 12 31111 6 M78 15000 171 00I 001 22104 025 2112000*")-SUMIFS(E717:E1057,K717:K1057,"0",B717:B1057,"5 1 2 2 1 12 31111 6 M78 15000 171 00I 001 22104 025 2112000*")</f>
        <v>0</v>
      </c>
      <c r="E716"/>
      <c r="F716" s="31">
        <f>SUMIFS(F717:F1057,K717:K1057,"0",B717:B1057,"5 1 2 2 1 12 31111 6 M78 15000 171 00I 001 22104 025 2112000*")</f>
        <v>90700</v>
      </c>
      <c r="G716" s="31">
        <f>SUMIFS(G717:G1057,K717:K1057,"0",B717:B1057,"5 1 2 2 1 12 31111 6 M78 15000 171 00I 001 22104 025 2112000*")</f>
        <v>0</v>
      </c>
      <c r="H716" s="31">
        <f t="shared" ref="H716:H779" si="14">D716 + F716 - G716</f>
        <v>90700</v>
      </c>
      <c r="I716" s="31"/>
      <c r="K716" t="s">
        <v>14</v>
      </c>
    </row>
    <row r="717" spans="2:11" ht="22" x14ac:dyDescent="0.15">
      <c r="B717" s="29" t="s">
        <v>994</v>
      </c>
      <c r="C717" s="29" t="s">
        <v>294</v>
      </c>
      <c r="D717" s="31">
        <f>SUMIFS(D718:D1057,K718:K1057,"0",B718:B1057,"5 1 2 2 1 12 31111 6 M78 15000 171 00I 001 22104 025 2112000 2024*")-SUMIFS(E718:E1057,K718:K1057,"0",B718:B1057,"5 1 2 2 1 12 31111 6 M78 15000 171 00I 001 22104 025 2112000 2024*")</f>
        <v>0</v>
      </c>
      <c r="E717"/>
      <c r="F717" s="31">
        <f>SUMIFS(F718:F1057,K718:K1057,"0",B718:B1057,"5 1 2 2 1 12 31111 6 M78 15000 171 00I 001 22104 025 2112000 2024*")</f>
        <v>90700</v>
      </c>
      <c r="G717" s="31">
        <f>SUMIFS(G718:G1057,K718:K1057,"0",B718:B1057,"5 1 2 2 1 12 31111 6 M78 15000 171 00I 001 22104 025 2112000 2024*")</f>
        <v>0</v>
      </c>
      <c r="H717" s="31">
        <f t="shared" si="14"/>
        <v>90700</v>
      </c>
      <c r="I717" s="31"/>
      <c r="K717" t="s">
        <v>14</v>
      </c>
    </row>
    <row r="718" spans="2:11" ht="22" x14ac:dyDescent="0.15">
      <c r="B718" s="29" t="s">
        <v>995</v>
      </c>
      <c r="C718" s="29" t="s">
        <v>192</v>
      </c>
      <c r="D718" s="31">
        <f>SUMIFS(D719:D1057,K719:K1057,"0",B719:B1057,"5 1 2 2 1 12 31111 6 M78 15000 171 00I 001 22104 025 2112000 2024 00000000*")-SUMIFS(E719:E1057,K719:K1057,"0",B719:B1057,"5 1 2 2 1 12 31111 6 M78 15000 171 00I 001 22104 025 2112000 2024 00000000*")</f>
        <v>0</v>
      </c>
      <c r="E718"/>
      <c r="F718" s="31">
        <f>SUMIFS(F719:F1057,K719:K1057,"0",B719:B1057,"5 1 2 2 1 12 31111 6 M78 15000 171 00I 001 22104 025 2112000 2024 00000000*")</f>
        <v>90700</v>
      </c>
      <c r="G718" s="31">
        <f>SUMIFS(G719:G1057,K719:K1057,"0",B719:B1057,"5 1 2 2 1 12 31111 6 M78 15000 171 00I 001 22104 025 2112000 2024 00000000*")</f>
        <v>0</v>
      </c>
      <c r="H718" s="31">
        <f t="shared" si="14"/>
        <v>90700</v>
      </c>
      <c r="I718" s="31"/>
      <c r="K718" t="s">
        <v>14</v>
      </c>
    </row>
    <row r="719" spans="2:11" ht="22" x14ac:dyDescent="0.15">
      <c r="B719" s="29" t="s">
        <v>996</v>
      </c>
      <c r="C719" s="29" t="s">
        <v>9</v>
      </c>
      <c r="D719" s="31">
        <f>SUMIFS(D720:D1057,K720:K1057,"0",B720:B1057,"5 1 2 2 1 12 31111 6 M78 15000 171 00I 001 22104 025 2112000 2024 00000000 003*")-SUMIFS(E720:E1057,K720:K1057,"0",B720:B1057,"5 1 2 2 1 12 31111 6 M78 15000 171 00I 001 22104 025 2112000 2024 00000000 003*")</f>
        <v>0</v>
      </c>
      <c r="E719"/>
      <c r="F719" s="31">
        <f>SUMIFS(F720:F1057,K720:K1057,"0",B720:B1057,"5 1 2 2 1 12 31111 6 M78 15000 171 00I 001 22104 025 2112000 2024 00000000 003*")</f>
        <v>90700</v>
      </c>
      <c r="G719" s="31">
        <f>SUMIFS(G720:G1057,K720:K1057,"0",B720:B1057,"5 1 2 2 1 12 31111 6 M78 15000 171 00I 001 22104 025 2112000 2024 00000000 003*")</f>
        <v>0</v>
      </c>
      <c r="H719" s="31">
        <f t="shared" si="14"/>
        <v>90700</v>
      </c>
      <c r="I719" s="31"/>
      <c r="K719" t="s">
        <v>14</v>
      </c>
    </row>
    <row r="720" spans="2:11" ht="22" x14ac:dyDescent="0.15">
      <c r="B720" s="27" t="s">
        <v>997</v>
      </c>
      <c r="C720" s="27" t="s">
        <v>998</v>
      </c>
      <c r="D720" s="30">
        <v>0</v>
      </c>
      <c r="E720" s="30"/>
      <c r="F720" s="30">
        <v>90700</v>
      </c>
      <c r="G720" s="30">
        <v>0</v>
      </c>
      <c r="H720" s="30">
        <f t="shared" si="14"/>
        <v>90700</v>
      </c>
      <c r="I720" s="30"/>
      <c r="K720" t="s">
        <v>38</v>
      </c>
    </row>
    <row r="721" spans="2:11" ht="13" x14ac:dyDescent="0.15">
      <c r="B721" s="29" t="s">
        <v>999</v>
      </c>
      <c r="C721" s="29" t="s">
        <v>1000</v>
      </c>
      <c r="D721" s="31">
        <f>SUMIFS(D722:D1057,K722:K1057,"0",B722:B1057,"5 1 2 4*")-SUMIFS(E722:E1057,K722:K1057,"0",B722:B1057,"5 1 2 4*")</f>
        <v>0</v>
      </c>
      <c r="E721"/>
      <c r="F721" s="31">
        <f>SUMIFS(F722:F1057,K722:K1057,"0",B722:B1057,"5 1 2 4*")</f>
        <v>446093.04000000004</v>
      </c>
      <c r="G721" s="31">
        <f>SUMIFS(G722:G1057,K722:K1057,"0",B722:B1057,"5 1 2 4*")</f>
        <v>0</v>
      </c>
      <c r="H721" s="31">
        <f t="shared" si="14"/>
        <v>446093.04000000004</v>
      </c>
      <c r="I721" s="31"/>
      <c r="K721" t="s">
        <v>14</v>
      </c>
    </row>
    <row r="722" spans="2:11" ht="13" x14ac:dyDescent="0.15">
      <c r="B722" s="29" t="s">
        <v>1001</v>
      </c>
      <c r="C722" s="29" t="s">
        <v>1002</v>
      </c>
      <c r="D722" s="31">
        <f>SUMIFS(D723:D1057,K723:K1057,"0",B723:B1057,"5 1 2 4 6*")-SUMIFS(E723:E1057,K723:K1057,"0",B723:B1057,"5 1 2 4 6*")</f>
        <v>0</v>
      </c>
      <c r="E722"/>
      <c r="F722" s="31">
        <f>SUMIFS(F723:F1057,K723:K1057,"0",B723:B1057,"5 1 2 4 6*")</f>
        <v>219834</v>
      </c>
      <c r="G722" s="31">
        <f>SUMIFS(G723:G1057,K723:K1057,"0",B723:B1057,"5 1 2 4 6*")</f>
        <v>0</v>
      </c>
      <c r="H722" s="31">
        <f t="shared" si="14"/>
        <v>219834</v>
      </c>
      <c r="I722" s="31"/>
      <c r="K722" t="s">
        <v>14</v>
      </c>
    </row>
    <row r="723" spans="2:11" ht="13" x14ac:dyDescent="0.15">
      <c r="B723" s="29" t="s">
        <v>1003</v>
      </c>
      <c r="C723" s="29" t="s">
        <v>25</v>
      </c>
      <c r="D723" s="31">
        <f>SUMIFS(D724:D1057,K724:K1057,"0",B724:B1057,"5 1 2 4 6 12*")-SUMIFS(E724:E1057,K724:K1057,"0",B724:B1057,"5 1 2 4 6 12*")</f>
        <v>0</v>
      </c>
      <c r="E723"/>
      <c r="F723" s="31">
        <f>SUMIFS(F724:F1057,K724:K1057,"0",B724:B1057,"5 1 2 4 6 12*")</f>
        <v>219834</v>
      </c>
      <c r="G723" s="31">
        <f>SUMIFS(G724:G1057,K724:K1057,"0",B724:B1057,"5 1 2 4 6 12*")</f>
        <v>0</v>
      </c>
      <c r="H723" s="31">
        <f t="shared" si="14"/>
        <v>219834</v>
      </c>
      <c r="I723" s="31"/>
      <c r="K723" t="s">
        <v>14</v>
      </c>
    </row>
    <row r="724" spans="2:11" ht="13" x14ac:dyDescent="0.15">
      <c r="B724" s="29" t="s">
        <v>1004</v>
      </c>
      <c r="C724" s="29" t="s">
        <v>27</v>
      </c>
      <c r="D724" s="31">
        <f>SUMIFS(D725:D1057,K725:K1057,"0",B725:B1057,"5 1 2 4 6 12 31111*")-SUMIFS(E725:E1057,K725:K1057,"0",B725:B1057,"5 1 2 4 6 12 31111*")</f>
        <v>0</v>
      </c>
      <c r="E724"/>
      <c r="F724" s="31">
        <f>SUMIFS(F725:F1057,K725:K1057,"0",B725:B1057,"5 1 2 4 6 12 31111*")</f>
        <v>219834</v>
      </c>
      <c r="G724" s="31">
        <f>SUMIFS(G725:G1057,K725:K1057,"0",B725:B1057,"5 1 2 4 6 12 31111*")</f>
        <v>0</v>
      </c>
      <c r="H724" s="31">
        <f t="shared" si="14"/>
        <v>219834</v>
      </c>
      <c r="I724" s="31"/>
      <c r="K724" t="s">
        <v>14</v>
      </c>
    </row>
    <row r="725" spans="2:11" ht="13" x14ac:dyDescent="0.15">
      <c r="B725" s="29" t="s">
        <v>1005</v>
      </c>
      <c r="C725" s="29" t="s">
        <v>29</v>
      </c>
      <c r="D725" s="31">
        <f>SUMIFS(D726:D1057,K726:K1057,"0",B726:B1057,"5 1 2 4 6 12 31111 6*")-SUMIFS(E726:E1057,K726:K1057,"0",B726:B1057,"5 1 2 4 6 12 31111 6*")</f>
        <v>0</v>
      </c>
      <c r="E725"/>
      <c r="F725" s="31">
        <f>SUMIFS(F726:F1057,K726:K1057,"0",B726:B1057,"5 1 2 4 6 12 31111 6*")</f>
        <v>219834</v>
      </c>
      <c r="G725" s="31">
        <f>SUMIFS(G726:G1057,K726:K1057,"0",B726:B1057,"5 1 2 4 6 12 31111 6*")</f>
        <v>0</v>
      </c>
      <c r="H725" s="31">
        <f t="shared" si="14"/>
        <v>219834</v>
      </c>
      <c r="I725" s="31"/>
      <c r="K725" t="s">
        <v>14</v>
      </c>
    </row>
    <row r="726" spans="2:11" ht="13" x14ac:dyDescent="0.15">
      <c r="B726" s="29" t="s">
        <v>1006</v>
      </c>
      <c r="C726" s="29" t="s">
        <v>629</v>
      </c>
      <c r="D726" s="31">
        <f>SUMIFS(D727:D1057,K727:K1057,"0",B727:B1057,"5 1 2 4 6 12 31111 6 M78*")-SUMIFS(E727:E1057,K727:K1057,"0",B727:B1057,"5 1 2 4 6 12 31111 6 M78*")</f>
        <v>0</v>
      </c>
      <c r="E726"/>
      <c r="F726" s="31">
        <f>SUMIFS(F727:F1057,K727:K1057,"0",B727:B1057,"5 1 2 4 6 12 31111 6 M78*")</f>
        <v>219834</v>
      </c>
      <c r="G726" s="31">
        <f>SUMIFS(G727:G1057,K727:K1057,"0",B727:B1057,"5 1 2 4 6 12 31111 6 M78*")</f>
        <v>0</v>
      </c>
      <c r="H726" s="31">
        <f t="shared" si="14"/>
        <v>219834</v>
      </c>
      <c r="I726" s="31"/>
      <c r="K726" t="s">
        <v>14</v>
      </c>
    </row>
    <row r="727" spans="2:11" ht="13" x14ac:dyDescent="0.15">
      <c r="B727" s="29" t="s">
        <v>1007</v>
      </c>
      <c r="C727" s="29" t="s">
        <v>176</v>
      </c>
      <c r="D727" s="31">
        <f>SUMIFS(D728:D1057,K728:K1057,"0",B728:B1057,"5 1 2 4 6 12 31111 6 M78 15000*")-SUMIFS(E728:E1057,K728:K1057,"0",B728:B1057,"5 1 2 4 6 12 31111 6 M78 15000*")</f>
        <v>0</v>
      </c>
      <c r="E727"/>
      <c r="F727" s="31">
        <f>SUMIFS(F728:F1057,K728:K1057,"0",B728:B1057,"5 1 2 4 6 12 31111 6 M78 15000*")</f>
        <v>219834</v>
      </c>
      <c r="G727" s="31">
        <f>SUMIFS(G728:G1057,K728:K1057,"0",B728:B1057,"5 1 2 4 6 12 31111 6 M78 15000*")</f>
        <v>0</v>
      </c>
      <c r="H727" s="31">
        <f t="shared" si="14"/>
        <v>219834</v>
      </c>
      <c r="I727" s="31"/>
      <c r="K727" t="s">
        <v>14</v>
      </c>
    </row>
    <row r="728" spans="2:11" ht="13" x14ac:dyDescent="0.15">
      <c r="B728" s="29" t="s">
        <v>1008</v>
      </c>
      <c r="C728" s="29" t="s">
        <v>178</v>
      </c>
      <c r="D728" s="31">
        <f>SUMIFS(D729:D1057,K729:K1057,"0",B729:B1057,"5 1 2 4 6 12 31111 6 M78 15000 171*")-SUMIFS(E729:E1057,K729:K1057,"0",B729:B1057,"5 1 2 4 6 12 31111 6 M78 15000 171*")</f>
        <v>0</v>
      </c>
      <c r="E728"/>
      <c r="F728" s="31">
        <f>SUMIFS(F729:F1057,K729:K1057,"0",B729:B1057,"5 1 2 4 6 12 31111 6 M78 15000 171*")</f>
        <v>219834</v>
      </c>
      <c r="G728" s="31">
        <f>SUMIFS(G729:G1057,K729:K1057,"0",B729:B1057,"5 1 2 4 6 12 31111 6 M78 15000 171*")</f>
        <v>0</v>
      </c>
      <c r="H728" s="31">
        <f t="shared" si="14"/>
        <v>219834</v>
      </c>
      <c r="I728" s="31"/>
      <c r="K728" t="s">
        <v>14</v>
      </c>
    </row>
    <row r="729" spans="2:11" ht="13" x14ac:dyDescent="0.15">
      <c r="B729" s="29" t="s">
        <v>1009</v>
      </c>
      <c r="C729" s="29" t="s">
        <v>180</v>
      </c>
      <c r="D729" s="31">
        <f>SUMIFS(D730:D1057,K730:K1057,"0",B730:B1057,"5 1 2 4 6 12 31111 6 M78 15000 171 00I*")-SUMIFS(E730:E1057,K730:K1057,"0",B730:B1057,"5 1 2 4 6 12 31111 6 M78 15000 171 00I*")</f>
        <v>0</v>
      </c>
      <c r="E729"/>
      <c r="F729" s="31">
        <f>SUMIFS(F730:F1057,K730:K1057,"0",B730:B1057,"5 1 2 4 6 12 31111 6 M78 15000 171 00I*")</f>
        <v>219834</v>
      </c>
      <c r="G729" s="31">
        <f>SUMIFS(G730:G1057,K730:K1057,"0",B730:B1057,"5 1 2 4 6 12 31111 6 M78 15000 171 00I*")</f>
        <v>0</v>
      </c>
      <c r="H729" s="31">
        <f t="shared" si="14"/>
        <v>219834</v>
      </c>
      <c r="I729" s="31"/>
      <c r="K729" t="s">
        <v>14</v>
      </c>
    </row>
    <row r="730" spans="2:11" ht="13" x14ac:dyDescent="0.15">
      <c r="B730" s="29" t="s">
        <v>1010</v>
      </c>
      <c r="C730" s="29" t="s">
        <v>562</v>
      </c>
      <c r="D730" s="31">
        <f>SUMIFS(D731:D1057,K731:K1057,"0",B731:B1057,"5 1 2 4 6 12 31111 6 M78 15000 171 00I 001*")-SUMIFS(E731:E1057,K731:K1057,"0",B731:B1057,"5 1 2 4 6 12 31111 6 M78 15000 171 00I 001*")</f>
        <v>0</v>
      </c>
      <c r="E730"/>
      <c r="F730" s="31">
        <f>SUMIFS(F731:F1057,K731:K1057,"0",B731:B1057,"5 1 2 4 6 12 31111 6 M78 15000 171 00I 001*")</f>
        <v>219834</v>
      </c>
      <c r="G730" s="31">
        <f>SUMIFS(G731:G1057,K731:K1057,"0",B731:B1057,"5 1 2 4 6 12 31111 6 M78 15000 171 00I 001*")</f>
        <v>0</v>
      </c>
      <c r="H730" s="31">
        <f t="shared" si="14"/>
        <v>219834</v>
      </c>
      <c r="I730" s="31"/>
      <c r="K730" t="s">
        <v>14</v>
      </c>
    </row>
    <row r="731" spans="2:11" ht="13" x14ac:dyDescent="0.15">
      <c r="B731" s="29" t="s">
        <v>1011</v>
      </c>
      <c r="C731" s="29" t="s">
        <v>1012</v>
      </c>
      <c r="D731" s="31">
        <f>SUMIFS(D732:D1057,K732:K1057,"0",B732:B1057,"5 1 2 4 6 12 31111 6 M78 15000 171 00I 001 24601*")-SUMIFS(E732:E1057,K732:K1057,"0",B732:B1057,"5 1 2 4 6 12 31111 6 M78 15000 171 00I 001 24601*")</f>
        <v>0</v>
      </c>
      <c r="E731"/>
      <c r="F731" s="31">
        <f>SUMIFS(F732:F1057,K732:K1057,"0",B732:B1057,"5 1 2 4 6 12 31111 6 M78 15000 171 00I 001 24601*")</f>
        <v>219834</v>
      </c>
      <c r="G731" s="31">
        <f>SUMIFS(G732:G1057,K732:K1057,"0",B732:B1057,"5 1 2 4 6 12 31111 6 M78 15000 171 00I 001 24601*")</f>
        <v>0</v>
      </c>
      <c r="H731" s="31">
        <f t="shared" si="14"/>
        <v>219834</v>
      </c>
      <c r="I731" s="31"/>
      <c r="K731" t="s">
        <v>14</v>
      </c>
    </row>
    <row r="732" spans="2:11" ht="13" x14ac:dyDescent="0.15">
      <c r="B732" s="29" t="s">
        <v>1013</v>
      </c>
      <c r="C732" s="29" t="s">
        <v>186</v>
      </c>
      <c r="D732" s="31">
        <f>SUMIFS(D733:D1057,K733:K1057,"0",B733:B1057,"5 1 2 4 6 12 31111 6 M78 15000 171 00I 001 24601 025*")-SUMIFS(E733:E1057,K733:K1057,"0",B733:B1057,"5 1 2 4 6 12 31111 6 M78 15000 171 00I 001 24601 025*")</f>
        <v>0</v>
      </c>
      <c r="E732"/>
      <c r="F732" s="31">
        <f>SUMIFS(F733:F1057,K733:K1057,"0",B733:B1057,"5 1 2 4 6 12 31111 6 M78 15000 171 00I 001 24601 025*")</f>
        <v>219834</v>
      </c>
      <c r="G732" s="31">
        <f>SUMIFS(G733:G1057,K733:K1057,"0",B733:B1057,"5 1 2 4 6 12 31111 6 M78 15000 171 00I 001 24601 025*")</f>
        <v>0</v>
      </c>
      <c r="H732" s="31">
        <f t="shared" si="14"/>
        <v>219834</v>
      </c>
      <c r="I732" s="31"/>
      <c r="K732" t="s">
        <v>14</v>
      </c>
    </row>
    <row r="733" spans="2:11" ht="22" x14ac:dyDescent="0.15">
      <c r="B733" s="29" t="s">
        <v>1014</v>
      </c>
      <c r="C733" s="29" t="s">
        <v>188</v>
      </c>
      <c r="D733" s="31">
        <f>SUMIFS(D734:D1057,K734:K1057,"0",B734:B1057,"5 1 2 4 6 12 31111 6 M78 15000 171 00I 001 24601 025 2112000*")-SUMIFS(E734:E1057,K734:K1057,"0",B734:B1057,"5 1 2 4 6 12 31111 6 M78 15000 171 00I 001 24601 025 2112000*")</f>
        <v>0</v>
      </c>
      <c r="E733"/>
      <c r="F733" s="31">
        <f>SUMIFS(F734:F1057,K734:K1057,"0",B734:B1057,"5 1 2 4 6 12 31111 6 M78 15000 171 00I 001 24601 025 2112000*")</f>
        <v>219834</v>
      </c>
      <c r="G733" s="31">
        <f>SUMIFS(G734:G1057,K734:K1057,"0",B734:B1057,"5 1 2 4 6 12 31111 6 M78 15000 171 00I 001 24601 025 2112000*")</f>
        <v>0</v>
      </c>
      <c r="H733" s="31">
        <f t="shared" si="14"/>
        <v>219834</v>
      </c>
      <c r="I733" s="31"/>
      <c r="K733" t="s">
        <v>14</v>
      </c>
    </row>
    <row r="734" spans="2:11" ht="22" x14ac:dyDescent="0.15">
      <c r="B734" s="29" t="s">
        <v>1015</v>
      </c>
      <c r="C734" s="29" t="s">
        <v>294</v>
      </c>
      <c r="D734" s="31">
        <f>SUMIFS(D735:D1057,K735:K1057,"0",B735:B1057,"5 1 2 4 6 12 31111 6 M78 15000 171 00I 001 24601 025 2112000 2024*")-SUMIFS(E735:E1057,K735:K1057,"0",B735:B1057,"5 1 2 4 6 12 31111 6 M78 15000 171 00I 001 24601 025 2112000 2024*")</f>
        <v>0</v>
      </c>
      <c r="E734"/>
      <c r="F734" s="31">
        <f>SUMIFS(F735:F1057,K735:K1057,"0",B735:B1057,"5 1 2 4 6 12 31111 6 M78 15000 171 00I 001 24601 025 2112000 2024*")</f>
        <v>219834</v>
      </c>
      <c r="G734" s="31">
        <f>SUMIFS(G735:G1057,K735:K1057,"0",B735:B1057,"5 1 2 4 6 12 31111 6 M78 15000 171 00I 001 24601 025 2112000 2024*")</f>
        <v>0</v>
      </c>
      <c r="H734" s="31">
        <f t="shared" si="14"/>
        <v>219834</v>
      </c>
      <c r="I734" s="31"/>
      <c r="K734" t="s">
        <v>14</v>
      </c>
    </row>
    <row r="735" spans="2:11" ht="22" x14ac:dyDescent="0.15">
      <c r="B735" s="29" t="s">
        <v>1016</v>
      </c>
      <c r="C735" s="29" t="s">
        <v>192</v>
      </c>
      <c r="D735" s="31">
        <f>SUMIFS(D736:D1057,K736:K1057,"0",B736:B1057,"5 1 2 4 6 12 31111 6 M78 15000 171 00I 001 24601 025 2112000 2024 00000000*")-SUMIFS(E736:E1057,K736:K1057,"0",B736:B1057,"5 1 2 4 6 12 31111 6 M78 15000 171 00I 001 24601 025 2112000 2024 00000000*")</f>
        <v>0</v>
      </c>
      <c r="E735"/>
      <c r="F735" s="31">
        <f>SUMIFS(F736:F1057,K736:K1057,"0",B736:B1057,"5 1 2 4 6 12 31111 6 M78 15000 171 00I 001 24601 025 2112000 2024 00000000*")</f>
        <v>219834</v>
      </c>
      <c r="G735" s="31">
        <f>SUMIFS(G736:G1057,K736:K1057,"0",B736:B1057,"5 1 2 4 6 12 31111 6 M78 15000 171 00I 001 24601 025 2112000 2024 00000000*")</f>
        <v>0</v>
      </c>
      <c r="H735" s="31">
        <f t="shared" si="14"/>
        <v>219834</v>
      </c>
      <c r="I735" s="31"/>
      <c r="K735" t="s">
        <v>14</v>
      </c>
    </row>
    <row r="736" spans="2:11" ht="22" x14ac:dyDescent="0.15">
      <c r="B736" s="29" t="s">
        <v>1017</v>
      </c>
      <c r="C736" s="29" t="s">
        <v>9</v>
      </c>
      <c r="D736" s="31">
        <f>SUMIFS(D737:D1057,K737:K1057,"0",B737:B1057,"5 1 2 4 6 12 31111 6 M78 15000 171 00I 001 24601 025 2112000 2024 00000000 003*")-SUMIFS(E737:E1057,K737:K1057,"0",B737:B1057,"5 1 2 4 6 12 31111 6 M78 15000 171 00I 001 24601 025 2112000 2024 00000000 003*")</f>
        <v>0</v>
      </c>
      <c r="E736"/>
      <c r="F736" s="31">
        <f>SUMIFS(F737:F1057,K737:K1057,"0",B737:B1057,"5 1 2 4 6 12 31111 6 M78 15000 171 00I 001 24601 025 2112000 2024 00000000 003*")</f>
        <v>219834</v>
      </c>
      <c r="G736" s="31">
        <f>SUMIFS(G737:G1057,K737:K1057,"0",B737:B1057,"5 1 2 4 6 12 31111 6 M78 15000 171 00I 001 24601 025 2112000 2024 00000000 003*")</f>
        <v>0</v>
      </c>
      <c r="H736" s="31">
        <f t="shared" si="14"/>
        <v>219834</v>
      </c>
      <c r="I736" s="31"/>
      <c r="K736" t="s">
        <v>14</v>
      </c>
    </row>
    <row r="737" spans="2:11" ht="22" x14ac:dyDescent="0.15">
      <c r="B737" s="27" t="s">
        <v>1018</v>
      </c>
      <c r="C737" s="27" t="s">
        <v>1019</v>
      </c>
      <c r="D737" s="30">
        <v>0</v>
      </c>
      <c r="E737" s="30"/>
      <c r="F737" s="30">
        <v>219834</v>
      </c>
      <c r="G737" s="30">
        <v>0</v>
      </c>
      <c r="H737" s="30">
        <f t="shared" si="14"/>
        <v>219834</v>
      </c>
      <c r="I737" s="30"/>
      <c r="K737" t="s">
        <v>38</v>
      </c>
    </row>
    <row r="738" spans="2:11" ht="13" x14ac:dyDescent="0.15">
      <c r="B738" s="29" t="s">
        <v>1020</v>
      </c>
      <c r="C738" s="29" t="s">
        <v>1021</v>
      </c>
      <c r="D738" s="31">
        <f>SUMIFS(D739:D1057,K739:K1057,"0",B739:B1057,"5 1 2 4 9*")-SUMIFS(E739:E1057,K739:K1057,"0",B739:B1057,"5 1 2 4 9*")</f>
        <v>0</v>
      </c>
      <c r="E738"/>
      <c r="F738" s="31">
        <f>SUMIFS(F739:F1057,K739:K1057,"0",B739:B1057,"5 1 2 4 9*")</f>
        <v>226259.04</v>
      </c>
      <c r="G738" s="31">
        <f>SUMIFS(G739:G1057,K739:K1057,"0",B739:B1057,"5 1 2 4 9*")</f>
        <v>0</v>
      </c>
      <c r="H738" s="31">
        <f t="shared" si="14"/>
        <v>226259.04</v>
      </c>
      <c r="I738" s="31"/>
      <c r="K738" t="s">
        <v>14</v>
      </c>
    </row>
    <row r="739" spans="2:11" ht="13" x14ac:dyDescent="0.15">
      <c r="B739" s="29" t="s">
        <v>1022</v>
      </c>
      <c r="C739" s="29" t="s">
        <v>25</v>
      </c>
      <c r="D739" s="31">
        <f>SUMIFS(D740:D1057,K740:K1057,"0",B740:B1057,"5 1 2 4 9 12*")-SUMIFS(E740:E1057,K740:K1057,"0",B740:B1057,"5 1 2 4 9 12*")</f>
        <v>0</v>
      </c>
      <c r="E739"/>
      <c r="F739" s="31">
        <f>SUMIFS(F740:F1057,K740:K1057,"0",B740:B1057,"5 1 2 4 9 12*")</f>
        <v>226259.04</v>
      </c>
      <c r="G739" s="31">
        <f>SUMIFS(G740:G1057,K740:K1057,"0",B740:B1057,"5 1 2 4 9 12*")</f>
        <v>0</v>
      </c>
      <c r="H739" s="31">
        <f t="shared" si="14"/>
        <v>226259.04</v>
      </c>
      <c r="I739" s="31"/>
      <c r="K739" t="s">
        <v>14</v>
      </c>
    </row>
    <row r="740" spans="2:11" ht="13" x14ac:dyDescent="0.15">
      <c r="B740" s="29" t="s">
        <v>1023</v>
      </c>
      <c r="C740" s="29" t="s">
        <v>27</v>
      </c>
      <c r="D740" s="31">
        <f>SUMIFS(D741:D1057,K741:K1057,"0",B741:B1057,"5 1 2 4 9 12 31111*")-SUMIFS(E741:E1057,K741:K1057,"0",B741:B1057,"5 1 2 4 9 12 31111*")</f>
        <v>0</v>
      </c>
      <c r="E740"/>
      <c r="F740" s="31">
        <f>SUMIFS(F741:F1057,K741:K1057,"0",B741:B1057,"5 1 2 4 9 12 31111*")</f>
        <v>226259.04</v>
      </c>
      <c r="G740" s="31">
        <f>SUMIFS(G741:G1057,K741:K1057,"0",B741:B1057,"5 1 2 4 9 12 31111*")</f>
        <v>0</v>
      </c>
      <c r="H740" s="31">
        <f t="shared" si="14"/>
        <v>226259.04</v>
      </c>
      <c r="I740" s="31"/>
      <c r="K740" t="s">
        <v>14</v>
      </c>
    </row>
    <row r="741" spans="2:11" ht="13" x14ac:dyDescent="0.15">
      <c r="B741" s="29" t="s">
        <v>1024</v>
      </c>
      <c r="C741" s="29" t="s">
        <v>29</v>
      </c>
      <c r="D741" s="31">
        <f>SUMIFS(D742:D1057,K742:K1057,"0",B742:B1057,"5 1 2 4 9 12 31111 6*")-SUMIFS(E742:E1057,K742:K1057,"0",B742:B1057,"5 1 2 4 9 12 31111 6*")</f>
        <v>0</v>
      </c>
      <c r="E741"/>
      <c r="F741" s="31">
        <f>SUMIFS(F742:F1057,K742:K1057,"0",B742:B1057,"5 1 2 4 9 12 31111 6*")</f>
        <v>226259.04</v>
      </c>
      <c r="G741" s="31">
        <f>SUMIFS(G742:G1057,K742:K1057,"0",B742:B1057,"5 1 2 4 9 12 31111 6*")</f>
        <v>0</v>
      </c>
      <c r="H741" s="31">
        <f t="shared" si="14"/>
        <v>226259.04</v>
      </c>
      <c r="I741" s="31"/>
      <c r="K741" t="s">
        <v>14</v>
      </c>
    </row>
    <row r="742" spans="2:11" ht="13" x14ac:dyDescent="0.15">
      <c r="B742" s="29" t="s">
        <v>1025</v>
      </c>
      <c r="C742" s="29" t="s">
        <v>629</v>
      </c>
      <c r="D742" s="31">
        <f>SUMIFS(D743:D1057,K743:K1057,"0",B743:B1057,"5 1 2 4 9 12 31111 6 M78*")-SUMIFS(E743:E1057,K743:K1057,"0",B743:B1057,"5 1 2 4 9 12 31111 6 M78*")</f>
        <v>0</v>
      </c>
      <c r="E742"/>
      <c r="F742" s="31">
        <f>SUMIFS(F743:F1057,K743:K1057,"0",B743:B1057,"5 1 2 4 9 12 31111 6 M78*")</f>
        <v>226259.04</v>
      </c>
      <c r="G742" s="31">
        <f>SUMIFS(G743:G1057,K743:K1057,"0",B743:B1057,"5 1 2 4 9 12 31111 6 M78*")</f>
        <v>0</v>
      </c>
      <c r="H742" s="31">
        <f t="shared" si="14"/>
        <v>226259.04</v>
      </c>
      <c r="I742" s="31"/>
      <c r="K742" t="s">
        <v>14</v>
      </c>
    </row>
    <row r="743" spans="2:11" ht="13" x14ac:dyDescent="0.15">
      <c r="B743" s="29" t="s">
        <v>1026</v>
      </c>
      <c r="C743" s="29" t="s">
        <v>176</v>
      </c>
      <c r="D743" s="31">
        <f>SUMIFS(D744:D1057,K744:K1057,"0",B744:B1057,"5 1 2 4 9 12 31111 6 M78 15000*")-SUMIFS(E744:E1057,K744:K1057,"0",B744:B1057,"5 1 2 4 9 12 31111 6 M78 15000*")</f>
        <v>0</v>
      </c>
      <c r="E743"/>
      <c r="F743" s="31">
        <f>SUMIFS(F744:F1057,K744:K1057,"0",B744:B1057,"5 1 2 4 9 12 31111 6 M78 15000*")</f>
        <v>226259.04</v>
      </c>
      <c r="G743" s="31">
        <f>SUMIFS(G744:G1057,K744:K1057,"0",B744:B1057,"5 1 2 4 9 12 31111 6 M78 15000*")</f>
        <v>0</v>
      </c>
      <c r="H743" s="31">
        <f t="shared" si="14"/>
        <v>226259.04</v>
      </c>
      <c r="I743" s="31"/>
      <c r="K743" t="s">
        <v>14</v>
      </c>
    </row>
    <row r="744" spans="2:11" ht="13" x14ac:dyDescent="0.15">
      <c r="B744" s="29" t="s">
        <v>1027</v>
      </c>
      <c r="C744" s="29" t="s">
        <v>178</v>
      </c>
      <c r="D744" s="31">
        <f>SUMIFS(D745:D1057,K745:K1057,"0",B745:B1057,"5 1 2 4 9 12 31111 6 M78 15000 171*")-SUMIFS(E745:E1057,K745:K1057,"0",B745:B1057,"5 1 2 4 9 12 31111 6 M78 15000 171*")</f>
        <v>0</v>
      </c>
      <c r="E744"/>
      <c r="F744" s="31">
        <f>SUMIFS(F745:F1057,K745:K1057,"0",B745:B1057,"5 1 2 4 9 12 31111 6 M78 15000 171*")</f>
        <v>226259.04</v>
      </c>
      <c r="G744" s="31">
        <f>SUMIFS(G745:G1057,K745:K1057,"0",B745:B1057,"5 1 2 4 9 12 31111 6 M78 15000 171*")</f>
        <v>0</v>
      </c>
      <c r="H744" s="31">
        <f t="shared" si="14"/>
        <v>226259.04</v>
      </c>
      <c r="I744" s="31"/>
      <c r="K744" t="s">
        <v>14</v>
      </c>
    </row>
    <row r="745" spans="2:11" ht="13" x14ac:dyDescent="0.15">
      <c r="B745" s="29" t="s">
        <v>1028</v>
      </c>
      <c r="C745" s="29" t="s">
        <v>180</v>
      </c>
      <c r="D745" s="31">
        <f>SUMIFS(D746:D1057,K746:K1057,"0",B746:B1057,"5 1 2 4 9 12 31111 6 M78 15000 171 00I*")-SUMIFS(E746:E1057,K746:K1057,"0",B746:B1057,"5 1 2 4 9 12 31111 6 M78 15000 171 00I*")</f>
        <v>0</v>
      </c>
      <c r="E745"/>
      <c r="F745" s="31">
        <f>SUMIFS(F746:F1057,K746:K1057,"0",B746:B1057,"5 1 2 4 9 12 31111 6 M78 15000 171 00I*")</f>
        <v>226259.04</v>
      </c>
      <c r="G745" s="31">
        <f>SUMIFS(G746:G1057,K746:K1057,"0",B746:B1057,"5 1 2 4 9 12 31111 6 M78 15000 171 00I*")</f>
        <v>0</v>
      </c>
      <c r="H745" s="31">
        <f t="shared" si="14"/>
        <v>226259.04</v>
      </c>
      <c r="I745" s="31"/>
      <c r="K745" t="s">
        <v>14</v>
      </c>
    </row>
    <row r="746" spans="2:11" ht="13" x14ac:dyDescent="0.15">
      <c r="B746" s="29" t="s">
        <v>1029</v>
      </c>
      <c r="C746" s="29" t="s">
        <v>562</v>
      </c>
      <c r="D746" s="31">
        <f>SUMIFS(D747:D1057,K747:K1057,"0",B747:B1057,"5 1 2 4 9 12 31111 6 M78 15000 171 00I 001*")-SUMIFS(E747:E1057,K747:K1057,"0",B747:B1057,"5 1 2 4 9 12 31111 6 M78 15000 171 00I 001*")</f>
        <v>0</v>
      </c>
      <c r="E746"/>
      <c r="F746" s="31">
        <f>SUMIFS(F747:F1057,K747:K1057,"0",B747:B1057,"5 1 2 4 9 12 31111 6 M78 15000 171 00I 001*")</f>
        <v>226259.04</v>
      </c>
      <c r="G746" s="31">
        <f>SUMIFS(G747:G1057,K747:K1057,"0",B747:B1057,"5 1 2 4 9 12 31111 6 M78 15000 171 00I 001*")</f>
        <v>0</v>
      </c>
      <c r="H746" s="31">
        <f t="shared" si="14"/>
        <v>226259.04</v>
      </c>
      <c r="I746" s="31"/>
      <c r="K746" t="s">
        <v>14</v>
      </c>
    </row>
    <row r="747" spans="2:11" ht="13" x14ac:dyDescent="0.15">
      <c r="B747" s="29" t="s">
        <v>1030</v>
      </c>
      <c r="C747" s="29" t="s">
        <v>1031</v>
      </c>
      <c r="D747" s="31">
        <f>SUMIFS(D748:D1057,K748:K1057,"0",B748:B1057,"5 1 2 4 9 12 31111 6 M78 15000 171 00I 001 24901*")-SUMIFS(E748:E1057,K748:K1057,"0",B748:B1057,"5 1 2 4 9 12 31111 6 M78 15000 171 00I 001 24901*")</f>
        <v>0</v>
      </c>
      <c r="E747"/>
      <c r="F747" s="31">
        <f>SUMIFS(F748:F1057,K748:K1057,"0",B748:B1057,"5 1 2 4 9 12 31111 6 M78 15000 171 00I 001 24901*")</f>
        <v>226259.04</v>
      </c>
      <c r="G747" s="31">
        <f>SUMIFS(G748:G1057,K748:K1057,"0",B748:B1057,"5 1 2 4 9 12 31111 6 M78 15000 171 00I 001 24901*")</f>
        <v>0</v>
      </c>
      <c r="H747" s="31">
        <f t="shared" si="14"/>
        <v>226259.04</v>
      </c>
      <c r="I747" s="31"/>
      <c r="K747" t="s">
        <v>14</v>
      </c>
    </row>
    <row r="748" spans="2:11" ht="13" x14ac:dyDescent="0.15">
      <c r="B748" s="29" t="s">
        <v>1032</v>
      </c>
      <c r="C748" s="29" t="s">
        <v>186</v>
      </c>
      <c r="D748" s="31">
        <f>SUMIFS(D749:D1057,K749:K1057,"0",B749:B1057,"5 1 2 4 9 12 31111 6 M78 15000 171 00I 001 24901 025*")-SUMIFS(E749:E1057,K749:K1057,"0",B749:B1057,"5 1 2 4 9 12 31111 6 M78 15000 171 00I 001 24901 025*")</f>
        <v>0</v>
      </c>
      <c r="E748"/>
      <c r="F748" s="31">
        <f>SUMIFS(F749:F1057,K749:K1057,"0",B749:B1057,"5 1 2 4 9 12 31111 6 M78 15000 171 00I 001 24901 025*")</f>
        <v>226259.04</v>
      </c>
      <c r="G748" s="31">
        <f>SUMIFS(G749:G1057,K749:K1057,"0",B749:B1057,"5 1 2 4 9 12 31111 6 M78 15000 171 00I 001 24901 025*")</f>
        <v>0</v>
      </c>
      <c r="H748" s="31">
        <f t="shared" si="14"/>
        <v>226259.04</v>
      </c>
      <c r="I748" s="31"/>
      <c r="K748" t="s">
        <v>14</v>
      </c>
    </row>
    <row r="749" spans="2:11" ht="22" x14ac:dyDescent="0.15">
      <c r="B749" s="29" t="s">
        <v>1033</v>
      </c>
      <c r="C749" s="29" t="s">
        <v>188</v>
      </c>
      <c r="D749" s="31">
        <f>SUMIFS(D750:D1057,K750:K1057,"0",B750:B1057,"5 1 2 4 9 12 31111 6 M78 15000 171 00I 001 24901 025 2112000*")-SUMIFS(E750:E1057,K750:K1057,"0",B750:B1057,"5 1 2 4 9 12 31111 6 M78 15000 171 00I 001 24901 025 2112000*")</f>
        <v>0</v>
      </c>
      <c r="E749"/>
      <c r="F749" s="31">
        <f>SUMIFS(F750:F1057,K750:K1057,"0",B750:B1057,"5 1 2 4 9 12 31111 6 M78 15000 171 00I 001 24901 025 2112000*")</f>
        <v>226259.04</v>
      </c>
      <c r="G749" s="31">
        <f>SUMIFS(G750:G1057,K750:K1057,"0",B750:B1057,"5 1 2 4 9 12 31111 6 M78 15000 171 00I 001 24901 025 2112000*")</f>
        <v>0</v>
      </c>
      <c r="H749" s="31">
        <f t="shared" si="14"/>
        <v>226259.04</v>
      </c>
      <c r="I749" s="31"/>
      <c r="K749" t="s">
        <v>14</v>
      </c>
    </row>
    <row r="750" spans="2:11" ht="22" x14ac:dyDescent="0.15">
      <c r="B750" s="29" t="s">
        <v>1034</v>
      </c>
      <c r="C750" s="29" t="s">
        <v>294</v>
      </c>
      <c r="D750" s="31">
        <f>SUMIFS(D751:D1057,K751:K1057,"0",B751:B1057,"5 1 2 4 9 12 31111 6 M78 15000 171 00I 001 24901 025 2112000 2024*")-SUMIFS(E751:E1057,K751:K1057,"0",B751:B1057,"5 1 2 4 9 12 31111 6 M78 15000 171 00I 001 24901 025 2112000 2024*")</f>
        <v>0</v>
      </c>
      <c r="E750"/>
      <c r="F750" s="31">
        <f>SUMIFS(F751:F1057,K751:K1057,"0",B751:B1057,"5 1 2 4 9 12 31111 6 M78 15000 171 00I 001 24901 025 2112000 2024*")</f>
        <v>226259.04</v>
      </c>
      <c r="G750" s="31">
        <f>SUMIFS(G751:G1057,K751:K1057,"0",B751:B1057,"5 1 2 4 9 12 31111 6 M78 15000 171 00I 001 24901 025 2112000 2024*")</f>
        <v>0</v>
      </c>
      <c r="H750" s="31">
        <f t="shared" si="14"/>
        <v>226259.04</v>
      </c>
      <c r="I750" s="31"/>
      <c r="K750" t="s">
        <v>14</v>
      </c>
    </row>
    <row r="751" spans="2:11" ht="22" x14ac:dyDescent="0.15">
      <c r="B751" s="29" t="s">
        <v>1035</v>
      </c>
      <c r="C751" s="29" t="s">
        <v>192</v>
      </c>
      <c r="D751" s="31">
        <f>SUMIFS(D752:D1057,K752:K1057,"0",B752:B1057,"5 1 2 4 9 12 31111 6 M78 15000 171 00I 001 24901 025 2112000 2024 00000000*")-SUMIFS(E752:E1057,K752:K1057,"0",B752:B1057,"5 1 2 4 9 12 31111 6 M78 15000 171 00I 001 24901 025 2112000 2024 00000000*")</f>
        <v>0</v>
      </c>
      <c r="E751"/>
      <c r="F751" s="31">
        <f>SUMIFS(F752:F1057,K752:K1057,"0",B752:B1057,"5 1 2 4 9 12 31111 6 M78 15000 171 00I 001 24901 025 2112000 2024 00000000*")</f>
        <v>226259.04</v>
      </c>
      <c r="G751" s="31">
        <f>SUMIFS(G752:G1057,K752:K1057,"0",B752:B1057,"5 1 2 4 9 12 31111 6 M78 15000 171 00I 001 24901 025 2112000 2024 00000000*")</f>
        <v>0</v>
      </c>
      <c r="H751" s="31">
        <f t="shared" si="14"/>
        <v>226259.04</v>
      </c>
      <c r="I751" s="31"/>
      <c r="K751" t="s">
        <v>14</v>
      </c>
    </row>
    <row r="752" spans="2:11" ht="22" x14ac:dyDescent="0.15">
      <c r="B752" s="29" t="s">
        <v>1036</v>
      </c>
      <c r="C752" s="29" t="s">
        <v>9</v>
      </c>
      <c r="D752" s="31">
        <f>SUMIFS(D753:D1057,K753:K1057,"0",B753:B1057,"5 1 2 4 9 12 31111 6 M78 15000 171 00I 001 24901 025 2112000 2024 00000000 003*")-SUMIFS(E753:E1057,K753:K1057,"0",B753:B1057,"5 1 2 4 9 12 31111 6 M78 15000 171 00I 001 24901 025 2112000 2024 00000000 003*")</f>
        <v>0</v>
      </c>
      <c r="E752"/>
      <c r="F752" s="31">
        <f>SUMIFS(F753:F1057,K753:K1057,"0",B753:B1057,"5 1 2 4 9 12 31111 6 M78 15000 171 00I 001 24901 025 2112000 2024 00000000 003*")</f>
        <v>226259.04</v>
      </c>
      <c r="G752" s="31">
        <f>SUMIFS(G753:G1057,K753:K1057,"0",B753:B1057,"5 1 2 4 9 12 31111 6 M78 15000 171 00I 001 24901 025 2112000 2024 00000000 003*")</f>
        <v>0</v>
      </c>
      <c r="H752" s="31">
        <f t="shared" si="14"/>
        <v>226259.04</v>
      </c>
      <c r="I752" s="31"/>
      <c r="K752" t="s">
        <v>14</v>
      </c>
    </row>
    <row r="753" spans="2:11" ht="22" x14ac:dyDescent="0.15">
      <c r="B753" s="27" t="s">
        <v>1037</v>
      </c>
      <c r="C753" s="27" t="s">
        <v>1038</v>
      </c>
      <c r="D753" s="30">
        <v>0</v>
      </c>
      <c r="E753" s="30"/>
      <c r="F753" s="30">
        <v>226259.04</v>
      </c>
      <c r="G753" s="30">
        <v>0</v>
      </c>
      <c r="H753" s="30">
        <f t="shared" si="14"/>
        <v>226259.04</v>
      </c>
      <c r="I753" s="30"/>
      <c r="K753" t="s">
        <v>38</v>
      </c>
    </row>
    <row r="754" spans="2:11" ht="13" x14ac:dyDescent="0.15">
      <c r="B754" s="29" t="s">
        <v>1039</v>
      </c>
      <c r="C754" s="29" t="s">
        <v>1040</v>
      </c>
      <c r="D754" s="31">
        <f>SUMIFS(D755:D1057,K755:K1057,"0",B755:B1057,"5 1 2 5*")-SUMIFS(E755:E1057,K755:K1057,"0",B755:B1057,"5 1 2 5*")</f>
        <v>0</v>
      </c>
      <c r="E754"/>
      <c r="F754" s="31">
        <f>SUMIFS(F755:F1057,K755:K1057,"0",B755:B1057,"5 1 2 5*")</f>
        <v>27400</v>
      </c>
      <c r="G754" s="31">
        <f>SUMIFS(G755:G1057,K755:K1057,"0",B755:B1057,"5 1 2 5*")</f>
        <v>0</v>
      </c>
      <c r="H754" s="31">
        <f t="shared" si="14"/>
        <v>27400</v>
      </c>
      <c r="I754" s="31"/>
      <c r="K754" t="s">
        <v>14</v>
      </c>
    </row>
    <row r="755" spans="2:11" ht="13" x14ac:dyDescent="0.15">
      <c r="B755" s="29" t="s">
        <v>1041</v>
      </c>
      <c r="C755" s="29" t="s">
        <v>1042</v>
      </c>
      <c r="D755" s="31">
        <f>SUMIFS(D756:D1057,K756:K1057,"0",B756:B1057,"5 1 2 5 4*")-SUMIFS(E756:E1057,K756:K1057,"0",B756:B1057,"5 1 2 5 4*")</f>
        <v>0</v>
      </c>
      <c r="E755"/>
      <c r="F755" s="31">
        <f>SUMIFS(F756:F1057,K756:K1057,"0",B756:B1057,"5 1 2 5 4*")</f>
        <v>5000</v>
      </c>
      <c r="G755" s="31">
        <f>SUMIFS(G756:G1057,K756:K1057,"0",B756:B1057,"5 1 2 5 4*")</f>
        <v>0</v>
      </c>
      <c r="H755" s="31">
        <f t="shared" si="14"/>
        <v>5000</v>
      </c>
      <c r="I755" s="31"/>
      <c r="K755" t="s">
        <v>14</v>
      </c>
    </row>
    <row r="756" spans="2:11" ht="13" x14ac:dyDescent="0.15">
      <c r="B756" s="29" t="s">
        <v>1043</v>
      </c>
      <c r="C756" s="29" t="s">
        <v>25</v>
      </c>
      <c r="D756" s="31">
        <f>SUMIFS(D757:D1057,K757:K1057,"0",B757:B1057,"5 1 2 5 4 12*")-SUMIFS(E757:E1057,K757:K1057,"0",B757:B1057,"5 1 2 5 4 12*")</f>
        <v>0</v>
      </c>
      <c r="E756"/>
      <c r="F756" s="31">
        <f>SUMIFS(F757:F1057,K757:K1057,"0",B757:B1057,"5 1 2 5 4 12*")</f>
        <v>5000</v>
      </c>
      <c r="G756" s="31">
        <f>SUMIFS(G757:G1057,K757:K1057,"0",B757:B1057,"5 1 2 5 4 12*")</f>
        <v>0</v>
      </c>
      <c r="H756" s="31">
        <f t="shared" si="14"/>
        <v>5000</v>
      </c>
      <c r="I756" s="31"/>
      <c r="K756" t="s">
        <v>14</v>
      </c>
    </row>
    <row r="757" spans="2:11" ht="13" x14ac:dyDescent="0.15">
      <c r="B757" s="29" t="s">
        <v>1044</v>
      </c>
      <c r="C757" s="29" t="s">
        <v>27</v>
      </c>
      <c r="D757" s="31">
        <f>SUMIFS(D758:D1057,K758:K1057,"0",B758:B1057,"5 1 2 5 4 12 31111*")-SUMIFS(E758:E1057,K758:K1057,"0",B758:B1057,"5 1 2 5 4 12 31111*")</f>
        <v>0</v>
      </c>
      <c r="E757"/>
      <c r="F757" s="31">
        <f>SUMIFS(F758:F1057,K758:K1057,"0",B758:B1057,"5 1 2 5 4 12 31111*")</f>
        <v>5000</v>
      </c>
      <c r="G757" s="31">
        <f>SUMIFS(G758:G1057,K758:K1057,"0",B758:B1057,"5 1 2 5 4 12 31111*")</f>
        <v>0</v>
      </c>
      <c r="H757" s="31">
        <f t="shared" si="14"/>
        <v>5000</v>
      </c>
      <c r="I757" s="31"/>
      <c r="K757" t="s">
        <v>14</v>
      </c>
    </row>
    <row r="758" spans="2:11" ht="13" x14ac:dyDescent="0.15">
      <c r="B758" s="29" t="s">
        <v>1045</v>
      </c>
      <c r="C758" s="29" t="s">
        <v>29</v>
      </c>
      <c r="D758" s="31">
        <f>SUMIFS(D759:D1057,K759:K1057,"0",B759:B1057,"5 1 2 5 4 12 31111 6*")-SUMIFS(E759:E1057,K759:K1057,"0",B759:B1057,"5 1 2 5 4 12 31111 6*")</f>
        <v>0</v>
      </c>
      <c r="E758"/>
      <c r="F758" s="31">
        <f>SUMIFS(F759:F1057,K759:K1057,"0",B759:B1057,"5 1 2 5 4 12 31111 6*")</f>
        <v>5000</v>
      </c>
      <c r="G758" s="31">
        <f>SUMIFS(G759:G1057,K759:K1057,"0",B759:B1057,"5 1 2 5 4 12 31111 6*")</f>
        <v>0</v>
      </c>
      <c r="H758" s="31">
        <f t="shared" si="14"/>
        <v>5000</v>
      </c>
      <c r="I758" s="31"/>
      <c r="K758" t="s">
        <v>14</v>
      </c>
    </row>
    <row r="759" spans="2:11" ht="13" x14ac:dyDescent="0.15">
      <c r="B759" s="29" t="s">
        <v>1046</v>
      </c>
      <c r="C759" s="29" t="s">
        <v>629</v>
      </c>
      <c r="D759" s="31">
        <f>SUMIFS(D760:D1057,K760:K1057,"0",B760:B1057,"5 1 2 5 4 12 31111 6 M78*")-SUMIFS(E760:E1057,K760:K1057,"0",B760:B1057,"5 1 2 5 4 12 31111 6 M78*")</f>
        <v>0</v>
      </c>
      <c r="E759"/>
      <c r="F759" s="31">
        <f>SUMIFS(F760:F1057,K760:K1057,"0",B760:B1057,"5 1 2 5 4 12 31111 6 M78*")</f>
        <v>5000</v>
      </c>
      <c r="G759" s="31">
        <f>SUMIFS(G760:G1057,K760:K1057,"0",B760:B1057,"5 1 2 5 4 12 31111 6 M78*")</f>
        <v>0</v>
      </c>
      <c r="H759" s="31">
        <f t="shared" si="14"/>
        <v>5000</v>
      </c>
      <c r="I759" s="31"/>
      <c r="K759" t="s">
        <v>14</v>
      </c>
    </row>
    <row r="760" spans="2:11" ht="13" x14ac:dyDescent="0.15">
      <c r="B760" s="29" t="s">
        <v>1047</v>
      </c>
      <c r="C760" s="29" t="s">
        <v>176</v>
      </c>
      <c r="D760" s="31">
        <f>SUMIFS(D761:D1057,K761:K1057,"0",B761:B1057,"5 1 2 5 4 12 31111 6 M78 15000*")-SUMIFS(E761:E1057,K761:K1057,"0",B761:B1057,"5 1 2 5 4 12 31111 6 M78 15000*")</f>
        <v>0</v>
      </c>
      <c r="E760"/>
      <c r="F760" s="31">
        <f>SUMIFS(F761:F1057,K761:K1057,"0",B761:B1057,"5 1 2 5 4 12 31111 6 M78 15000*")</f>
        <v>5000</v>
      </c>
      <c r="G760" s="31">
        <f>SUMIFS(G761:G1057,K761:K1057,"0",B761:B1057,"5 1 2 5 4 12 31111 6 M78 15000*")</f>
        <v>0</v>
      </c>
      <c r="H760" s="31">
        <f t="shared" si="14"/>
        <v>5000</v>
      </c>
      <c r="I760" s="31"/>
      <c r="K760" t="s">
        <v>14</v>
      </c>
    </row>
    <row r="761" spans="2:11" ht="13" x14ac:dyDescent="0.15">
      <c r="B761" s="29" t="s">
        <v>1048</v>
      </c>
      <c r="C761" s="29" t="s">
        <v>178</v>
      </c>
      <c r="D761" s="31">
        <f>SUMIFS(D762:D1057,K762:K1057,"0",B762:B1057,"5 1 2 5 4 12 31111 6 M78 15000 171*")-SUMIFS(E762:E1057,K762:K1057,"0",B762:B1057,"5 1 2 5 4 12 31111 6 M78 15000 171*")</f>
        <v>0</v>
      </c>
      <c r="E761"/>
      <c r="F761" s="31">
        <f>SUMIFS(F762:F1057,K762:K1057,"0",B762:B1057,"5 1 2 5 4 12 31111 6 M78 15000 171*")</f>
        <v>5000</v>
      </c>
      <c r="G761" s="31">
        <f>SUMIFS(G762:G1057,K762:K1057,"0",B762:B1057,"5 1 2 5 4 12 31111 6 M78 15000 171*")</f>
        <v>0</v>
      </c>
      <c r="H761" s="31">
        <f t="shared" si="14"/>
        <v>5000</v>
      </c>
      <c r="I761" s="31"/>
      <c r="K761" t="s">
        <v>14</v>
      </c>
    </row>
    <row r="762" spans="2:11" ht="13" x14ac:dyDescent="0.15">
      <c r="B762" s="29" t="s">
        <v>1049</v>
      </c>
      <c r="C762" s="29" t="s">
        <v>180</v>
      </c>
      <c r="D762" s="31">
        <f>SUMIFS(D763:D1057,K763:K1057,"0",B763:B1057,"5 1 2 5 4 12 31111 6 M78 15000 171 00I*")-SUMIFS(E763:E1057,K763:K1057,"0",B763:B1057,"5 1 2 5 4 12 31111 6 M78 15000 171 00I*")</f>
        <v>0</v>
      </c>
      <c r="E762"/>
      <c r="F762" s="31">
        <f>SUMIFS(F763:F1057,K763:K1057,"0",B763:B1057,"5 1 2 5 4 12 31111 6 M78 15000 171 00I*")</f>
        <v>5000</v>
      </c>
      <c r="G762" s="31">
        <f>SUMIFS(G763:G1057,K763:K1057,"0",B763:B1057,"5 1 2 5 4 12 31111 6 M78 15000 171 00I*")</f>
        <v>0</v>
      </c>
      <c r="H762" s="31">
        <f t="shared" si="14"/>
        <v>5000</v>
      </c>
      <c r="I762" s="31"/>
      <c r="K762" t="s">
        <v>14</v>
      </c>
    </row>
    <row r="763" spans="2:11" ht="13" x14ac:dyDescent="0.15">
      <c r="B763" s="29" t="s">
        <v>1050</v>
      </c>
      <c r="C763" s="29" t="s">
        <v>562</v>
      </c>
      <c r="D763" s="31">
        <f>SUMIFS(D764:D1057,K764:K1057,"0",B764:B1057,"5 1 2 5 4 12 31111 6 M78 15000 171 00I 001*")-SUMIFS(E764:E1057,K764:K1057,"0",B764:B1057,"5 1 2 5 4 12 31111 6 M78 15000 171 00I 001*")</f>
        <v>0</v>
      </c>
      <c r="E763"/>
      <c r="F763" s="31">
        <f>SUMIFS(F764:F1057,K764:K1057,"0",B764:B1057,"5 1 2 5 4 12 31111 6 M78 15000 171 00I 001*")</f>
        <v>5000</v>
      </c>
      <c r="G763" s="31">
        <f>SUMIFS(G764:G1057,K764:K1057,"0",B764:B1057,"5 1 2 5 4 12 31111 6 M78 15000 171 00I 001*")</f>
        <v>0</v>
      </c>
      <c r="H763" s="31">
        <f t="shared" si="14"/>
        <v>5000</v>
      </c>
      <c r="I763" s="31"/>
      <c r="K763" t="s">
        <v>14</v>
      </c>
    </row>
    <row r="764" spans="2:11" ht="13" x14ac:dyDescent="0.15">
      <c r="B764" s="29" t="s">
        <v>1051</v>
      </c>
      <c r="C764" s="29" t="s">
        <v>1042</v>
      </c>
      <c r="D764" s="31">
        <f>SUMIFS(D765:D1057,K765:K1057,"0",B765:B1057,"5 1 2 5 4 12 31111 6 M78 15000 171 00I 001 25401*")-SUMIFS(E765:E1057,K765:K1057,"0",B765:B1057,"5 1 2 5 4 12 31111 6 M78 15000 171 00I 001 25401*")</f>
        <v>0</v>
      </c>
      <c r="E764"/>
      <c r="F764" s="31">
        <f>SUMIFS(F765:F1057,K765:K1057,"0",B765:B1057,"5 1 2 5 4 12 31111 6 M78 15000 171 00I 001 25401*")</f>
        <v>5000</v>
      </c>
      <c r="G764" s="31">
        <f>SUMIFS(G765:G1057,K765:K1057,"0",B765:B1057,"5 1 2 5 4 12 31111 6 M78 15000 171 00I 001 25401*")</f>
        <v>0</v>
      </c>
      <c r="H764" s="31">
        <f t="shared" si="14"/>
        <v>5000</v>
      </c>
      <c r="I764" s="31"/>
      <c r="K764" t="s">
        <v>14</v>
      </c>
    </row>
    <row r="765" spans="2:11" ht="13" x14ac:dyDescent="0.15">
      <c r="B765" s="29" t="s">
        <v>1052</v>
      </c>
      <c r="C765" s="29" t="s">
        <v>1053</v>
      </c>
      <c r="D765" s="31">
        <f>SUMIFS(D766:D1057,K766:K1057,"0",B766:B1057,"5 1 2 5 4 12 31111 6 M78 15000 171 00I 001 25401 025*")-SUMIFS(E766:E1057,K766:K1057,"0",B766:B1057,"5 1 2 5 4 12 31111 6 M78 15000 171 00I 001 25401 025*")</f>
        <v>0</v>
      </c>
      <c r="E765"/>
      <c r="F765" s="31">
        <f>SUMIFS(F766:F1057,K766:K1057,"0",B766:B1057,"5 1 2 5 4 12 31111 6 M78 15000 171 00I 001 25401 025*")</f>
        <v>5000</v>
      </c>
      <c r="G765" s="31">
        <f>SUMIFS(G766:G1057,K766:K1057,"0",B766:B1057,"5 1 2 5 4 12 31111 6 M78 15000 171 00I 001 25401 025*")</f>
        <v>0</v>
      </c>
      <c r="H765" s="31">
        <f t="shared" si="14"/>
        <v>5000</v>
      </c>
      <c r="I765" s="31"/>
      <c r="K765" t="s">
        <v>14</v>
      </c>
    </row>
    <row r="766" spans="2:11" ht="22" x14ac:dyDescent="0.15">
      <c r="B766" s="29" t="s">
        <v>1054</v>
      </c>
      <c r="C766" s="29" t="s">
        <v>188</v>
      </c>
      <c r="D766" s="31">
        <f>SUMIFS(D767:D1057,K767:K1057,"0",B767:B1057,"5 1 2 5 4 12 31111 6 M78 15000 171 00I 001 25401 025 2112000*")-SUMIFS(E767:E1057,K767:K1057,"0",B767:B1057,"5 1 2 5 4 12 31111 6 M78 15000 171 00I 001 25401 025 2112000*")</f>
        <v>0</v>
      </c>
      <c r="E766"/>
      <c r="F766" s="31">
        <f>SUMIFS(F767:F1057,K767:K1057,"0",B767:B1057,"5 1 2 5 4 12 31111 6 M78 15000 171 00I 001 25401 025 2112000*")</f>
        <v>5000</v>
      </c>
      <c r="G766" s="31">
        <f>SUMIFS(G767:G1057,K767:K1057,"0",B767:B1057,"5 1 2 5 4 12 31111 6 M78 15000 171 00I 001 25401 025 2112000*")</f>
        <v>0</v>
      </c>
      <c r="H766" s="31">
        <f t="shared" si="14"/>
        <v>5000</v>
      </c>
      <c r="I766" s="31"/>
      <c r="K766" t="s">
        <v>14</v>
      </c>
    </row>
    <row r="767" spans="2:11" ht="22" x14ac:dyDescent="0.15">
      <c r="B767" s="29" t="s">
        <v>1055</v>
      </c>
      <c r="C767" s="29" t="s">
        <v>294</v>
      </c>
      <c r="D767" s="31">
        <f>SUMIFS(D768:D1057,K768:K1057,"0",B768:B1057,"5 1 2 5 4 12 31111 6 M78 15000 171 00I 001 25401 025 2112000 2024*")-SUMIFS(E768:E1057,K768:K1057,"0",B768:B1057,"5 1 2 5 4 12 31111 6 M78 15000 171 00I 001 25401 025 2112000 2024*")</f>
        <v>0</v>
      </c>
      <c r="E767"/>
      <c r="F767" s="31">
        <f>SUMIFS(F768:F1057,K768:K1057,"0",B768:B1057,"5 1 2 5 4 12 31111 6 M78 15000 171 00I 001 25401 025 2112000 2024*")</f>
        <v>5000</v>
      </c>
      <c r="G767" s="31">
        <f>SUMIFS(G768:G1057,K768:K1057,"0",B768:B1057,"5 1 2 5 4 12 31111 6 M78 15000 171 00I 001 25401 025 2112000 2024*")</f>
        <v>0</v>
      </c>
      <c r="H767" s="31">
        <f t="shared" si="14"/>
        <v>5000</v>
      </c>
      <c r="I767" s="31"/>
      <c r="K767" t="s">
        <v>14</v>
      </c>
    </row>
    <row r="768" spans="2:11" ht="22" x14ac:dyDescent="0.15">
      <c r="B768" s="29" t="s">
        <v>1056</v>
      </c>
      <c r="C768" s="29" t="s">
        <v>192</v>
      </c>
      <c r="D768" s="31">
        <f>SUMIFS(D769:D1057,K769:K1057,"0",B769:B1057,"5 1 2 5 4 12 31111 6 M78 15000 171 00I 001 25401 025 2112000 2024 00000000*")-SUMIFS(E769:E1057,K769:K1057,"0",B769:B1057,"5 1 2 5 4 12 31111 6 M78 15000 171 00I 001 25401 025 2112000 2024 00000000*")</f>
        <v>0</v>
      </c>
      <c r="E768"/>
      <c r="F768" s="31">
        <f>SUMIFS(F769:F1057,K769:K1057,"0",B769:B1057,"5 1 2 5 4 12 31111 6 M78 15000 171 00I 001 25401 025 2112000 2024 00000000*")</f>
        <v>5000</v>
      </c>
      <c r="G768" s="31">
        <f>SUMIFS(G769:G1057,K769:K1057,"0",B769:B1057,"5 1 2 5 4 12 31111 6 M78 15000 171 00I 001 25401 025 2112000 2024 00000000*")</f>
        <v>0</v>
      </c>
      <c r="H768" s="31">
        <f t="shared" si="14"/>
        <v>5000</v>
      </c>
      <c r="I768" s="31"/>
      <c r="K768" t="s">
        <v>14</v>
      </c>
    </row>
    <row r="769" spans="2:11" ht="22" x14ac:dyDescent="0.15">
      <c r="B769" s="29" t="s">
        <v>1057</v>
      </c>
      <c r="C769" s="29" t="s">
        <v>1058</v>
      </c>
      <c r="D769" s="31">
        <f>SUMIFS(D770:D1057,K770:K1057,"0",B770:B1057,"5 1 2 5 4 12 31111 6 M78 15000 171 00I 001 25401 025 2112000 2024 00000000 003*")-SUMIFS(E770:E1057,K770:K1057,"0",B770:B1057,"5 1 2 5 4 12 31111 6 M78 15000 171 00I 001 25401 025 2112000 2024 00000000 003*")</f>
        <v>0</v>
      </c>
      <c r="E769"/>
      <c r="F769" s="31">
        <f>SUMIFS(F770:F1057,K770:K1057,"0",B770:B1057,"5 1 2 5 4 12 31111 6 M78 15000 171 00I 001 25401 025 2112000 2024 00000000 003*")</f>
        <v>5000</v>
      </c>
      <c r="G769" s="31">
        <f>SUMIFS(G770:G1057,K770:K1057,"0",B770:B1057,"5 1 2 5 4 12 31111 6 M78 15000 171 00I 001 25401 025 2112000 2024 00000000 003*")</f>
        <v>0</v>
      </c>
      <c r="H769" s="31">
        <f t="shared" si="14"/>
        <v>5000</v>
      </c>
      <c r="I769" s="31"/>
      <c r="K769" t="s">
        <v>14</v>
      </c>
    </row>
    <row r="770" spans="2:11" ht="22" x14ac:dyDescent="0.15">
      <c r="B770" s="27" t="s">
        <v>1059</v>
      </c>
      <c r="C770" s="27" t="s">
        <v>1042</v>
      </c>
      <c r="D770" s="30">
        <v>0</v>
      </c>
      <c r="E770" s="30"/>
      <c r="F770" s="30">
        <v>5000</v>
      </c>
      <c r="G770" s="30">
        <v>0</v>
      </c>
      <c r="H770" s="30">
        <f t="shared" si="14"/>
        <v>5000</v>
      </c>
      <c r="I770" s="30"/>
      <c r="K770" t="s">
        <v>38</v>
      </c>
    </row>
    <row r="771" spans="2:11" ht="13" x14ac:dyDescent="0.15">
      <c r="B771" s="29" t="s">
        <v>1060</v>
      </c>
      <c r="C771" s="29" t="s">
        <v>1061</v>
      </c>
      <c r="D771" s="31">
        <f>SUMIFS(D772:D1057,K772:K1057,"0",B772:B1057,"5 1 2 5 9*")-SUMIFS(E772:E1057,K772:K1057,"0",B772:B1057,"5 1 2 5 9*")</f>
        <v>0</v>
      </c>
      <c r="E771"/>
      <c r="F771" s="31">
        <f>SUMIFS(F772:F1057,K772:K1057,"0",B772:B1057,"5 1 2 5 9*")</f>
        <v>22400</v>
      </c>
      <c r="G771" s="31">
        <f>SUMIFS(G772:G1057,K772:K1057,"0",B772:B1057,"5 1 2 5 9*")</f>
        <v>0</v>
      </c>
      <c r="H771" s="31">
        <f t="shared" si="14"/>
        <v>22400</v>
      </c>
      <c r="I771" s="31"/>
      <c r="K771" t="s">
        <v>14</v>
      </c>
    </row>
    <row r="772" spans="2:11" ht="13" x14ac:dyDescent="0.15">
      <c r="B772" s="29" t="s">
        <v>1062</v>
      </c>
      <c r="C772" s="29" t="s">
        <v>25</v>
      </c>
      <c r="D772" s="31">
        <f>SUMIFS(D773:D1057,K773:K1057,"0",B773:B1057,"5 1 2 5 9 12*")-SUMIFS(E773:E1057,K773:K1057,"0",B773:B1057,"5 1 2 5 9 12*")</f>
        <v>0</v>
      </c>
      <c r="E772"/>
      <c r="F772" s="31">
        <f>SUMIFS(F773:F1057,K773:K1057,"0",B773:B1057,"5 1 2 5 9 12*")</f>
        <v>22400</v>
      </c>
      <c r="G772" s="31">
        <f>SUMIFS(G773:G1057,K773:K1057,"0",B773:B1057,"5 1 2 5 9 12*")</f>
        <v>0</v>
      </c>
      <c r="H772" s="31">
        <f t="shared" si="14"/>
        <v>22400</v>
      </c>
      <c r="I772" s="31"/>
      <c r="K772" t="s">
        <v>14</v>
      </c>
    </row>
    <row r="773" spans="2:11" ht="13" x14ac:dyDescent="0.15">
      <c r="B773" s="29" t="s">
        <v>1063</v>
      </c>
      <c r="C773" s="29" t="s">
        <v>27</v>
      </c>
      <c r="D773" s="31">
        <f>SUMIFS(D774:D1057,K774:K1057,"0",B774:B1057,"5 1 2 5 9 12 31111*")-SUMIFS(E774:E1057,K774:K1057,"0",B774:B1057,"5 1 2 5 9 12 31111*")</f>
        <v>0</v>
      </c>
      <c r="E773"/>
      <c r="F773" s="31">
        <f>SUMIFS(F774:F1057,K774:K1057,"0",B774:B1057,"5 1 2 5 9 12 31111*")</f>
        <v>22400</v>
      </c>
      <c r="G773" s="31">
        <f>SUMIFS(G774:G1057,K774:K1057,"0",B774:B1057,"5 1 2 5 9 12 31111*")</f>
        <v>0</v>
      </c>
      <c r="H773" s="31">
        <f t="shared" si="14"/>
        <v>22400</v>
      </c>
      <c r="I773" s="31"/>
      <c r="K773" t="s">
        <v>14</v>
      </c>
    </row>
    <row r="774" spans="2:11" ht="13" x14ac:dyDescent="0.15">
      <c r="B774" s="29" t="s">
        <v>1064</v>
      </c>
      <c r="C774" s="29" t="s">
        <v>29</v>
      </c>
      <c r="D774" s="31">
        <f>SUMIFS(D775:D1057,K775:K1057,"0",B775:B1057,"5 1 2 5 9 12 31111 6*")-SUMIFS(E775:E1057,K775:K1057,"0",B775:B1057,"5 1 2 5 9 12 31111 6*")</f>
        <v>0</v>
      </c>
      <c r="E774"/>
      <c r="F774" s="31">
        <f>SUMIFS(F775:F1057,K775:K1057,"0",B775:B1057,"5 1 2 5 9 12 31111 6*")</f>
        <v>22400</v>
      </c>
      <c r="G774" s="31">
        <f>SUMIFS(G775:G1057,K775:K1057,"0",B775:B1057,"5 1 2 5 9 12 31111 6*")</f>
        <v>0</v>
      </c>
      <c r="H774" s="31">
        <f t="shared" si="14"/>
        <v>22400</v>
      </c>
      <c r="I774" s="31"/>
      <c r="K774" t="s">
        <v>14</v>
      </c>
    </row>
    <row r="775" spans="2:11" ht="13" x14ac:dyDescent="0.15">
      <c r="B775" s="29" t="s">
        <v>1065</v>
      </c>
      <c r="C775" s="29" t="s">
        <v>629</v>
      </c>
      <c r="D775" s="31">
        <f>SUMIFS(D776:D1057,K776:K1057,"0",B776:B1057,"5 1 2 5 9 12 31111 6 M78*")-SUMIFS(E776:E1057,K776:K1057,"0",B776:B1057,"5 1 2 5 9 12 31111 6 M78*")</f>
        <v>0</v>
      </c>
      <c r="E775"/>
      <c r="F775" s="31">
        <f>SUMIFS(F776:F1057,K776:K1057,"0",B776:B1057,"5 1 2 5 9 12 31111 6 M78*")</f>
        <v>22400</v>
      </c>
      <c r="G775" s="31">
        <f>SUMIFS(G776:G1057,K776:K1057,"0",B776:B1057,"5 1 2 5 9 12 31111 6 M78*")</f>
        <v>0</v>
      </c>
      <c r="H775" s="31">
        <f t="shared" si="14"/>
        <v>22400</v>
      </c>
      <c r="I775" s="31"/>
      <c r="K775" t="s">
        <v>14</v>
      </c>
    </row>
    <row r="776" spans="2:11" ht="13" x14ac:dyDescent="0.15">
      <c r="B776" s="29" t="s">
        <v>1066</v>
      </c>
      <c r="C776" s="29" t="s">
        <v>176</v>
      </c>
      <c r="D776" s="31">
        <f>SUMIFS(D777:D1057,K777:K1057,"0",B777:B1057,"5 1 2 5 9 12 31111 6 M78 15000*")-SUMIFS(E777:E1057,K777:K1057,"0",B777:B1057,"5 1 2 5 9 12 31111 6 M78 15000*")</f>
        <v>0</v>
      </c>
      <c r="E776"/>
      <c r="F776" s="31">
        <f>SUMIFS(F777:F1057,K777:K1057,"0",B777:B1057,"5 1 2 5 9 12 31111 6 M78 15000*")</f>
        <v>22400</v>
      </c>
      <c r="G776" s="31">
        <f>SUMIFS(G777:G1057,K777:K1057,"0",B777:B1057,"5 1 2 5 9 12 31111 6 M78 15000*")</f>
        <v>0</v>
      </c>
      <c r="H776" s="31">
        <f t="shared" si="14"/>
        <v>22400</v>
      </c>
      <c r="I776" s="31"/>
      <c r="K776" t="s">
        <v>14</v>
      </c>
    </row>
    <row r="777" spans="2:11" ht="13" x14ac:dyDescent="0.15">
      <c r="B777" s="29" t="s">
        <v>1067</v>
      </c>
      <c r="C777" s="29" t="s">
        <v>178</v>
      </c>
      <c r="D777" s="31">
        <f>SUMIFS(D778:D1057,K778:K1057,"0",B778:B1057,"5 1 2 5 9 12 31111 6 M78 15000 171*")-SUMIFS(E778:E1057,K778:K1057,"0",B778:B1057,"5 1 2 5 9 12 31111 6 M78 15000 171*")</f>
        <v>0</v>
      </c>
      <c r="E777"/>
      <c r="F777" s="31">
        <f>SUMIFS(F778:F1057,K778:K1057,"0",B778:B1057,"5 1 2 5 9 12 31111 6 M78 15000 171*")</f>
        <v>22400</v>
      </c>
      <c r="G777" s="31">
        <f>SUMIFS(G778:G1057,K778:K1057,"0",B778:B1057,"5 1 2 5 9 12 31111 6 M78 15000 171*")</f>
        <v>0</v>
      </c>
      <c r="H777" s="31">
        <f t="shared" si="14"/>
        <v>22400</v>
      </c>
      <c r="I777" s="31"/>
      <c r="K777" t="s">
        <v>14</v>
      </c>
    </row>
    <row r="778" spans="2:11" ht="13" x14ac:dyDescent="0.15">
      <c r="B778" s="29" t="s">
        <v>1068</v>
      </c>
      <c r="C778" s="29" t="s">
        <v>180</v>
      </c>
      <c r="D778" s="31">
        <f>SUMIFS(D779:D1057,K779:K1057,"0",B779:B1057,"5 1 2 5 9 12 31111 6 M78 15000 171 00I*")-SUMIFS(E779:E1057,K779:K1057,"0",B779:B1057,"5 1 2 5 9 12 31111 6 M78 15000 171 00I*")</f>
        <v>0</v>
      </c>
      <c r="E778"/>
      <c r="F778" s="31">
        <f>SUMIFS(F779:F1057,K779:K1057,"0",B779:B1057,"5 1 2 5 9 12 31111 6 M78 15000 171 00I*")</f>
        <v>22400</v>
      </c>
      <c r="G778" s="31">
        <f>SUMIFS(G779:G1057,K779:K1057,"0",B779:B1057,"5 1 2 5 9 12 31111 6 M78 15000 171 00I*")</f>
        <v>0</v>
      </c>
      <c r="H778" s="31">
        <f t="shared" si="14"/>
        <v>22400</v>
      </c>
      <c r="I778" s="31"/>
      <c r="K778" t="s">
        <v>14</v>
      </c>
    </row>
    <row r="779" spans="2:11" ht="13" x14ac:dyDescent="0.15">
      <c r="B779" s="29" t="s">
        <v>1069</v>
      </c>
      <c r="C779" s="29" t="s">
        <v>562</v>
      </c>
      <c r="D779" s="31">
        <f>SUMIFS(D780:D1057,K780:K1057,"0",B780:B1057,"5 1 2 5 9 12 31111 6 M78 15000 171 00I 001*")-SUMIFS(E780:E1057,K780:K1057,"0",B780:B1057,"5 1 2 5 9 12 31111 6 M78 15000 171 00I 001*")</f>
        <v>0</v>
      </c>
      <c r="E779"/>
      <c r="F779" s="31">
        <f>SUMIFS(F780:F1057,K780:K1057,"0",B780:B1057,"5 1 2 5 9 12 31111 6 M78 15000 171 00I 001*")</f>
        <v>22400</v>
      </c>
      <c r="G779" s="31">
        <f>SUMIFS(G780:G1057,K780:K1057,"0",B780:B1057,"5 1 2 5 9 12 31111 6 M78 15000 171 00I 001*")</f>
        <v>0</v>
      </c>
      <c r="H779" s="31">
        <f t="shared" si="14"/>
        <v>22400</v>
      </c>
      <c r="I779" s="31"/>
      <c r="K779" t="s">
        <v>14</v>
      </c>
    </row>
    <row r="780" spans="2:11" ht="13" x14ac:dyDescent="0.15">
      <c r="B780" s="29" t="s">
        <v>1070</v>
      </c>
      <c r="C780" s="29" t="s">
        <v>1071</v>
      </c>
      <c r="D780" s="31">
        <f>SUMIFS(D781:D1057,K781:K1057,"0",B781:B1057,"5 1 2 5 9 12 31111 6 M78 15000 171 00I 001 25901*")-SUMIFS(E781:E1057,K781:K1057,"0",B781:B1057,"5 1 2 5 9 12 31111 6 M78 15000 171 00I 001 25901*")</f>
        <v>0</v>
      </c>
      <c r="E780"/>
      <c r="F780" s="31">
        <f>SUMIFS(F781:F1057,K781:K1057,"0",B781:B1057,"5 1 2 5 9 12 31111 6 M78 15000 171 00I 001 25901*")</f>
        <v>22400</v>
      </c>
      <c r="G780" s="31">
        <f>SUMIFS(G781:G1057,K781:K1057,"0",B781:B1057,"5 1 2 5 9 12 31111 6 M78 15000 171 00I 001 25901*")</f>
        <v>0</v>
      </c>
      <c r="H780" s="31">
        <f t="shared" ref="H780:H843" si="15">D780 + F780 - G780</f>
        <v>22400</v>
      </c>
      <c r="I780" s="31"/>
      <c r="K780" t="s">
        <v>14</v>
      </c>
    </row>
    <row r="781" spans="2:11" ht="13" x14ac:dyDescent="0.15">
      <c r="B781" s="29" t="s">
        <v>1072</v>
      </c>
      <c r="C781" s="29" t="s">
        <v>186</v>
      </c>
      <c r="D781" s="31">
        <f>SUMIFS(D782:D1057,K782:K1057,"0",B782:B1057,"5 1 2 5 9 12 31111 6 M78 15000 171 00I 001 25901 025*")-SUMIFS(E782:E1057,K782:K1057,"0",B782:B1057,"5 1 2 5 9 12 31111 6 M78 15000 171 00I 001 25901 025*")</f>
        <v>0</v>
      </c>
      <c r="E781"/>
      <c r="F781" s="31">
        <f>SUMIFS(F782:F1057,K782:K1057,"0",B782:B1057,"5 1 2 5 9 12 31111 6 M78 15000 171 00I 001 25901 025*")</f>
        <v>22400</v>
      </c>
      <c r="G781" s="31">
        <f>SUMIFS(G782:G1057,K782:K1057,"0",B782:B1057,"5 1 2 5 9 12 31111 6 M78 15000 171 00I 001 25901 025*")</f>
        <v>0</v>
      </c>
      <c r="H781" s="31">
        <f t="shared" si="15"/>
        <v>22400</v>
      </c>
      <c r="I781" s="31"/>
      <c r="K781" t="s">
        <v>14</v>
      </c>
    </row>
    <row r="782" spans="2:11" ht="22" x14ac:dyDescent="0.15">
      <c r="B782" s="29" t="s">
        <v>1073</v>
      </c>
      <c r="C782" s="29" t="s">
        <v>188</v>
      </c>
      <c r="D782" s="31">
        <f>SUMIFS(D783:D1057,K783:K1057,"0",B783:B1057,"5 1 2 5 9 12 31111 6 M78 15000 171 00I 001 25901 025 2112000*")-SUMIFS(E783:E1057,K783:K1057,"0",B783:B1057,"5 1 2 5 9 12 31111 6 M78 15000 171 00I 001 25901 025 2112000*")</f>
        <v>0</v>
      </c>
      <c r="E782"/>
      <c r="F782" s="31">
        <f>SUMIFS(F783:F1057,K783:K1057,"0",B783:B1057,"5 1 2 5 9 12 31111 6 M78 15000 171 00I 001 25901 025 2112000*")</f>
        <v>22400</v>
      </c>
      <c r="G782" s="31">
        <f>SUMIFS(G783:G1057,K783:K1057,"0",B783:B1057,"5 1 2 5 9 12 31111 6 M78 15000 171 00I 001 25901 025 2112000*")</f>
        <v>0</v>
      </c>
      <c r="H782" s="31">
        <f t="shared" si="15"/>
        <v>22400</v>
      </c>
      <c r="I782" s="31"/>
      <c r="K782" t="s">
        <v>14</v>
      </c>
    </row>
    <row r="783" spans="2:11" ht="22" x14ac:dyDescent="0.15">
      <c r="B783" s="29" t="s">
        <v>1074</v>
      </c>
      <c r="C783" s="29" t="s">
        <v>294</v>
      </c>
      <c r="D783" s="31">
        <f>SUMIFS(D784:D1057,K784:K1057,"0",B784:B1057,"5 1 2 5 9 12 31111 6 M78 15000 171 00I 001 25901 025 2112000 2024*")-SUMIFS(E784:E1057,K784:K1057,"0",B784:B1057,"5 1 2 5 9 12 31111 6 M78 15000 171 00I 001 25901 025 2112000 2024*")</f>
        <v>0</v>
      </c>
      <c r="E783"/>
      <c r="F783" s="31">
        <f>SUMIFS(F784:F1057,K784:K1057,"0",B784:B1057,"5 1 2 5 9 12 31111 6 M78 15000 171 00I 001 25901 025 2112000 2024*")</f>
        <v>22400</v>
      </c>
      <c r="G783" s="31">
        <f>SUMIFS(G784:G1057,K784:K1057,"0",B784:B1057,"5 1 2 5 9 12 31111 6 M78 15000 171 00I 001 25901 025 2112000 2024*")</f>
        <v>0</v>
      </c>
      <c r="H783" s="31">
        <f t="shared" si="15"/>
        <v>22400</v>
      </c>
      <c r="I783" s="31"/>
      <c r="K783" t="s">
        <v>14</v>
      </c>
    </row>
    <row r="784" spans="2:11" ht="22" x14ac:dyDescent="0.15">
      <c r="B784" s="29" t="s">
        <v>1075</v>
      </c>
      <c r="C784" s="29" t="s">
        <v>192</v>
      </c>
      <c r="D784" s="31">
        <f>SUMIFS(D785:D1057,K785:K1057,"0",B785:B1057,"5 1 2 5 9 12 31111 6 M78 15000 171 00I 001 25901 025 2112000 2024 00000000*")-SUMIFS(E785:E1057,K785:K1057,"0",B785:B1057,"5 1 2 5 9 12 31111 6 M78 15000 171 00I 001 25901 025 2112000 2024 00000000*")</f>
        <v>0</v>
      </c>
      <c r="E784"/>
      <c r="F784" s="31">
        <f>SUMIFS(F785:F1057,K785:K1057,"0",B785:B1057,"5 1 2 5 9 12 31111 6 M78 15000 171 00I 001 25901 025 2112000 2024 00000000*")</f>
        <v>22400</v>
      </c>
      <c r="G784" s="31">
        <f>SUMIFS(G785:G1057,K785:K1057,"0",B785:B1057,"5 1 2 5 9 12 31111 6 M78 15000 171 00I 001 25901 025 2112000 2024 00000000*")</f>
        <v>0</v>
      </c>
      <c r="H784" s="31">
        <f t="shared" si="15"/>
        <v>22400</v>
      </c>
      <c r="I784" s="31"/>
      <c r="K784" t="s">
        <v>14</v>
      </c>
    </row>
    <row r="785" spans="2:11" ht="22" x14ac:dyDescent="0.15">
      <c r="B785" s="29" t="s">
        <v>1076</v>
      </c>
      <c r="C785" s="29" t="s">
        <v>9</v>
      </c>
      <c r="D785" s="31">
        <f>SUMIFS(D786:D1057,K786:K1057,"0",B786:B1057,"5 1 2 5 9 12 31111 6 M78 15000 171 00I 001 25901 025 2112000 2024 00000000 003*")-SUMIFS(E786:E1057,K786:K1057,"0",B786:B1057,"5 1 2 5 9 12 31111 6 M78 15000 171 00I 001 25901 025 2112000 2024 00000000 003*")</f>
        <v>0</v>
      </c>
      <c r="E785"/>
      <c r="F785" s="31">
        <f>SUMIFS(F786:F1057,K786:K1057,"0",B786:B1057,"5 1 2 5 9 12 31111 6 M78 15000 171 00I 001 25901 025 2112000 2024 00000000 003*")</f>
        <v>22400</v>
      </c>
      <c r="G785" s="31">
        <f>SUMIFS(G786:G1057,K786:K1057,"0",B786:B1057,"5 1 2 5 9 12 31111 6 M78 15000 171 00I 001 25901 025 2112000 2024 00000000 003*")</f>
        <v>0</v>
      </c>
      <c r="H785" s="31">
        <f t="shared" si="15"/>
        <v>22400</v>
      </c>
      <c r="I785" s="31"/>
      <c r="K785" t="s">
        <v>14</v>
      </c>
    </row>
    <row r="786" spans="2:11" ht="22" x14ac:dyDescent="0.15">
      <c r="B786" s="27" t="s">
        <v>1077</v>
      </c>
      <c r="C786" s="27" t="s">
        <v>1078</v>
      </c>
      <c r="D786" s="30">
        <v>0</v>
      </c>
      <c r="E786" s="30"/>
      <c r="F786" s="30">
        <v>22400</v>
      </c>
      <c r="G786" s="30">
        <v>0</v>
      </c>
      <c r="H786" s="30">
        <f t="shared" si="15"/>
        <v>22400</v>
      </c>
      <c r="I786" s="30"/>
      <c r="K786" t="s">
        <v>38</v>
      </c>
    </row>
    <row r="787" spans="2:11" ht="13" x14ac:dyDescent="0.15">
      <c r="B787" s="29" t="s">
        <v>1079</v>
      </c>
      <c r="C787" s="29" t="s">
        <v>1080</v>
      </c>
      <c r="D787" s="31">
        <f>SUMIFS(D788:D1057,K788:K1057,"0",B788:B1057,"5 1 2 6*")-SUMIFS(E788:E1057,K788:K1057,"0",B788:B1057,"5 1 2 6*")</f>
        <v>0</v>
      </c>
      <c r="E787"/>
      <c r="F787" s="31">
        <f>SUMIFS(F788:F1057,K788:K1057,"0",B788:B1057,"5 1 2 6*")</f>
        <v>405422.74</v>
      </c>
      <c r="G787" s="31">
        <f>SUMIFS(G788:G1057,K788:K1057,"0",B788:B1057,"5 1 2 6*")</f>
        <v>0</v>
      </c>
      <c r="H787" s="31">
        <f t="shared" si="15"/>
        <v>405422.74</v>
      </c>
      <c r="I787" s="31"/>
      <c r="K787" t="s">
        <v>14</v>
      </c>
    </row>
    <row r="788" spans="2:11" ht="13" x14ac:dyDescent="0.15">
      <c r="B788" s="29" t="s">
        <v>1081</v>
      </c>
      <c r="C788" s="29" t="s">
        <v>1080</v>
      </c>
      <c r="D788" s="31">
        <f>SUMIFS(D789:D1057,K789:K1057,"0",B789:B1057,"5 1 2 6 1*")-SUMIFS(E789:E1057,K789:K1057,"0",B789:B1057,"5 1 2 6 1*")</f>
        <v>0</v>
      </c>
      <c r="E788"/>
      <c r="F788" s="31">
        <f>SUMIFS(F789:F1057,K789:K1057,"0",B789:B1057,"5 1 2 6 1*")</f>
        <v>405422.74</v>
      </c>
      <c r="G788" s="31">
        <f>SUMIFS(G789:G1057,K789:K1057,"0",B789:B1057,"5 1 2 6 1*")</f>
        <v>0</v>
      </c>
      <c r="H788" s="31">
        <f t="shared" si="15"/>
        <v>405422.74</v>
      </c>
      <c r="I788" s="31"/>
      <c r="K788" t="s">
        <v>14</v>
      </c>
    </row>
    <row r="789" spans="2:11" ht="13" x14ac:dyDescent="0.15">
      <c r="B789" s="29" t="s">
        <v>1082</v>
      </c>
      <c r="C789" s="29" t="s">
        <v>25</v>
      </c>
      <c r="D789" s="31">
        <f>SUMIFS(D790:D1057,K790:K1057,"0",B790:B1057,"5 1 2 6 1 12*")-SUMIFS(E790:E1057,K790:K1057,"0",B790:B1057,"5 1 2 6 1 12*")</f>
        <v>0</v>
      </c>
      <c r="E789"/>
      <c r="F789" s="31">
        <f>SUMIFS(F790:F1057,K790:K1057,"0",B790:B1057,"5 1 2 6 1 12*")</f>
        <v>405422.74</v>
      </c>
      <c r="G789" s="31">
        <f>SUMIFS(G790:G1057,K790:K1057,"0",B790:B1057,"5 1 2 6 1 12*")</f>
        <v>0</v>
      </c>
      <c r="H789" s="31">
        <f t="shared" si="15"/>
        <v>405422.74</v>
      </c>
      <c r="I789" s="31"/>
      <c r="K789" t="s">
        <v>14</v>
      </c>
    </row>
    <row r="790" spans="2:11" ht="13" x14ac:dyDescent="0.15">
      <c r="B790" s="29" t="s">
        <v>1083</v>
      </c>
      <c r="C790" s="29" t="s">
        <v>27</v>
      </c>
      <c r="D790" s="31">
        <f>SUMIFS(D791:D1057,K791:K1057,"0",B791:B1057,"5 1 2 6 1 12 31111*")-SUMIFS(E791:E1057,K791:K1057,"0",B791:B1057,"5 1 2 6 1 12 31111*")</f>
        <v>0</v>
      </c>
      <c r="E790"/>
      <c r="F790" s="31">
        <f>SUMIFS(F791:F1057,K791:K1057,"0",B791:B1057,"5 1 2 6 1 12 31111*")</f>
        <v>405422.74</v>
      </c>
      <c r="G790" s="31">
        <f>SUMIFS(G791:G1057,K791:K1057,"0",B791:B1057,"5 1 2 6 1 12 31111*")</f>
        <v>0</v>
      </c>
      <c r="H790" s="31">
        <f t="shared" si="15"/>
        <v>405422.74</v>
      </c>
      <c r="I790" s="31"/>
      <c r="K790" t="s">
        <v>14</v>
      </c>
    </row>
    <row r="791" spans="2:11" ht="13" x14ac:dyDescent="0.15">
      <c r="B791" s="29" t="s">
        <v>1084</v>
      </c>
      <c r="C791" s="29" t="s">
        <v>29</v>
      </c>
      <c r="D791" s="31">
        <f>SUMIFS(D792:D1057,K792:K1057,"0",B792:B1057,"5 1 2 6 1 12 31111 6*")-SUMIFS(E792:E1057,K792:K1057,"0",B792:B1057,"5 1 2 6 1 12 31111 6*")</f>
        <v>0</v>
      </c>
      <c r="E791"/>
      <c r="F791" s="31">
        <f>SUMIFS(F792:F1057,K792:K1057,"0",B792:B1057,"5 1 2 6 1 12 31111 6*")</f>
        <v>405422.74</v>
      </c>
      <c r="G791" s="31">
        <f>SUMIFS(G792:G1057,K792:K1057,"0",B792:B1057,"5 1 2 6 1 12 31111 6*")</f>
        <v>0</v>
      </c>
      <c r="H791" s="31">
        <f t="shared" si="15"/>
        <v>405422.74</v>
      </c>
      <c r="I791" s="31"/>
      <c r="K791" t="s">
        <v>14</v>
      </c>
    </row>
    <row r="792" spans="2:11" ht="13" x14ac:dyDescent="0.15">
      <c r="B792" s="29" t="s">
        <v>1085</v>
      </c>
      <c r="C792" s="29" t="s">
        <v>629</v>
      </c>
      <c r="D792" s="31">
        <f>SUMIFS(D793:D1057,K793:K1057,"0",B793:B1057,"5 1 2 6 1 12 31111 6 M78*")-SUMIFS(E793:E1057,K793:K1057,"0",B793:B1057,"5 1 2 6 1 12 31111 6 M78*")</f>
        <v>0</v>
      </c>
      <c r="E792"/>
      <c r="F792" s="31">
        <f>SUMIFS(F793:F1057,K793:K1057,"0",B793:B1057,"5 1 2 6 1 12 31111 6 M78*")</f>
        <v>405422.74</v>
      </c>
      <c r="G792" s="31">
        <f>SUMIFS(G793:G1057,K793:K1057,"0",B793:B1057,"5 1 2 6 1 12 31111 6 M78*")</f>
        <v>0</v>
      </c>
      <c r="H792" s="31">
        <f t="shared" si="15"/>
        <v>405422.74</v>
      </c>
      <c r="I792" s="31"/>
      <c r="K792" t="s">
        <v>14</v>
      </c>
    </row>
    <row r="793" spans="2:11" ht="13" x14ac:dyDescent="0.15">
      <c r="B793" s="29" t="s">
        <v>1086</v>
      </c>
      <c r="C793" s="29" t="s">
        <v>176</v>
      </c>
      <c r="D793" s="31">
        <f>SUMIFS(D794:D1057,K794:K1057,"0",B794:B1057,"5 1 2 6 1 12 31111 6 M78 15000*")-SUMIFS(E794:E1057,K794:K1057,"0",B794:B1057,"5 1 2 6 1 12 31111 6 M78 15000*")</f>
        <v>0</v>
      </c>
      <c r="E793"/>
      <c r="F793" s="31">
        <f>SUMIFS(F794:F1057,K794:K1057,"0",B794:B1057,"5 1 2 6 1 12 31111 6 M78 15000*")</f>
        <v>405422.74</v>
      </c>
      <c r="G793" s="31">
        <f>SUMIFS(G794:G1057,K794:K1057,"0",B794:B1057,"5 1 2 6 1 12 31111 6 M78 15000*")</f>
        <v>0</v>
      </c>
      <c r="H793" s="31">
        <f t="shared" si="15"/>
        <v>405422.74</v>
      </c>
      <c r="I793" s="31"/>
      <c r="K793" t="s">
        <v>14</v>
      </c>
    </row>
    <row r="794" spans="2:11" ht="13" x14ac:dyDescent="0.15">
      <c r="B794" s="29" t="s">
        <v>1087</v>
      </c>
      <c r="C794" s="29" t="s">
        <v>178</v>
      </c>
      <c r="D794" s="31">
        <f>SUMIFS(D795:D1057,K795:K1057,"0",B795:B1057,"5 1 2 6 1 12 31111 6 M78 15000 171*")-SUMIFS(E795:E1057,K795:K1057,"0",B795:B1057,"5 1 2 6 1 12 31111 6 M78 15000 171*")</f>
        <v>0</v>
      </c>
      <c r="E794"/>
      <c r="F794" s="31">
        <f>SUMIFS(F795:F1057,K795:K1057,"0",B795:B1057,"5 1 2 6 1 12 31111 6 M78 15000 171*")</f>
        <v>405422.74</v>
      </c>
      <c r="G794" s="31">
        <f>SUMIFS(G795:G1057,K795:K1057,"0",B795:B1057,"5 1 2 6 1 12 31111 6 M78 15000 171*")</f>
        <v>0</v>
      </c>
      <c r="H794" s="31">
        <f t="shared" si="15"/>
        <v>405422.74</v>
      </c>
      <c r="I794" s="31"/>
      <c r="K794" t="s">
        <v>14</v>
      </c>
    </row>
    <row r="795" spans="2:11" ht="13" x14ac:dyDescent="0.15">
      <c r="B795" s="29" t="s">
        <v>1088</v>
      </c>
      <c r="C795" s="29" t="s">
        <v>180</v>
      </c>
      <c r="D795" s="31">
        <f>SUMIFS(D796:D1057,K796:K1057,"0",B796:B1057,"5 1 2 6 1 12 31111 6 M78 15000 171 00I*")-SUMIFS(E796:E1057,K796:K1057,"0",B796:B1057,"5 1 2 6 1 12 31111 6 M78 15000 171 00I*")</f>
        <v>0</v>
      </c>
      <c r="E795"/>
      <c r="F795" s="31">
        <f>SUMIFS(F796:F1057,K796:K1057,"0",B796:B1057,"5 1 2 6 1 12 31111 6 M78 15000 171 00I*")</f>
        <v>405422.74</v>
      </c>
      <c r="G795" s="31">
        <f>SUMIFS(G796:G1057,K796:K1057,"0",B796:B1057,"5 1 2 6 1 12 31111 6 M78 15000 171 00I*")</f>
        <v>0</v>
      </c>
      <c r="H795" s="31">
        <f t="shared" si="15"/>
        <v>405422.74</v>
      </c>
      <c r="I795" s="31"/>
      <c r="K795" t="s">
        <v>14</v>
      </c>
    </row>
    <row r="796" spans="2:11" ht="13" x14ac:dyDescent="0.15">
      <c r="B796" s="29" t="s">
        <v>1089</v>
      </c>
      <c r="C796" s="29" t="s">
        <v>562</v>
      </c>
      <c r="D796" s="31">
        <f>SUMIFS(D797:D1057,K797:K1057,"0",B797:B1057,"5 1 2 6 1 12 31111 6 M78 15000 171 00I 001*")-SUMIFS(E797:E1057,K797:K1057,"0",B797:B1057,"5 1 2 6 1 12 31111 6 M78 15000 171 00I 001*")</f>
        <v>0</v>
      </c>
      <c r="E796"/>
      <c r="F796" s="31">
        <f>SUMIFS(F797:F1057,K797:K1057,"0",B797:B1057,"5 1 2 6 1 12 31111 6 M78 15000 171 00I 001*")</f>
        <v>405422.74</v>
      </c>
      <c r="G796" s="31">
        <f>SUMIFS(G797:G1057,K797:K1057,"0",B797:B1057,"5 1 2 6 1 12 31111 6 M78 15000 171 00I 001*")</f>
        <v>0</v>
      </c>
      <c r="H796" s="31">
        <f t="shared" si="15"/>
        <v>405422.74</v>
      </c>
      <c r="I796" s="31"/>
      <c r="K796" t="s">
        <v>14</v>
      </c>
    </row>
    <row r="797" spans="2:11" ht="33" x14ac:dyDescent="0.15">
      <c r="B797" s="29" t="s">
        <v>1090</v>
      </c>
      <c r="C797" s="29" t="s">
        <v>1091</v>
      </c>
      <c r="D797" s="31">
        <f>SUMIFS(D798:D1057,K798:K1057,"0",B798:B1057,"5 1 2 6 1 12 31111 6 M78 15000 171 00I 001 26101*")-SUMIFS(E798:E1057,K798:K1057,"0",B798:B1057,"5 1 2 6 1 12 31111 6 M78 15000 171 00I 001 26101*")</f>
        <v>0</v>
      </c>
      <c r="E797"/>
      <c r="F797" s="31">
        <f>SUMIFS(F798:F1057,K798:K1057,"0",B798:B1057,"5 1 2 6 1 12 31111 6 M78 15000 171 00I 001 26101*")</f>
        <v>405422.74</v>
      </c>
      <c r="G797" s="31">
        <f>SUMIFS(G798:G1057,K798:K1057,"0",B798:B1057,"5 1 2 6 1 12 31111 6 M78 15000 171 00I 001 26101*")</f>
        <v>0</v>
      </c>
      <c r="H797" s="31">
        <f t="shared" si="15"/>
        <v>405422.74</v>
      </c>
      <c r="I797" s="31"/>
      <c r="K797" t="s">
        <v>14</v>
      </c>
    </row>
    <row r="798" spans="2:11" ht="13" x14ac:dyDescent="0.15">
      <c r="B798" s="29" t="s">
        <v>1092</v>
      </c>
      <c r="C798" s="29" t="s">
        <v>186</v>
      </c>
      <c r="D798" s="31">
        <f>SUMIFS(D799:D1057,K799:K1057,"0",B799:B1057,"5 1 2 6 1 12 31111 6 M78 15000 171 00I 001 26101 025*")-SUMIFS(E799:E1057,K799:K1057,"0",B799:B1057,"5 1 2 6 1 12 31111 6 M78 15000 171 00I 001 26101 025*")</f>
        <v>0</v>
      </c>
      <c r="E798"/>
      <c r="F798" s="31">
        <f>SUMIFS(F799:F1057,K799:K1057,"0",B799:B1057,"5 1 2 6 1 12 31111 6 M78 15000 171 00I 001 26101 025*")</f>
        <v>405422.74</v>
      </c>
      <c r="G798" s="31">
        <f>SUMIFS(G799:G1057,K799:K1057,"0",B799:B1057,"5 1 2 6 1 12 31111 6 M78 15000 171 00I 001 26101 025*")</f>
        <v>0</v>
      </c>
      <c r="H798" s="31">
        <f t="shared" si="15"/>
        <v>405422.74</v>
      </c>
      <c r="I798" s="31"/>
      <c r="K798" t="s">
        <v>14</v>
      </c>
    </row>
    <row r="799" spans="2:11" ht="22" x14ac:dyDescent="0.15">
      <c r="B799" s="29" t="s">
        <v>1093</v>
      </c>
      <c r="C799" s="29" t="s">
        <v>188</v>
      </c>
      <c r="D799" s="31">
        <f>SUMIFS(D800:D1057,K800:K1057,"0",B800:B1057,"5 1 2 6 1 12 31111 6 M78 15000 171 00I 001 26101 025 2112000*")-SUMIFS(E800:E1057,K800:K1057,"0",B800:B1057,"5 1 2 6 1 12 31111 6 M78 15000 171 00I 001 26101 025 2112000*")</f>
        <v>0</v>
      </c>
      <c r="E799"/>
      <c r="F799" s="31">
        <f>SUMIFS(F800:F1057,K800:K1057,"0",B800:B1057,"5 1 2 6 1 12 31111 6 M78 15000 171 00I 001 26101 025 2112000*")</f>
        <v>405422.74</v>
      </c>
      <c r="G799" s="31">
        <f>SUMIFS(G800:G1057,K800:K1057,"0",B800:B1057,"5 1 2 6 1 12 31111 6 M78 15000 171 00I 001 26101 025 2112000*")</f>
        <v>0</v>
      </c>
      <c r="H799" s="31">
        <f t="shared" si="15"/>
        <v>405422.74</v>
      </c>
      <c r="I799" s="31"/>
      <c r="K799" t="s">
        <v>14</v>
      </c>
    </row>
    <row r="800" spans="2:11" ht="22" x14ac:dyDescent="0.15">
      <c r="B800" s="29" t="s">
        <v>1094</v>
      </c>
      <c r="C800" s="29" t="s">
        <v>294</v>
      </c>
      <c r="D800" s="31">
        <f>SUMIFS(D801:D1057,K801:K1057,"0",B801:B1057,"5 1 2 6 1 12 31111 6 M78 15000 171 00I 001 26101 025 2112000 2024*")-SUMIFS(E801:E1057,K801:K1057,"0",B801:B1057,"5 1 2 6 1 12 31111 6 M78 15000 171 00I 001 26101 025 2112000 2024*")</f>
        <v>0</v>
      </c>
      <c r="E800"/>
      <c r="F800" s="31">
        <f>SUMIFS(F801:F1057,K801:K1057,"0",B801:B1057,"5 1 2 6 1 12 31111 6 M78 15000 171 00I 001 26101 025 2112000 2024*")</f>
        <v>405422.74</v>
      </c>
      <c r="G800" s="31">
        <f>SUMIFS(G801:G1057,K801:K1057,"0",B801:B1057,"5 1 2 6 1 12 31111 6 M78 15000 171 00I 001 26101 025 2112000 2024*")</f>
        <v>0</v>
      </c>
      <c r="H800" s="31">
        <f t="shared" si="15"/>
        <v>405422.74</v>
      </c>
      <c r="I800" s="31"/>
      <c r="K800" t="s">
        <v>14</v>
      </c>
    </row>
    <row r="801" spans="2:11" ht="22" x14ac:dyDescent="0.15">
      <c r="B801" s="29" t="s">
        <v>1095</v>
      </c>
      <c r="C801" s="29" t="s">
        <v>192</v>
      </c>
      <c r="D801" s="31">
        <f>SUMIFS(D802:D1057,K802:K1057,"0",B802:B1057,"5 1 2 6 1 12 31111 6 M78 15000 171 00I 001 26101 025 2112000 2024 00000000*")-SUMIFS(E802:E1057,K802:K1057,"0",B802:B1057,"5 1 2 6 1 12 31111 6 M78 15000 171 00I 001 26101 025 2112000 2024 00000000*")</f>
        <v>0</v>
      </c>
      <c r="E801"/>
      <c r="F801" s="31">
        <f>SUMIFS(F802:F1057,K802:K1057,"0",B802:B1057,"5 1 2 6 1 12 31111 6 M78 15000 171 00I 001 26101 025 2112000 2024 00000000*")</f>
        <v>405422.74</v>
      </c>
      <c r="G801" s="31">
        <f>SUMIFS(G802:G1057,K802:K1057,"0",B802:B1057,"5 1 2 6 1 12 31111 6 M78 15000 171 00I 001 26101 025 2112000 2024 00000000*")</f>
        <v>0</v>
      </c>
      <c r="H801" s="31">
        <f t="shared" si="15"/>
        <v>405422.74</v>
      </c>
      <c r="I801" s="31"/>
      <c r="K801" t="s">
        <v>14</v>
      </c>
    </row>
    <row r="802" spans="2:11" ht="22" x14ac:dyDescent="0.15">
      <c r="B802" s="29" t="s">
        <v>1096</v>
      </c>
      <c r="C802" s="29" t="s">
        <v>9</v>
      </c>
      <c r="D802" s="31">
        <f>SUMIFS(D803:D1057,K803:K1057,"0",B803:B1057,"5 1 2 6 1 12 31111 6 M78 15000 171 00I 001 26101 025 2112000 2024 00000000 003*")-SUMIFS(E803:E1057,K803:K1057,"0",B803:B1057,"5 1 2 6 1 12 31111 6 M78 15000 171 00I 001 26101 025 2112000 2024 00000000 003*")</f>
        <v>0</v>
      </c>
      <c r="E802"/>
      <c r="F802" s="31">
        <f>SUMIFS(F803:F1057,K803:K1057,"0",B803:B1057,"5 1 2 6 1 12 31111 6 M78 15000 171 00I 001 26101 025 2112000 2024 00000000 003*")</f>
        <v>405422.74</v>
      </c>
      <c r="G802" s="31">
        <f>SUMIFS(G803:G1057,K803:K1057,"0",B803:B1057,"5 1 2 6 1 12 31111 6 M78 15000 171 00I 001 26101 025 2112000 2024 00000000 003*")</f>
        <v>0</v>
      </c>
      <c r="H802" s="31">
        <f t="shared" si="15"/>
        <v>405422.74</v>
      </c>
      <c r="I802" s="31"/>
      <c r="K802" t="s">
        <v>14</v>
      </c>
    </row>
    <row r="803" spans="2:11" ht="22" x14ac:dyDescent="0.15">
      <c r="B803" s="27" t="s">
        <v>1097</v>
      </c>
      <c r="C803" s="27" t="s">
        <v>1098</v>
      </c>
      <c r="D803" s="30">
        <v>0</v>
      </c>
      <c r="E803" s="30"/>
      <c r="F803" s="30">
        <v>405422.74</v>
      </c>
      <c r="G803" s="30">
        <v>0</v>
      </c>
      <c r="H803" s="30">
        <f t="shared" si="15"/>
        <v>405422.74</v>
      </c>
      <c r="I803" s="30"/>
      <c r="K803" t="s">
        <v>38</v>
      </c>
    </row>
    <row r="804" spans="2:11" ht="13" x14ac:dyDescent="0.15">
      <c r="B804" s="29" t="s">
        <v>1099</v>
      </c>
      <c r="C804" s="29" t="s">
        <v>1100</v>
      </c>
      <c r="D804" s="31">
        <f>SUMIFS(D805:D1057,K805:K1057,"0",B805:B1057,"5 1 2 7*")-SUMIFS(E805:E1057,K805:K1057,"0",B805:B1057,"5 1 2 7*")</f>
        <v>0</v>
      </c>
      <c r="E804"/>
      <c r="F804" s="31">
        <f>SUMIFS(F805:F1057,K805:K1057,"0",B805:B1057,"5 1 2 7*")</f>
        <v>424076.4</v>
      </c>
      <c r="G804" s="31">
        <f>SUMIFS(G805:G1057,K805:K1057,"0",B805:B1057,"5 1 2 7*")</f>
        <v>0</v>
      </c>
      <c r="H804" s="31">
        <f t="shared" si="15"/>
        <v>424076.4</v>
      </c>
      <c r="I804" s="31"/>
      <c r="K804" t="s">
        <v>14</v>
      </c>
    </row>
    <row r="805" spans="2:11" ht="13" x14ac:dyDescent="0.15">
      <c r="B805" s="29" t="s">
        <v>1101</v>
      </c>
      <c r="C805" s="29" t="s">
        <v>1102</v>
      </c>
      <c r="D805" s="31">
        <f>SUMIFS(D806:D1057,K806:K1057,"0",B806:B1057,"5 1 2 7 1*")-SUMIFS(E806:E1057,K806:K1057,"0",B806:B1057,"5 1 2 7 1*")</f>
        <v>0</v>
      </c>
      <c r="E805"/>
      <c r="F805" s="31">
        <f>SUMIFS(F806:F1057,K806:K1057,"0",B806:B1057,"5 1 2 7 1*")</f>
        <v>271517</v>
      </c>
      <c r="G805" s="31">
        <f>SUMIFS(G806:G1057,K806:K1057,"0",B806:B1057,"5 1 2 7 1*")</f>
        <v>0</v>
      </c>
      <c r="H805" s="31">
        <f t="shared" si="15"/>
        <v>271517</v>
      </c>
      <c r="I805" s="31"/>
      <c r="K805" t="s">
        <v>14</v>
      </c>
    </row>
    <row r="806" spans="2:11" ht="13" x14ac:dyDescent="0.15">
      <c r="B806" s="29" t="s">
        <v>1103</v>
      </c>
      <c r="C806" s="29" t="s">
        <v>25</v>
      </c>
      <c r="D806" s="31">
        <f>SUMIFS(D807:D1057,K807:K1057,"0",B807:B1057,"5 1 2 7 1 12*")-SUMIFS(E807:E1057,K807:K1057,"0",B807:B1057,"5 1 2 7 1 12*")</f>
        <v>0</v>
      </c>
      <c r="E806"/>
      <c r="F806" s="31">
        <f>SUMIFS(F807:F1057,K807:K1057,"0",B807:B1057,"5 1 2 7 1 12*")</f>
        <v>271517</v>
      </c>
      <c r="G806" s="31">
        <f>SUMIFS(G807:G1057,K807:K1057,"0",B807:B1057,"5 1 2 7 1 12*")</f>
        <v>0</v>
      </c>
      <c r="H806" s="31">
        <f t="shared" si="15"/>
        <v>271517</v>
      </c>
      <c r="I806" s="31"/>
      <c r="K806" t="s">
        <v>14</v>
      </c>
    </row>
    <row r="807" spans="2:11" ht="13" x14ac:dyDescent="0.15">
      <c r="B807" s="29" t="s">
        <v>1104</v>
      </c>
      <c r="C807" s="29" t="s">
        <v>27</v>
      </c>
      <c r="D807" s="31">
        <f>SUMIFS(D808:D1057,K808:K1057,"0",B808:B1057,"5 1 2 7 1 12 31111*")-SUMIFS(E808:E1057,K808:K1057,"0",B808:B1057,"5 1 2 7 1 12 31111*")</f>
        <v>0</v>
      </c>
      <c r="E807"/>
      <c r="F807" s="31">
        <f>SUMIFS(F808:F1057,K808:K1057,"0",B808:B1057,"5 1 2 7 1 12 31111*")</f>
        <v>271517</v>
      </c>
      <c r="G807" s="31">
        <f>SUMIFS(G808:G1057,K808:K1057,"0",B808:B1057,"5 1 2 7 1 12 31111*")</f>
        <v>0</v>
      </c>
      <c r="H807" s="31">
        <f t="shared" si="15"/>
        <v>271517</v>
      </c>
      <c r="I807" s="31"/>
      <c r="K807" t="s">
        <v>14</v>
      </c>
    </row>
    <row r="808" spans="2:11" ht="13" x14ac:dyDescent="0.15">
      <c r="B808" s="29" t="s">
        <v>1105</v>
      </c>
      <c r="C808" s="29" t="s">
        <v>29</v>
      </c>
      <c r="D808" s="31">
        <f>SUMIFS(D809:D1057,K809:K1057,"0",B809:B1057,"5 1 2 7 1 12 31111 6*")-SUMIFS(E809:E1057,K809:K1057,"0",B809:B1057,"5 1 2 7 1 12 31111 6*")</f>
        <v>0</v>
      </c>
      <c r="E808"/>
      <c r="F808" s="31">
        <f>SUMIFS(F809:F1057,K809:K1057,"0",B809:B1057,"5 1 2 7 1 12 31111 6*")</f>
        <v>271517</v>
      </c>
      <c r="G808" s="31">
        <f>SUMIFS(G809:G1057,K809:K1057,"0",B809:B1057,"5 1 2 7 1 12 31111 6*")</f>
        <v>0</v>
      </c>
      <c r="H808" s="31">
        <f t="shared" si="15"/>
        <v>271517</v>
      </c>
      <c r="I808" s="31"/>
      <c r="K808" t="s">
        <v>14</v>
      </c>
    </row>
    <row r="809" spans="2:11" ht="13" x14ac:dyDescent="0.15">
      <c r="B809" s="29" t="s">
        <v>1106</v>
      </c>
      <c r="C809" s="29" t="s">
        <v>629</v>
      </c>
      <c r="D809" s="31">
        <f>SUMIFS(D810:D1057,K810:K1057,"0",B810:B1057,"5 1 2 7 1 12 31111 6 M78*")-SUMIFS(E810:E1057,K810:K1057,"0",B810:B1057,"5 1 2 7 1 12 31111 6 M78*")</f>
        <v>0</v>
      </c>
      <c r="E809"/>
      <c r="F809" s="31">
        <f>SUMIFS(F810:F1057,K810:K1057,"0",B810:B1057,"5 1 2 7 1 12 31111 6 M78*")</f>
        <v>271517</v>
      </c>
      <c r="G809" s="31">
        <f>SUMIFS(G810:G1057,K810:K1057,"0",B810:B1057,"5 1 2 7 1 12 31111 6 M78*")</f>
        <v>0</v>
      </c>
      <c r="H809" s="31">
        <f t="shared" si="15"/>
        <v>271517</v>
      </c>
      <c r="I809" s="31"/>
      <c r="K809" t="s">
        <v>14</v>
      </c>
    </row>
    <row r="810" spans="2:11" ht="13" x14ac:dyDescent="0.15">
      <c r="B810" s="29" t="s">
        <v>1107</v>
      </c>
      <c r="C810" s="29" t="s">
        <v>176</v>
      </c>
      <c r="D810" s="31">
        <f>SUMIFS(D811:D1057,K811:K1057,"0",B811:B1057,"5 1 2 7 1 12 31111 6 M78 15000*")-SUMIFS(E811:E1057,K811:K1057,"0",B811:B1057,"5 1 2 7 1 12 31111 6 M78 15000*")</f>
        <v>0</v>
      </c>
      <c r="E810"/>
      <c r="F810" s="31">
        <f>SUMIFS(F811:F1057,K811:K1057,"0",B811:B1057,"5 1 2 7 1 12 31111 6 M78 15000*")</f>
        <v>271517</v>
      </c>
      <c r="G810" s="31">
        <f>SUMIFS(G811:G1057,K811:K1057,"0",B811:B1057,"5 1 2 7 1 12 31111 6 M78 15000*")</f>
        <v>0</v>
      </c>
      <c r="H810" s="31">
        <f t="shared" si="15"/>
        <v>271517</v>
      </c>
      <c r="I810" s="31"/>
      <c r="K810" t="s">
        <v>14</v>
      </c>
    </row>
    <row r="811" spans="2:11" ht="13" x14ac:dyDescent="0.15">
      <c r="B811" s="29" t="s">
        <v>1108</v>
      </c>
      <c r="C811" s="29" t="s">
        <v>178</v>
      </c>
      <c r="D811" s="31">
        <f>SUMIFS(D812:D1057,K812:K1057,"0",B812:B1057,"5 1 2 7 1 12 31111 6 M78 15000 171*")-SUMIFS(E812:E1057,K812:K1057,"0",B812:B1057,"5 1 2 7 1 12 31111 6 M78 15000 171*")</f>
        <v>0</v>
      </c>
      <c r="E811"/>
      <c r="F811" s="31">
        <f>SUMIFS(F812:F1057,K812:K1057,"0",B812:B1057,"5 1 2 7 1 12 31111 6 M78 15000 171*")</f>
        <v>271517</v>
      </c>
      <c r="G811" s="31">
        <f>SUMIFS(G812:G1057,K812:K1057,"0",B812:B1057,"5 1 2 7 1 12 31111 6 M78 15000 171*")</f>
        <v>0</v>
      </c>
      <c r="H811" s="31">
        <f t="shared" si="15"/>
        <v>271517</v>
      </c>
      <c r="I811" s="31"/>
      <c r="K811" t="s">
        <v>14</v>
      </c>
    </row>
    <row r="812" spans="2:11" ht="13" x14ac:dyDescent="0.15">
      <c r="B812" s="29" t="s">
        <v>1109</v>
      </c>
      <c r="C812" s="29" t="s">
        <v>180</v>
      </c>
      <c r="D812" s="31">
        <f>SUMIFS(D813:D1057,K813:K1057,"0",B813:B1057,"5 1 2 7 1 12 31111 6 M78 15000 171 00I*")-SUMIFS(E813:E1057,K813:K1057,"0",B813:B1057,"5 1 2 7 1 12 31111 6 M78 15000 171 00I*")</f>
        <v>0</v>
      </c>
      <c r="E812"/>
      <c r="F812" s="31">
        <f>SUMIFS(F813:F1057,K813:K1057,"0",B813:B1057,"5 1 2 7 1 12 31111 6 M78 15000 171 00I*")</f>
        <v>271517</v>
      </c>
      <c r="G812" s="31">
        <f>SUMIFS(G813:G1057,K813:K1057,"0",B813:B1057,"5 1 2 7 1 12 31111 6 M78 15000 171 00I*")</f>
        <v>0</v>
      </c>
      <c r="H812" s="31">
        <f t="shared" si="15"/>
        <v>271517</v>
      </c>
      <c r="I812" s="31"/>
      <c r="K812" t="s">
        <v>14</v>
      </c>
    </row>
    <row r="813" spans="2:11" ht="13" x14ac:dyDescent="0.15">
      <c r="B813" s="29" t="s">
        <v>1110</v>
      </c>
      <c r="C813" s="29" t="s">
        <v>562</v>
      </c>
      <c r="D813" s="31">
        <f>SUMIFS(D814:D1057,K814:K1057,"0",B814:B1057,"5 1 2 7 1 12 31111 6 M78 15000 171 00I 001*")-SUMIFS(E814:E1057,K814:K1057,"0",B814:B1057,"5 1 2 7 1 12 31111 6 M78 15000 171 00I 001*")</f>
        <v>0</v>
      </c>
      <c r="E813"/>
      <c r="F813" s="31">
        <f>SUMIFS(F814:F1057,K814:K1057,"0",B814:B1057,"5 1 2 7 1 12 31111 6 M78 15000 171 00I 001*")</f>
        <v>271517</v>
      </c>
      <c r="G813" s="31">
        <f>SUMIFS(G814:G1057,K814:K1057,"0",B814:B1057,"5 1 2 7 1 12 31111 6 M78 15000 171 00I 001*")</f>
        <v>0</v>
      </c>
      <c r="H813" s="31">
        <f t="shared" si="15"/>
        <v>271517</v>
      </c>
      <c r="I813" s="31"/>
      <c r="K813" t="s">
        <v>14</v>
      </c>
    </row>
    <row r="814" spans="2:11" ht="13" x14ac:dyDescent="0.15">
      <c r="B814" s="29" t="s">
        <v>1111</v>
      </c>
      <c r="C814" s="29" t="s">
        <v>1112</v>
      </c>
      <c r="D814" s="31">
        <f>SUMIFS(D815:D1057,K815:K1057,"0",B815:B1057,"5 1 2 7 1 12 31111 6 M78 15000 171 00I 001 27101*")-SUMIFS(E815:E1057,K815:K1057,"0",B815:B1057,"5 1 2 7 1 12 31111 6 M78 15000 171 00I 001 27101*")</f>
        <v>0</v>
      </c>
      <c r="E814"/>
      <c r="F814" s="31">
        <f>SUMIFS(F815:F1057,K815:K1057,"0",B815:B1057,"5 1 2 7 1 12 31111 6 M78 15000 171 00I 001 27101*")</f>
        <v>271517</v>
      </c>
      <c r="G814" s="31">
        <f>SUMIFS(G815:G1057,K815:K1057,"0",B815:B1057,"5 1 2 7 1 12 31111 6 M78 15000 171 00I 001 27101*")</f>
        <v>0</v>
      </c>
      <c r="H814" s="31">
        <f t="shared" si="15"/>
        <v>271517</v>
      </c>
      <c r="I814" s="31"/>
      <c r="K814" t="s">
        <v>14</v>
      </c>
    </row>
    <row r="815" spans="2:11" ht="13" x14ac:dyDescent="0.15">
      <c r="B815" s="29" t="s">
        <v>1113</v>
      </c>
      <c r="C815" s="29" t="s">
        <v>186</v>
      </c>
      <c r="D815" s="31">
        <f>SUMIFS(D816:D1057,K816:K1057,"0",B816:B1057,"5 1 2 7 1 12 31111 6 M78 15000 171 00I 001 27101 025*")-SUMIFS(E816:E1057,K816:K1057,"0",B816:B1057,"5 1 2 7 1 12 31111 6 M78 15000 171 00I 001 27101 025*")</f>
        <v>0</v>
      </c>
      <c r="E815"/>
      <c r="F815" s="31">
        <f>SUMIFS(F816:F1057,K816:K1057,"0",B816:B1057,"5 1 2 7 1 12 31111 6 M78 15000 171 00I 001 27101 025*")</f>
        <v>271517</v>
      </c>
      <c r="G815" s="31">
        <f>SUMIFS(G816:G1057,K816:K1057,"0",B816:B1057,"5 1 2 7 1 12 31111 6 M78 15000 171 00I 001 27101 025*")</f>
        <v>0</v>
      </c>
      <c r="H815" s="31">
        <f t="shared" si="15"/>
        <v>271517</v>
      </c>
      <c r="I815" s="31"/>
      <c r="K815" t="s">
        <v>14</v>
      </c>
    </row>
    <row r="816" spans="2:11" ht="22" x14ac:dyDescent="0.15">
      <c r="B816" s="29" t="s">
        <v>1114</v>
      </c>
      <c r="C816" s="29" t="s">
        <v>188</v>
      </c>
      <c r="D816" s="31">
        <f>SUMIFS(D817:D1057,K817:K1057,"0",B817:B1057,"5 1 2 7 1 12 31111 6 M78 15000 171 00I 001 27101 025 2112000*")-SUMIFS(E817:E1057,K817:K1057,"0",B817:B1057,"5 1 2 7 1 12 31111 6 M78 15000 171 00I 001 27101 025 2112000*")</f>
        <v>0</v>
      </c>
      <c r="E816"/>
      <c r="F816" s="31">
        <f>SUMIFS(F817:F1057,K817:K1057,"0",B817:B1057,"5 1 2 7 1 12 31111 6 M78 15000 171 00I 001 27101 025 2112000*")</f>
        <v>271517</v>
      </c>
      <c r="G816" s="31">
        <f>SUMIFS(G817:G1057,K817:K1057,"0",B817:B1057,"5 1 2 7 1 12 31111 6 M78 15000 171 00I 001 27101 025 2112000*")</f>
        <v>0</v>
      </c>
      <c r="H816" s="31">
        <f t="shared" si="15"/>
        <v>271517</v>
      </c>
      <c r="I816" s="31"/>
      <c r="K816" t="s">
        <v>14</v>
      </c>
    </row>
    <row r="817" spans="2:11" ht="22" x14ac:dyDescent="0.15">
      <c r="B817" s="29" t="s">
        <v>1115</v>
      </c>
      <c r="C817" s="29" t="s">
        <v>294</v>
      </c>
      <c r="D817" s="31">
        <f>SUMIFS(D818:D1057,K818:K1057,"0",B818:B1057,"5 1 2 7 1 12 31111 6 M78 15000 171 00I 001 27101 025 2112000 2024*")-SUMIFS(E818:E1057,K818:K1057,"0",B818:B1057,"5 1 2 7 1 12 31111 6 M78 15000 171 00I 001 27101 025 2112000 2024*")</f>
        <v>0</v>
      </c>
      <c r="E817"/>
      <c r="F817" s="31">
        <f>SUMIFS(F818:F1057,K818:K1057,"0",B818:B1057,"5 1 2 7 1 12 31111 6 M78 15000 171 00I 001 27101 025 2112000 2024*")</f>
        <v>271517</v>
      </c>
      <c r="G817" s="31">
        <f>SUMIFS(G818:G1057,K818:K1057,"0",B818:B1057,"5 1 2 7 1 12 31111 6 M78 15000 171 00I 001 27101 025 2112000 2024*")</f>
        <v>0</v>
      </c>
      <c r="H817" s="31">
        <f t="shared" si="15"/>
        <v>271517</v>
      </c>
      <c r="I817" s="31"/>
      <c r="K817" t="s">
        <v>14</v>
      </c>
    </row>
    <row r="818" spans="2:11" ht="22" x14ac:dyDescent="0.15">
      <c r="B818" s="29" t="s">
        <v>1116</v>
      </c>
      <c r="C818" s="29" t="s">
        <v>192</v>
      </c>
      <c r="D818" s="31">
        <f>SUMIFS(D819:D1057,K819:K1057,"0",B819:B1057,"5 1 2 7 1 12 31111 6 M78 15000 171 00I 001 27101 025 2112000 2024 00000000*")-SUMIFS(E819:E1057,K819:K1057,"0",B819:B1057,"5 1 2 7 1 12 31111 6 M78 15000 171 00I 001 27101 025 2112000 2024 00000000*")</f>
        <v>0</v>
      </c>
      <c r="E818"/>
      <c r="F818" s="31">
        <f>SUMIFS(F819:F1057,K819:K1057,"0",B819:B1057,"5 1 2 7 1 12 31111 6 M78 15000 171 00I 001 27101 025 2112000 2024 00000000*")</f>
        <v>271517</v>
      </c>
      <c r="G818" s="31">
        <f>SUMIFS(G819:G1057,K819:K1057,"0",B819:B1057,"5 1 2 7 1 12 31111 6 M78 15000 171 00I 001 27101 025 2112000 2024 00000000*")</f>
        <v>0</v>
      </c>
      <c r="H818" s="31">
        <f t="shared" si="15"/>
        <v>271517</v>
      </c>
      <c r="I818" s="31"/>
      <c r="K818" t="s">
        <v>14</v>
      </c>
    </row>
    <row r="819" spans="2:11" ht="22" x14ac:dyDescent="0.15">
      <c r="B819" s="29" t="s">
        <v>1117</v>
      </c>
      <c r="C819" s="29" t="s">
        <v>9</v>
      </c>
      <c r="D819" s="31">
        <f>SUMIFS(D820:D1057,K820:K1057,"0",B820:B1057,"5 1 2 7 1 12 31111 6 M78 15000 171 00I 001 27101 025 2112000 2024 00000000 003*")-SUMIFS(E820:E1057,K820:K1057,"0",B820:B1057,"5 1 2 7 1 12 31111 6 M78 15000 171 00I 001 27101 025 2112000 2024 00000000 003*")</f>
        <v>0</v>
      </c>
      <c r="E819"/>
      <c r="F819" s="31">
        <f>SUMIFS(F820:F1057,K820:K1057,"0",B820:B1057,"5 1 2 7 1 12 31111 6 M78 15000 171 00I 001 27101 025 2112000 2024 00000000 003*")</f>
        <v>271517</v>
      </c>
      <c r="G819" s="31">
        <f>SUMIFS(G820:G1057,K820:K1057,"0",B820:B1057,"5 1 2 7 1 12 31111 6 M78 15000 171 00I 001 27101 025 2112000 2024 00000000 003*")</f>
        <v>0</v>
      </c>
      <c r="H819" s="31">
        <f t="shared" si="15"/>
        <v>271517</v>
      </c>
      <c r="I819" s="31"/>
      <c r="K819" t="s">
        <v>14</v>
      </c>
    </row>
    <row r="820" spans="2:11" ht="22" x14ac:dyDescent="0.15">
      <c r="B820" s="27" t="s">
        <v>1118</v>
      </c>
      <c r="C820" s="27" t="s">
        <v>1102</v>
      </c>
      <c r="D820" s="30">
        <v>0</v>
      </c>
      <c r="E820" s="30"/>
      <c r="F820" s="30">
        <v>271517</v>
      </c>
      <c r="G820" s="30">
        <v>0</v>
      </c>
      <c r="H820" s="30">
        <f t="shared" si="15"/>
        <v>271517</v>
      </c>
      <c r="I820" s="30"/>
      <c r="K820" t="s">
        <v>38</v>
      </c>
    </row>
    <row r="821" spans="2:11" ht="13" x14ac:dyDescent="0.15">
      <c r="B821" s="29" t="s">
        <v>1119</v>
      </c>
      <c r="C821" s="29" t="s">
        <v>1120</v>
      </c>
      <c r="D821" s="31">
        <f>SUMIFS(D822:D1057,K822:K1057,"0",B822:B1057,"5 1 2 7 2*")-SUMIFS(E822:E1057,K822:K1057,"0",B822:B1057,"5 1 2 7 2*")</f>
        <v>0</v>
      </c>
      <c r="E821"/>
      <c r="F821" s="31">
        <f>SUMIFS(F822:F1057,K822:K1057,"0",B822:B1057,"5 1 2 7 2*")</f>
        <v>152559.4</v>
      </c>
      <c r="G821" s="31">
        <f>SUMIFS(G822:G1057,K822:K1057,"0",B822:B1057,"5 1 2 7 2*")</f>
        <v>0</v>
      </c>
      <c r="H821" s="31">
        <f t="shared" si="15"/>
        <v>152559.4</v>
      </c>
      <c r="I821" s="31"/>
      <c r="K821" t="s">
        <v>14</v>
      </c>
    </row>
    <row r="822" spans="2:11" ht="13" x14ac:dyDescent="0.15">
      <c r="B822" s="29" t="s">
        <v>1121</v>
      </c>
      <c r="C822" s="29" t="s">
        <v>25</v>
      </c>
      <c r="D822" s="31">
        <f>SUMIFS(D823:D1057,K823:K1057,"0",B823:B1057,"5 1 2 7 2 12*")-SUMIFS(E823:E1057,K823:K1057,"0",B823:B1057,"5 1 2 7 2 12*")</f>
        <v>0</v>
      </c>
      <c r="E822"/>
      <c r="F822" s="31">
        <f>SUMIFS(F823:F1057,K823:K1057,"0",B823:B1057,"5 1 2 7 2 12*")</f>
        <v>152559.4</v>
      </c>
      <c r="G822" s="31">
        <f>SUMIFS(G823:G1057,K823:K1057,"0",B823:B1057,"5 1 2 7 2 12*")</f>
        <v>0</v>
      </c>
      <c r="H822" s="31">
        <f t="shared" si="15"/>
        <v>152559.4</v>
      </c>
      <c r="I822" s="31"/>
      <c r="K822" t="s">
        <v>14</v>
      </c>
    </row>
    <row r="823" spans="2:11" ht="13" x14ac:dyDescent="0.15">
      <c r="B823" s="29" t="s">
        <v>1122</v>
      </c>
      <c r="C823" s="29" t="s">
        <v>27</v>
      </c>
      <c r="D823" s="31">
        <f>SUMIFS(D824:D1057,K824:K1057,"0",B824:B1057,"5 1 2 7 2 12 31111*")-SUMIFS(E824:E1057,K824:K1057,"0",B824:B1057,"5 1 2 7 2 12 31111*")</f>
        <v>0</v>
      </c>
      <c r="E823"/>
      <c r="F823" s="31">
        <f>SUMIFS(F824:F1057,K824:K1057,"0",B824:B1057,"5 1 2 7 2 12 31111*")</f>
        <v>152559.4</v>
      </c>
      <c r="G823" s="31">
        <f>SUMIFS(G824:G1057,K824:K1057,"0",B824:B1057,"5 1 2 7 2 12 31111*")</f>
        <v>0</v>
      </c>
      <c r="H823" s="31">
        <f t="shared" si="15"/>
        <v>152559.4</v>
      </c>
      <c r="I823" s="31"/>
      <c r="K823" t="s">
        <v>14</v>
      </c>
    </row>
    <row r="824" spans="2:11" ht="13" x14ac:dyDescent="0.15">
      <c r="B824" s="29" t="s">
        <v>1123</v>
      </c>
      <c r="C824" s="29" t="s">
        <v>29</v>
      </c>
      <c r="D824" s="31">
        <f>SUMIFS(D825:D1057,K825:K1057,"0",B825:B1057,"5 1 2 7 2 12 31111 6*")-SUMIFS(E825:E1057,K825:K1057,"0",B825:B1057,"5 1 2 7 2 12 31111 6*")</f>
        <v>0</v>
      </c>
      <c r="E824"/>
      <c r="F824" s="31">
        <f>SUMIFS(F825:F1057,K825:K1057,"0",B825:B1057,"5 1 2 7 2 12 31111 6*")</f>
        <v>152559.4</v>
      </c>
      <c r="G824" s="31">
        <f>SUMIFS(G825:G1057,K825:K1057,"0",B825:B1057,"5 1 2 7 2 12 31111 6*")</f>
        <v>0</v>
      </c>
      <c r="H824" s="31">
        <f t="shared" si="15"/>
        <v>152559.4</v>
      </c>
      <c r="I824" s="31"/>
      <c r="K824" t="s">
        <v>14</v>
      </c>
    </row>
    <row r="825" spans="2:11" ht="13" x14ac:dyDescent="0.15">
      <c r="B825" s="29" t="s">
        <v>1124</v>
      </c>
      <c r="C825" s="29" t="s">
        <v>629</v>
      </c>
      <c r="D825" s="31">
        <f>SUMIFS(D826:D1057,K826:K1057,"0",B826:B1057,"5 1 2 7 2 12 31111 6 M78*")-SUMIFS(E826:E1057,K826:K1057,"0",B826:B1057,"5 1 2 7 2 12 31111 6 M78*")</f>
        <v>0</v>
      </c>
      <c r="E825"/>
      <c r="F825" s="31">
        <f>SUMIFS(F826:F1057,K826:K1057,"0",B826:B1057,"5 1 2 7 2 12 31111 6 M78*")</f>
        <v>152559.4</v>
      </c>
      <c r="G825" s="31">
        <f>SUMIFS(G826:G1057,K826:K1057,"0",B826:B1057,"5 1 2 7 2 12 31111 6 M78*")</f>
        <v>0</v>
      </c>
      <c r="H825" s="31">
        <f t="shared" si="15"/>
        <v>152559.4</v>
      </c>
      <c r="I825" s="31"/>
      <c r="K825" t="s">
        <v>14</v>
      </c>
    </row>
    <row r="826" spans="2:11" ht="13" x14ac:dyDescent="0.15">
      <c r="B826" s="29" t="s">
        <v>1125</v>
      </c>
      <c r="C826" s="29" t="s">
        <v>176</v>
      </c>
      <c r="D826" s="31">
        <f>SUMIFS(D827:D1057,K827:K1057,"0",B827:B1057,"5 1 2 7 2 12 31111 6 M78 15000*")-SUMIFS(E827:E1057,K827:K1057,"0",B827:B1057,"5 1 2 7 2 12 31111 6 M78 15000*")</f>
        <v>0</v>
      </c>
      <c r="E826"/>
      <c r="F826" s="31">
        <f>SUMIFS(F827:F1057,K827:K1057,"0",B827:B1057,"5 1 2 7 2 12 31111 6 M78 15000*")</f>
        <v>152559.4</v>
      </c>
      <c r="G826" s="31">
        <f>SUMIFS(G827:G1057,K827:K1057,"0",B827:B1057,"5 1 2 7 2 12 31111 6 M78 15000*")</f>
        <v>0</v>
      </c>
      <c r="H826" s="31">
        <f t="shared" si="15"/>
        <v>152559.4</v>
      </c>
      <c r="I826" s="31"/>
      <c r="K826" t="s">
        <v>14</v>
      </c>
    </row>
    <row r="827" spans="2:11" ht="13" x14ac:dyDescent="0.15">
      <c r="B827" s="29" t="s">
        <v>1126</v>
      </c>
      <c r="C827" s="29" t="s">
        <v>178</v>
      </c>
      <c r="D827" s="31">
        <f>SUMIFS(D828:D1057,K828:K1057,"0",B828:B1057,"5 1 2 7 2 12 31111 6 M78 15000 171*")-SUMIFS(E828:E1057,K828:K1057,"0",B828:B1057,"5 1 2 7 2 12 31111 6 M78 15000 171*")</f>
        <v>0</v>
      </c>
      <c r="E827"/>
      <c r="F827" s="31">
        <f>SUMIFS(F828:F1057,K828:K1057,"0",B828:B1057,"5 1 2 7 2 12 31111 6 M78 15000 171*")</f>
        <v>152559.4</v>
      </c>
      <c r="G827" s="31">
        <f>SUMIFS(G828:G1057,K828:K1057,"0",B828:B1057,"5 1 2 7 2 12 31111 6 M78 15000 171*")</f>
        <v>0</v>
      </c>
      <c r="H827" s="31">
        <f t="shared" si="15"/>
        <v>152559.4</v>
      </c>
      <c r="I827" s="31"/>
      <c r="K827" t="s">
        <v>14</v>
      </c>
    </row>
    <row r="828" spans="2:11" ht="13" x14ac:dyDescent="0.15">
      <c r="B828" s="29" t="s">
        <v>1127</v>
      </c>
      <c r="C828" s="29" t="s">
        <v>180</v>
      </c>
      <c r="D828" s="31">
        <f>SUMIFS(D829:D1057,K829:K1057,"0",B829:B1057,"5 1 2 7 2 12 31111 6 M78 15000 171 00I*")-SUMIFS(E829:E1057,K829:K1057,"0",B829:B1057,"5 1 2 7 2 12 31111 6 M78 15000 171 00I*")</f>
        <v>0</v>
      </c>
      <c r="E828"/>
      <c r="F828" s="31">
        <f>SUMIFS(F829:F1057,K829:K1057,"0",B829:B1057,"5 1 2 7 2 12 31111 6 M78 15000 171 00I*")</f>
        <v>152559.4</v>
      </c>
      <c r="G828" s="31">
        <f>SUMIFS(G829:G1057,K829:K1057,"0",B829:B1057,"5 1 2 7 2 12 31111 6 M78 15000 171 00I*")</f>
        <v>0</v>
      </c>
      <c r="H828" s="31">
        <f t="shared" si="15"/>
        <v>152559.4</v>
      </c>
      <c r="I828" s="31"/>
      <c r="K828" t="s">
        <v>14</v>
      </c>
    </row>
    <row r="829" spans="2:11" ht="13" x14ac:dyDescent="0.15">
      <c r="B829" s="29" t="s">
        <v>1128</v>
      </c>
      <c r="C829" s="29" t="s">
        <v>562</v>
      </c>
      <c r="D829" s="31">
        <f>SUMIFS(D830:D1057,K830:K1057,"0",B830:B1057,"5 1 2 7 2 12 31111 6 M78 15000 171 00I 001*")-SUMIFS(E830:E1057,K830:K1057,"0",B830:B1057,"5 1 2 7 2 12 31111 6 M78 15000 171 00I 001*")</f>
        <v>0</v>
      </c>
      <c r="E829"/>
      <c r="F829" s="31">
        <f>SUMIFS(F830:F1057,K830:K1057,"0",B830:B1057,"5 1 2 7 2 12 31111 6 M78 15000 171 00I 001*")</f>
        <v>152559.4</v>
      </c>
      <c r="G829" s="31">
        <f>SUMIFS(G830:G1057,K830:K1057,"0",B830:B1057,"5 1 2 7 2 12 31111 6 M78 15000 171 00I 001*")</f>
        <v>0</v>
      </c>
      <c r="H829" s="31">
        <f t="shared" si="15"/>
        <v>152559.4</v>
      </c>
      <c r="I829" s="31"/>
      <c r="K829" t="s">
        <v>14</v>
      </c>
    </row>
    <row r="830" spans="2:11" ht="13" x14ac:dyDescent="0.15">
      <c r="B830" s="29" t="s">
        <v>1129</v>
      </c>
      <c r="C830" s="29" t="s">
        <v>1130</v>
      </c>
      <c r="D830" s="31">
        <f>SUMIFS(D831:D1057,K831:K1057,"0",B831:B1057,"5 1 2 7 2 12 31111 6 M78 15000 171 00I 001 27201*")-SUMIFS(E831:E1057,K831:K1057,"0",B831:B1057,"5 1 2 7 2 12 31111 6 M78 15000 171 00I 001 27201*")</f>
        <v>0</v>
      </c>
      <c r="E830"/>
      <c r="F830" s="31">
        <f>SUMIFS(F831:F1057,K831:K1057,"0",B831:B1057,"5 1 2 7 2 12 31111 6 M78 15000 171 00I 001 27201*")</f>
        <v>152559.4</v>
      </c>
      <c r="G830" s="31">
        <f>SUMIFS(G831:G1057,K831:K1057,"0",B831:B1057,"5 1 2 7 2 12 31111 6 M78 15000 171 00I 001 27201*")</f>
        <v>0</v>
      </c>
      <c r="H830" s="31">
        <f t="shared" si="15"/>
        <v>152559.4</v>
      </c>
      <c r="I830" s="31"/>
      <c r="K830" t="s">
        <v>14</v>
      </c>
    </row>
    <row r="831" spans="2:11" ht="13" x14ac:dyDescent="0.15">
      <c r="B831" s="29" t="s">
        <v>1131</v>
      </c>
      <c r="C831" s="29" t="s">
        <v>186</v>
      </c>
      <c r="D831" s="31">
        <f>SUMIFS(D832:D1057,K832:K1057,"0",B832:B1057,"5 1 2 7 2 12 31111 6 M78 15000 171 00I 001 27201 025*")-SUMIFS(E832:E1057,K832:K1057,"0",B832:B1057,"5 1 2 7 2 12 31111 6 M78 15000 171 00I 001 27201 025*")</f>
        <v>0</v>
      </c>
      <c r="E831"/>
      <c r="F831" s="31">
        <f>SUMIFS(F832:F1057,K832:K1057,"0",B832:B1057,"5 1 2 7 2 12 31111 6 M78 15000 171 00I 001 27201 025*")</f>
        <v>152559.4</v>
      </c>
      <c r="G831" s="31">
        <f>SUMIFS(G832:G1057,K832:K1057,"0",B832:B1057,"5 1 2 7 2 12 31111 6 M78 15000 171 00I 001 27201 025*")</f>
        <v>0</v>
      </c>
      <c r="H831" s="31">
        <f t="shared" si="15"/>
        <v>152559.4</v>
      </c>
      <c r="I831" s="31"/>
      <c r="K831" t="s">
        <v>14</v>
      </c>
    </row>
    <row r="832" spans="2:11" ht="22" x14ac:dyDescent="0.15">
      <c r="B832" s="29" t="s">
        <v>1132</v>
      </c>
      <c r="C832" s="29" t="s">
        <v>188</v>
      </c>
      <c r="D832" s="31">
        <f>SUMIFS(D833:D1057,K833:K1057,"0",B833:B1057,"5 1 2 7 2 12 31111 6 M78 15000 171 00I 001 27201 025 2112000*")-SUMIFS(E833:E1057,K833:K1057,"0",B833:B1057,"5 1 2 7 2 12 31111 6 M78 15000 171 00I 001 27201 025 2112000*")</f>
        <v>0</v>
      </c>
      <c r="E832"/>
      <c r="F832" s="31">
        <f>SUMIFS(F833:F1057,K833:K1057,"0",B833:B1057,"5 1 2 7 2 12 31111 6 M78 15000 171 00I 001 27201 025 2112000*")</f>
        <v>152559.4</v>
      </c>
      <c r="G832" s="31">
        <f>SUMIFS(G833:G1057,K833:K1057,"0",B833:B1057,"5 1 2 7 2 12 31111 6 M78 15000 171 00I 001 27201 025 2112000*")</f>
        <v>0</v>
      </c>
      <c r="H832" s="31">
        <f t="shared" si="15"/>
        <v>152559.4</v>
      </c>
      <c r="I832" s="31"/>
      <c r="K832" t="s">
        <v>14</v>
      </c>
    </row>
    <row r="833" spans="2:11" ht="22" x14ac:dyDescent="0.15">
      <c r="B833" s="29" t="s">
        <v>1133</v>
      </c>
      <c r="C833" s="29" t="s">
        <v>294</v>
      </c>
      <c r="D833" s="31">
        <f>SUMIFS(D834:D1057,K834:K1057,"0",B834:B1057,"5 1 2 7 2 12 31111 6 M78 15000 171 00I 001 27201 025 2112000 2024*")-SUMIFS(E834:E1057,K834:K1057,"0",B834:B1057,"5 1 2 7 2 12 31111 6 M78 15000 171 00I 001 27201 025 2112000 2024*")</f>
        <v>0</v>
      </c>
      <c r="E833"/>
      <c r="F833" s="31">
        <f>SUMIFS(F834:F1057,K834:K1057,"0",B834:B1057,"5 1 2 7 2 12 31111 6 M78 15000 171 00I 001 27201 025 2112000 2024*")</f>
        <v>152559.4</v>
      </c>
      <c r="G833" s="31">
        <f>SUMIFS(G834:G1057,K834:K1057,"0",B834:B1057,"5 1 2 7 2 12 31111 6 M78 15000 171 00I 001 27201 025 2112000 2024*")</f>
        <v>0</v>
      </c>
      <c r="H833" s="31">
        <f t="shared" si="15"/>
        <v>152559.4</v>
      </c>
      <c r="I833" s="31"/>
      <c r="K833" t="s">
        <v>14</v>
      </c>
    </row>
    <row r="834" spans="2:11" ht="22" x14ac:dyDescent="0.15">
      <c r="B834" s="29" t="s">
        <v>1134</v>
      </c>
      <c r="C834" s="29" t="s">
        <v>192</v>
      </c>
      <c r="D834" s="31">
        <f>SUMIFS(D835:D1057,K835:K1057,"0",B835:B1057,"5 1 2 7 2 12 31111 6 M78 15000 171 00I 001 27201 025 2112000 2024 00000000*")-SUMIFS(E835:E1057,K835:K1057,"0",B835:B1057,"5 1 2 7 2 12 31111 6 M78 15000 171 00I 001 27201 025 2112000 2024 00000000*")</f>
        <v>0</v>
      </c>
      <c r="E834"/>
      <c r="F834" s="31">
        <f>SUMIFS(F835:F1057,K835:K1057,"0",B835:B1057,"5 1 2 7 2 12 31111 6 M78 15000 171 00I 001 27201 025 2112000 2024 00000000*")</f>
        <v>152559.4</v>
      </c>
      <c r="G834" s="31">
        <f>SUMIFS(G835:G1057,K835:K1057,"0",B835:B1057,"5 1 2 7 2 12 31111 6 M78 15000 171 00I 001 27201 025 2112000 2024 00000000*")</f>
        <v>0</v>
      </c>
      <c r="H834" s="31">
        <f t="shared" si="15"/>
        <v>152559.4</v>
      </c>
      <c r="I834" s="31"/>
      <c r="K834" t="s">
        <v>14</v>
      </c>
    </row>
    <row r="835" spans="2:11" ht="22" x14ac:dyDescent="0.15">
      <c r="B835" s="29" t="s">
        <v>1135</v>
      </c>
      <c r="C835" s="29" t="s">
        <v>9</v>
      </c>
      <c r="D835" s="31">
        <f>SUMIFS(D836:D1057,K836:K1057,"0",B836:B1057,"5 1 2 7 2 12 31111 6 M78 15000 171 00I 001 27201 025 2112000 2024 00000000 003*")-SUMIFS(E836:E1057,K836:K1057,"0",B836:B1057,"5 1 2 7 2 12 31111 6 M78 15000 171 00I 001 27201 025 2112000 2024 00000000 003*")</f>
        <v>0</v>
      </c>
      <c r="E835"/>
      <c r="F835" s="31">
        <f>SUMIFS(F836:F1057,K836:K1057,"0",B836:B1057,"5 1 2 7 2 12 31111 6 M78 15000 171 00I 001 27201 025 2112000 2024 00000000 003*")</f>
        <v>152559.4</v>
      </c>
      <c r="G835" s="31">
        <f>SUMIFS(G836:G1057,K836:K1057,"0",B836:B1057,"5 1 2 7 2 12 31111 6 M78 15000 171 00I 001 27201 025 2112000 2024 00000000 003*")</f>
        <v>0</v>
      </c>
      <c r="H835" s="31">
        <f t="shared" si="15"/>
        <v>152559.4</v>
      </c>
      <c r="I835" s="31"/>
      <c r="K835" t="s">
        <v>14</v>
      </c>
    </row>
    <row r="836" spans="2:11" ht="22" x14ac:dyDescent="0.15">
      <c r="B836" s="27" t="s">
        <v>1136</v>
      </c>
      <c r="C836" s="27" t="s">
        <v>1137</v>
      </c>
      <c r="D836" s="30">
        <v>0</v>
      </c>
      <c r="E836" s="30"/>
      <c r="F836" s="30">
        <v>152559.4</v>
      </c>
      <c r="G836" s="30">
        <v>0</v>
      </c>
      <c r="H836" s="30">
        <f t="shared" si="15"/>
        <v>152559.4</v>
      </c>
      <c r="I836" s="30"/>
      <c r="K836" t="s">
        <v>38</v>
      </c>
    </row>
    <row r="837" spans="2:11" ht="13" x14ac:dyDescent="0.15">
      <c r="B837" s="29" t="s">
        <v>1138</v>
      </c>
      <c r="C837" s="29" t="s">
        <v>1139</v>
      </c>
      <c r="D837" s="31">
        <f>SUMIFS(D838:D1057,K838:K1057,"0",B838:B1057,"5 1 3*")-SUMIFS(E838:E1057,K838:K1057,"0",B838:B1057,"5 1 3*")</f>
        <v>0</v>
      </c>
      <c r="E837"/>
      <c r="F837" s="31">
        <f>SUMIFS(F838:F1057,K838:K1057,"0",B838:B1057,"5 1 3*")</f>
        <v>2334959.1</v>
      </c>
      <c r="G837" s="31">
        <f>SUMIFS(G838:G1057,K838:K1057,"0",B838:B1057,"5 1 3*")</f>
        <v>0</v>
      </c>
      <c r="H837" s="31">
        <f t="shared" si="15"/>
        <v>2334959.1</v>
      </c>
      <c r="I837" s="31"/>
      <c r="K837" t="s">
        <v>14</v>
      </c>
    </row>
    <row r="838" spans="2:11" ht="13" x14ac:dyDescent="0.15">
      <c r="B838" s="29" t="s">
        <v>1140</v>
      </c>
      <c r="C838" s="29" t="s">
        <v>1141</v>
      </c>
      <c r="D838" s="31">
        <f>SUMIFS(D839:D1057,K839:K1057,"0",B839:B1057,"5 1 3 1*")-SUMIFS(E839:E1057,K839:K1057,"0",B839:B1057,"5 1 3 1*")</f>
        <v>0</v>
      </c>
      <c r="E838"/>
      <c r="F838" s="31">
        <f>SUMIFS(F839:F1057,K839:K1057,"0",B839:B1057,"5 1 3 1*")</f>
        <v>1337207.29</v>
      </c>
      <c r="G838" s="31">
        <f>SUMIFS(G839:G1057,K839:K1057,"0",B839:B1057,"5 1 3 1*")</f>
        <v>0</v>
      </c>
      <c r="H838" s="31">
        <f t="shared" si="15"/>
        <v>1337207.29</v>
      </c>
      <c r="I838" s="31"/>
      <c r="K838" t="s">
        <v>14</v>
      </c>
    </row>
    <row r="839" spans="2:11" ht="13" x14ac:dyDescent="0.15">
      <c r="B839" s="29" t="s">
        <v>1142</v>
      </c>
      <c r="C839" s="29" t="s">
        <v>1143</v>
      </c>
      <c r="D839" s="31">
        <f>SUMIFS(D840:D1057,K840:K1057,"0",B840:B1057,"5 1 3 1 1*")-SUMIFS(E840:E1057,K840:K1057,"0",B840:B1057,"5 1 3 1 1*")</f>
        <v>0</v>
      </c>
      <c r="E839"/>
      <c r="F839" s="31">
        <f>SUMIFS(F840:F1057,K840:K1057,"0",B840:B1057,"5 1 3 1 1*")</f>
        <v>1257207.29</v>
      </c>
      <c r="G839" s="31">
        <f>SUMIFS(G840:G1057,K840:K1057,"0",B840:B1057,"5 1 3 1 1*")</f>
        <v>0</v>
      </c>
      <c r="H839" s="31">
        <f t="shared" si="15"/>
        <v>1257207.29</v>
      </c>
      <c r="I839" s="31"/>
      <c r="K839" t="s">
        <v>14</v>
      </c>
    </row>
    <row r="840" spans="2:11" ht="13" x14ac:dyDescent="0.15">
      <c r="B840" s="29" t="s">
        <v>1144</v>
      </c>
      <c r="C840" s="29" t="s">
        <v>25</v>
      </c>
      <c r="D840" s="31">
        <f>SUMIFS(D841:D1057,K841:K1057,"0",B841:B1057,"5 1 3 1 1 12*")-SUMIFS(E841:E1057,K841:K1057,"0",B841:B1057,"5 1 3 1 1 12*")</f>
        <v>0</v>
      </c>
      <c r="E840"/>
      <c r="F840" s="31">
        <f>SUMIFS(F841:F1057,K841:K1057,"0",B841:B1057,"5 1 3 1 1 12*")</f>
        <v>1257207.29</v>
      </c>
      <c r="G840" s="31">
        <f>SUMIFS(G841:G1057,K841:K1057,"0",B841:B1057,"5 1 3 1 1 12*")</f>
        <v>0</v>
      </c>
      <c r="H840" s="31">
        <f t="shared" si="15"/>
        <v>1257207.29</v>
      </c>
      <c r="I840" s="31"/>
      <c r="K840" t="s">
        <v>14</v>
      </c>
    </row>
    <row r="841" spans="2:11" ht="13" x14ac:dyDescent="0.15">
      <c r="B841" s="29" t="s">
        <v>1145</v>
      </c>
      <c r="C841" s="29" t="s">
        <v>27</v>
      </c>
      <c r="D841" s="31">
        <f>SUMIFS(D842:D1057,K842:K1057,"0",B842:B1057,"5 1 3 1 1 12 31111*")-SUMIFS(E842:E1057,K842:K1057,"0",B842:B1057,"5 1 3 1 1 12 31111*")</f>
        <v>0</v>
      </c>
      <c r="E841"/>
      <c r="F841" s="31">
        <f>SUMIFS(F842:F1057,K842:K1057,"0",B842:B1057,"5 1 3 1 1 12 31111*")</f>
        <v>1257207.29</v>
      </c>
      <c r="G841" s="31">
        <f>SUMIFS(G842:G1057,K842:K1057,"0",B842:B1057,"5 1 3 1 1 12 31111*")</f>
        <v>0</v>
      </c>
      <c r="H841" s="31">
        <f t="shared" si="15"/>
        <v>1257207.29</v>
      </c>
      <c r="I841" s="31"/>
      <c r="K841" t="s">
        <v>14</v>
      </c>
    </row>
    <row r="842" spans="2:11" ht="13" x14ac:dyDescent="0.15">
      <c r="B842" s="29" t="s">
        <v>1146</v>
      </c>
      <c r="C842" s="29" t="s">
        <v>29</v>
      </c>
      <c r="D842" s="31">
        <f>SUMIFS(D843:D1057,K843:K1057,"0",B843:B1057,"5 1 3 1 1 12 31111 6*")-SUMIFS(E843:E1057,K843:K1057,"0",B843:B1057,"5 1 3 1 1 12 31111 6*")</f>
        <v>0</v>
      </c>
      <c r="E842"/>
      <c r="F842" s="31">
        <f>SUMIFS(F843:F1057,K843:K1057,"0",B843:B1057,"5 1 3 1 1 12 31111 6*")</f>
        <v>1257207.29</v>
      </c>
      <c r="G842" s="31">
        <f>SUMIFS(G843:G1057,K843:K1057,"0",B843:B1057,"5 1 3 1 1 12 31111 6*")</f>
        <v>0</v>
      </c>
      <c r="H842" s="31">
        <f t="shared" si="15"/>
        <v>1257207.29</v>
      </c>
      <c r="I842" s="31"/>
      <c r="K842" t="s">
        <v>14</v>
      </c>
    </row>
    <row r="843" spans="2:11" ht="13" x14ac:dyDescent="0.15">
      <c r="B843" s="29" t="s">
        <v>1147</v>
      </c>
      <c r="C843" s="29" t="s">
        <v>629</v>
      </c>
      <c r="D843" s="31">
        <f>SUMIFS(D844:D1057,K844:K1057,"0",B844:B1057,"5 1 3 1 1 12 31111 6 M78*")-SUMIFS(E844:E1057,K844:K1057,"0",B844:B1057,"5 1 3 1 1 12 31111 6 M78*")</f>
        <v>0</v>
      </c>
      <c r="E843"/>
      <c r="F843" s="31">
        <f>SUMIFS(F844:F1057,K844:K1057,"0",B844:B1057,"5 1 3 1 1 12 31111 6 M78*")</f>
        <v>1257207.29</v>
      </c>
      <c r="G843" s="31">
        <f>SUMIFS(G844:G1057,K844:K1057,"0",B844:B1057,"5 1 3 1 1 12 31111 6 M78*")</f>
        <v>0</v>
      </c>
      <c r="H843" s="31">
        <f t="shared" si="15"/>
        <v>1257207.29</v>
      </c>
      <c r="I843" s="31"/>
      <c r="K843" t="s">
        <v>14</v>
      </c>
    </row>
    <row r="844" spans="2:11" ht="13" x14ac:dyDescent="0.15">
      <c r="B844" s="29" t="s">
        <v>1148</v>
      </c>
      <c r="C844" s="29" t="s">
        <v>176</v>
      </c>
      <c r="D844" s="31">
        <f>SUMIFS(D845:D1057,K845:K1057,"0",B845:B1057,"5 1 3 1 1 12 31111 6 M78 15000*")-SUMIFS(E845:E1057,K845:K1057,"0",B845:B1057,"5 1 3 1 1 12 31111 6 M78 15000*")</f>
        <v>0</v>
      </c>
      <c r="E844"/>
      <c r="F844" s="31">
        <f>SUMIFS(F845:F1057,K845:K1057,"0",B845:B1057,"5 1 3 1 1 12 31111 6 M78 15000*")</f>
        <v>1257207.29</v>
      </c>
      <c r="G844" s="31">
        <f>SUMIFS(G845:G1057,K845:K1057,"0",B845:B1057,"5 1 3 1 1 12 31111 6 M78 15000*")</f>
        <v>0</v>
      </c>
      <c r="H844" s="31">
        <f t="shared" ref="H844:H907" si="16">D844 + F844 - G844</f>
        <v>1257207.29</v>
      </c>
      <c r="I844" s="31"/>
      <c r="K844" t="s">
        <v>14</v>
      </c>
    </row>
    <row r="845" spans="2:11" ht="13" x14ac:dyDescent="0.15">
      <c r="B845" s="29" t="s">
        <v>1149</v>
      </c>
      <c r="C845" s="29" t="s">
        <v>178</v>
      </c>
      <c r="D845" s="31">
        <f>SUMIFS(D846:D1057,K846:K1057,"0",B846:B1057,"5 1 3 1 1 12 31111 6 M78 15000 171*")-SUMIFS(E846:E1057,K846:K1057,"0",B846:B1057,"5 1 3 1 1 12 31111 6 M78 15000 171*")</f>
        <v>0</v>
      </c>
      <c r="E845"/>
      <c r="F845" s="31">
        <f>SUMIFS(F846:F1057,K846:K1057,"0",B846:B1057,"5 1 3 1 1 12 31111 6 M78 15000 171*")</f>
        <v>1257207.29</v>
      </c>
      <c r="G845" s="31">
        <f>SUMIFS(G846:G1057,K846:K1057,"0",B846:B1057,"5 1 3 1 1 12 31111 6 M78 15000 171*")</f>
        <v>0</v>
      </c>
      <c r="H845" s="31">
        <f t="shared" si="16"/>
        <v>1257207.29</v>
      </c>
      <c r="I845" s="31"/>
      <c r="K845" t="s">
        <v>14</v>
      </c>
    </row>
    <row r="846" spans="2:11" ht="13" x14ac:dyDescent="0.15">
      <c r="B846" s="29" t="s">
        <v>1150</v>
      </c>
      <c r="C846" s="29" t="s">
        <v>180</v>
      </c>
      <c r="D846" s="31">
        <f>SUMIFS(D847:D1057,K847:K1057,"0",B847:B1057,"5 1 3 1 1 12 31111 6 M78 15000 171 00I*")-SUMIFS(E847:E1057,K847:K1057,"0",B847:B1057,"5 1 3 1 1 12 31111 6 M78 15000 171 00I*")</f>
        <v>0</v>
      </c>
      <c r="E846"/>
      <c r="F846" s="31">
        <f>SUMIFS(F847:F1057,K847:K1057,"0",B847:B1057,"5 1 3 1 1 12 31111 6 M78 15000 171 00I*")</f>
        <v>1257207.29</v>
      </c>
      <c r="G846" s="31">
        <f>SUMIFS(G847:G1057,K847:K1057,"0",B847:B1057,"5 1 3 1 1 12 31111 6 M78 15000 171 00I*")</f>
        <v>0</v>
      </c>
      <c r="H846" s="31">
        <f t="shared" si="16"/>
        <v>1257207.29</v>
      </c>
      <c r="I846" s="31"/>
      <c r="K846" t="s">
        <v>14</v>
      </c>
    </row>
    <row r="847" spans="2:11" ht="13" x14ac:dyDescent="0.15">
      <c r="B847" s="29" t="s">
        <v>1151</v>
      </c>
      <c r="C847" s="29" t="s">
        <v>562</v>
      </c>
      <c r="D847" s="31">
        <f>SUMIFS(D848:D1057,K848:K1057,"0",B848:B1057,"5 1 3 1 1 12 31111 6 M78 15000 171 00I 001*")-SUMIFS(E848:E1057,K848:K1057,"0",B848:B1057,"5 1 3 1 1 12 31111 6 M78 15000 171 00I 001*")</f>
        <v>0</v>
      </c>
      <c r="E847"/>
      <c r="F847" s="31">
        <f>SUMIFS(F848:F1057,K848:K1057,"0",B848:B1057,"5 1 3 1 1 12 31111 6 M78 15000 171 00I 001*")</f>
        <v>1257207.29</v>
      </c>
      <c r="G847" s="31">
        <f>SUMIFS(G848:G1057,K848:K1057,"0",B848:B1057,"5 1 3 1 1 12 31111 6 M78 15000 171 00I 001*")</f>
        <v>0</v>
      </c>
      <c r="H847" s="31">
        <f t="shared" si="16"/>
        <v>1257207.29</v>
      </c>
      <c r="I847" s="31"/>
      <c r="K847" t="s">
        <v>14</v>
      </c>
    </row>
    <row r="848" spans="2:11" ht="13" x14ac:dyDescent="0.15">
      <c r="B848" s="29" t="s">
        <v>1152</v>
      </c>
      <c r="C848" s="29" t="s">
        <v>1153</v>
      </c>
      <c r="D848" s="31">
        <f>SUMIFS(D849:D1057,K849:K1057,"0",B849:B1057,"5 1 3 1 1 12 31111 6 M78 15000 171 00I 001 31101*")-SUMIFS(E849:E1057,K849:K1057,"0",B849:B1057,"5 1 3 1 1 12 31111 6 M78 15000 171 00I 001 31101*")</f>
        <v>0</v>
      </c>
      <c r="E848"/>
      <c r="F848" s="31">
        <f>SUMIFS(F849:F1057,K849:K1057,"0",B849:B1057,"5 1 3 1 1 12 31111 6 M78 15000 171 00I 001 31101*")</f>
        <v>1257207.29</v>
      </c>
      <c r="G848" s="31">
        <f>SUMIFS(G849:G1057,K849:K1057,"0",B849:B1057,"5 1 3 1 1 12 31111 6 M78 15000 171 00I 001 31101*")</f>
        <v>0</v>
      </c>
      <c r="H848" s="31">
        <f t="shared" si="16"/>
        <v>1257207.29</v>
      </c>
      <c r="I848" s="31"/>
      <c r="K848" t="s">
        <v>14</v>
      </c>
    </row>
    <row r="849" spans="2:11" ht="13" x14ac:dyDescent="0.15">
      <c r="B849" s="29" t="s">
        <v>1154</v>
      </c>
      <c r="C849" s="29" t="s">
        <v>186</v>
      </c>
      <c r="D849" s="31">
        <f>SUMIFS(D850:D1057,K850:K1057,"0",B850:B1057,"5 1 3 1 1 12 31111 6 M78 15000 171 00I 001 31101 025*")-SUMIFS(E850:E1057,K850:K1057,"0",B850:B1057,"5 1 3 1 1 12 31111 6 M78 15000 171 00I 001 31101 025*")</f>
        <v>0</v>
      </c>
      <c r="E849"/>
      <c r="F849" s="31">
        <f>SUMIFS(F850:F1057,K850:K1057,"0",B850:B1057,"5 1 3 1 1 12 31111 6 M78 15000 171 00I 001 31101 025*")</f>
        <v>1257207.29</v>
      </c>
      <c r="G849" s="31">
        <f>SUMIFS(G850:G1057,K850:K1057,"0",B850:B1057,"5 1 3 1 1 12 31111 6 M78 15000 171 00I 001 31101 025*")</f>
        <v>0</v>
      </c>
      <c r="H849" s="31">
        <f t="shared" si="16"/>
        <v>1257207.29</v>
      </c>
      <c r="I849" s="31"/>
      <c r="K849" t="s">
        <v>14</v>
      </c>
    </row>
    <row r="850" spans="2:11" ht="22" x14ac:dyDescent="0.15">
      <c r="B850" s="29" t="s">
        <v>1155</v>
      </c>
      <c r="C850" s="29" t="s">
        <v>188</v>
      </c>
      <c r="D850" s="31">
        <f>SUMIFS(D851:D1057,K851:K1057,"0",B851:B1057,"5 1 3 1 1 12 31111 6 M78 15000 171 00I 001 31101 025 2112000*")-SUMIFS(E851:E1057,K851:K1057,"0",B851:B1057,"5 1 3 1 1 12 31111 6 M78 15000 171 00I 001 31101 025 2112000*")</f>
        <v>0</v>
      </c>
      <c r="E850"/>
      <c r="F850" s="31">
        <f>SUMIFS(F851:F1057,K851:K1057,"0",B851:B1057,"5 1 3 1 1 12 31111 6 M78 15000 171 00I 001 31101 025 2112000*")</f>
        <v>1257207.29</v>
      </c>
      <c r="G850" s="31">
        <f>SUMIFS(G851:G1057,K851:K1057,"0",B851:B1057,"5 1 3 1 1 12 31111 6 M78 15000 171 00I 001 31101 025 2112000*")</f>
        <v>0</v>
      </c>
      <c r="H850" s="31">
        <f t="shared" si="16"/>
        <v>1257207.29</v>
      </c>
      <c r="I850" s="31"/>
      <c r="K850" t="s">
        <v>14</v>
      </c>
    </row>
    <row r="851" spans="2:11" ht="22" x14ac:dyDescent="0.15">
      <c r="B851" s="29" t="s">
        <v>1156</v>
      </c>
      <c r="C851" s="29" t="s">
        <v>294</v>
      </c>
      <c r="D851" s="31">
        <f>SUMIFS(D852:D1057,K852:K1057,"0",B852:B1057,"5 1 3 1 1 12 31111 6 M78 15000 171 00I 001 31101 025 2112000 2024*")-SUMIFS(E852:E1057,K852:K1057,"0",B852:B1057,"5 1 3 1 1 12 31111 6 M78 15000 171 00I 001 31101 025 2112000 2024*")</f>
        <v>0</v>
      </c>
      <c r="E851"/>
      <c r="F851" s="31">
        <f>SUMIFS(F852:F1057,K852:K1057,"0",B852:B1057,"5 1 3 1 1 12 31111 6 M78 15000 171 00I 001 31101 025 2112000 2024*")</f>
        <v>1257207.29</v>
      </c>
      <c r="G851" s="31">
        <f>SUMIFS(G852:G1057,K852:K1057,"0",B852:B1057,"5 1 3 1 1 12 31111 6 M78 15000 171 00I 001 31101 025 2112000 2024*")</f>
        <v>0</v>
      </c>
      <c r="H851" s="31">
        <f t="shared" si="16"/>
        <v>1257207.29</v>
      </c>
      <c r="I851" s="31"/>
      <c r="K851" t="s">
        <v>14</v>
      </c>
    </row>
    <row r="852" spans="2:11" ht="22" x14ac:dyDescent="0.15">
      <c r="B852" s="29" t="s">
        <v>1157</v>
      </c>
      <c r="C852" s="29" t="s">
        <v>192</v>
      </c>
      <c r="D852" s="31">
        <f>SUMIFS(D853:D1057,K853:K1057,"0",B853:B1057,"5 1 3 1 1 12 31111 6 M78 15000 171 00I 001 31101 025 2112000 2024 00000000*")-SUMIFS(E853:E1057,K853:K1057,"0",B853:B1057,"5 1 3 1 1 12 31111 6 M78 15000 171 00I 001 31101 025 2112000 2024 00000000*")</f>
        <v>0</v>
      </c>
      <c r="E852"/>
      <c r="F852" s="31">
        <f>SUMIFS(F853:F1057,K853:K1057,"0",B853:B1057,"5 1 3 1 1 12 31111 6 M78 15000 171 00I 001 31101 025 2112000 2024 00000000*")</f>
        <v>1257207.29</v>
      </c>
      <c r="G852" s="31">
        <f>SUMIFS(G853:G1057,K853:K1057,"0",B853:B1057,"5 1 3 1 1 12 31111 6 M78 15000 171 00I 001 31101 025 2112000 2024 00000000*")</f>
        <v>0</v>
      </c>
      <c r="H852" s="31">
        <f t="shared" si="16"/>
        <v>1257207.29</v>
      </c>
      <c r="I852" s="31"/>
      <c r="K852" t="s">
        <v>14</v>
      </c>
    </row>
    <row r="853" spans="2:11" ht="22" x14ac:dyDescent="0.15">
      <c r="B853" s="29" t="s">
        <v>1158</v>
      </c>
      <c r="C853" s="29" t="s">
        <v>9</v>
      </c>
      <c r="D853" s="31">
        <f>SUMIFS(D854:D1057,K854:K1057,"0",B854:B1057,"5 1 3 1 1 12 31111 6 M78 15000 171 00I 001 31101 025 2112000 2024 00000000 003*")-SUMIFS(E854:E1057,K854:K1057,"0",B854:B1057,"5 1 3 1 1 12 31111 6 M78 15000 171 00I 001 31101 025 2112000 2024 00000000 003*")</f>
        <v>0</v>
      </c>
      <c r="E853"/>
      <c r="F853" s="31">
        <f>SUMIFS(F854:F1057,K854:K1057,"0",B854:B1057,"5 1 3 1 1 12 31111 6 M78 15000 171 00I 001 31101 025 2112000 2024 00000000 003*")</f>
        <v>1257207.29</v>
      </c>
      <c r="G853" s="31">
        <f>SUMIFS(G854:G1057,K854:K1057,"0",B854:B1057,"5 1 3 1 1 12 31111 6 M78 15000 171 00I 001 31101 025 2112000 2024 00000000 003*")</f>
        <v>0</v>
      </c>
      <c r="H853" s="31">
        <f t="shared" si="16"/>
        <v>1257207.29</v>
      </c>
      <c r="I853" s="31"/>
      <c r="K853" t="s">
        <v>14</v>
      </c>
    </row>
    <row r="854" spans="2:11" ht="22" x14ac:dyDescent="0.15">
      <c r="B854" s="27" t="s">
        <v>1159</v>
      </c>
      <c r="C854" s="27" t="s">
        <v>1160</v>
      </c>
      <c r="D854" s="30">
        <v>0</v>
      </c>
      <c r="E854" s="30"/>
      <c r="F854" s="30">
        <v>256969.91</v>
      </c>
      <c r="G854" s="30">
        <v>0</v>
      </c>
      <c r="H854" s="30">
        <f t="shared" si="16"/>
        <v>256969.91</v>
      </c>
      <c r="I854" s="30"/>
      <c r="K854" t="s">
        <v>38</v>
      </c>
    </row>
    <row r="855" spans="2:11" ht="22" x14ac:dyDescent="0.15">
      <c r="B855" s="27" t="s">
        <v>1161</v>
      </c>
      <c r="C855" s="27" t="s">
        <v>1162</v>
      </c>
      <c r="D855" s="30">
        <v>0</v>
      </c>
      <c r="E855" s="30"/>
      <c r="F855" s="30">
        <v>1000237.38</v>
      </c>
      <c r="G855" s="30">
        <v>0</v>
      </c>
      <c r="H855" s="30">
        <f t="shared" si="16"/>
        <v>1000237.38</v>
      </c>
      <c r="I855" s="30"/>
      <c r="K855" t="s">
        <v>38</v>
      </c>
    </row>
    <row r="856" spans="2:11" ht="22" x14ac:dyDescent="0.15">
      <c r="B856" s="29" t="s">
        <v>1163</v>
      </c>
      <c r="C856" s="29" t="s">
        <v>1164</v>
      </c>
      <c r="D856" s="31">
        <f>SUMIFS(D857:D1057,K857:K1057,"0",B857:B1057,"5 1 3 1 7*")-SUMIFS(E857:E1057,K857:K1057,"0",B857:B1057,"5 1 3 1 7*")</f>
        <v>0</v>
      </c>
      <c r="E856"/>
      <c r="F856" s="31">
        <f>SUMIFS(F857:F1057,K857:K1057,"0",B857:B1057,"5 1 3 1 7*")</f>
        <v>80000</v>
      </c>
      <c r="G856" s="31">
        <f>SUMIFS(G857:G1057,K857:K1057,"0",B857:B1057,"5 1 3 1 7*")</f>
        <v>0</v>
      </c>
      <c r="H856" s="31">
        <f t="shared" si="16"/>
        <v>80000</v>
      </c>
      <c r="I856" s="31"/>
      <c r="K856" t="s">
        <v>14</v>
      </c>
    </row>
    <row r="857" spans="2:11" ht="13" x14ac:dyDescent="0.15">
      <c r="B857" s="29" t="s">
        <v>1165</v>
      </c>
      <c r="C857" s="29" t="s">
        <v>25</v>
      </c>
      <c r="D857" s="31">
        <f>SUMIFS(D858:D1057,K858:K1057,"0",B858:B1057,"5 1 3 1 7 12*")-SUMIFS(E858:E1057,K858:K1057,"0",B858:B1057,"5 1 3 1 7 12*")</f>
        <v>0</v>
      </c>
      <c r="E857"/>
      <c r="F857" s="31">
        <f>SUMIFS(F858:F1057,K858:K1057,"0",B858:B1057,"5 1 3 1 7 12*")</f>
        <v>80000</v>
      </c>
      <c r="G857" s="31">
        <f>SUMIFS(G858:G1057,K858:K1057,"0",B858:B1057,"5 1 3 1 7 12*")</f>
        <v>0</v>
      </c>
      <c r="H857" s="31">
        <f t="shared" si="16"/>
        <v>80000</v>
      </c>
      <c r="I857" s="31"/>
      <c r="K857" t="s">
        <v>14</v>
      </c>
    </row>
    <row r="858" spans="2:11" ht="13" x14ac:dyDescent="0.15">
      <c r="B858" s="29" t="s">
        <v>1166</v>
      </c>
      <c r="C858" s="29" t="s">
        <v>27</v>
      </c>
      <c r="D858" s="31">
        <f>SUMIFS(D859:D1057,K859:K1057,"0",B859:B1057,"5 1 3 1 7 12 31111*")-SUMIFS(E859:E1057,K859:K1057,"0",B859:B1057,"5 1 3 1 7 12 31111*")</f>
        <v>0</v>
      </c>
      <c r="E858"/>
      <c r="F858" s="31">
        <f>SUMIFS(F859:F1057,K859:K1057,"0",B859:B1057,"5 1 3 1 7 12 31111*")</f>
        <v>80000</v>
      </c>
      <c r="G858" s="31">
        <f>SUMIFS(G859:G1057,K859:K1057,"0",B859:B1057,"5 1 3 1 7 12 31111*")</f>
        <v>0</v>
      </c>
      <c r="H858" s="31">
        <f t="shared" si="16"/>
        <v>80000</v>
      </c>
      <c r="I858" s="31"/>
      <c r="K858" t="s">
        <v>14</v>
      </c>
    </row>
    <row r="859" spans="2:11" ht="13" x14ac:dyDescent="0.15">
      <c r="B859" s="29" t="s">
        <v>1167</v>
      </c>
      <c r="C859" s="29" t="s">
        <v>29</v>
      </c>
      <c r="D859" s="31">
        <f>SUMIFS(D860:D1057,K860:K1057,"0",B860:B1057,"5 1 3 1 7 12 31111 6*")-SUMIFS(E860:E1057,K860:K1057,"0",B860:B1057,"5 1 3 1 7 12 31111 6*")</f>
        <v>0</v>
      </c>
      <c r="E859"/>
      <c r="F859" s="31">
        <f>SUMIFS(F860:F1057,K860:K1057,"0",B860:B1057,"5 1 3 1 7 12 31111 6*")</f>
        <v>80000</v>
      </c>
      <c r="G859" s="31">
        <f>SUMIFS(G860:G1057,K860:K1057,"0",B860:B1057,"5 1 3 1 7 12 31111 6*")</f>
        <v>0</v>
      </c>
      <c r="H859" s="31">
        <f t="shared" si="16"/>
        <v>80000</v>
      </c>
      <c r="I859" s="31"/>
      <c r="K859" t="s">
        <v>14</v>
      </c>
    </row>
    <row r="860" spans="2:11" ht="13" x14ac:dyDescent="0.15">
      <c r="B860" s="29" t="s">
        <v>1168</v>
      </c>
      <c r="C860" s="29" t="s">
        <v>629</v>
      </c>
      <c r="D860" s="31">
        <f>SUMIFS(D861:D1057,K861:K1057,"0",B861:B1057,"5 1 3 1 7 12 31111 6 M78*")-SUMIFS(E861:E1057,K861:K1057,"0",B861:B1057,"5 1 3 1 7 12 31111 6 M78*")</f>
        <v>0</v>
      </c>
      <c r="E860"/>
      <c r="F860" s="31">
        <f>SUMIFS(F861:F1057,K861:K1057,"0",B861:B1057,"5 1 3 1 7 12 31111 6 M78*")</f>
        <v>80000</v>
      </c>
      <c r="G860" s="31">
        <f>SUMIFS(G861:G1057,K861:K1057,"0",B861:B1057,"5 1 3 1 7 12 31111 6 M78*")</f>
        <v>0</v>
      </c>
      <c r="H860" s="31">
        <f t="shared" si="16"/>
        <v>80000</v>
      </c>
      <c r="I860" s="31"/>
      <c r="K860" t="s">
        <v>14</v>
      </c>
    </row>
    <row r="861" spans="2:11" ht="13" x14ac:dyDescent="0.15">
      <c r="B861" s="29" t="s">
        <v>1169</v>
      </c>
      <c r="C861" s="29" t="s">
        <v>176</v>
      </c>
      <c r="D861" s="31">
        <f>SUMIFS(D862:D1057,K862:K1057,"0",B862:B1057,"5 1 3 1 7 12 31111 6 M78 15000*")-SUMIFS(E862:E1057,K862:K1057,"0",B862:B1057,"5 1 3 1 7 12 31111 6 M78 15000*")</f>
        <v>0</v>
      </c>
      <c r="E861"/>
      <c r="F861" s="31">
        <f>SUMIFS(F862:F1057,K862:K1057,"0",B862:B1057,"5 1 3 1 7 12 31111 6 M78 15000*")</f>
        <v>80000</v>
      </c>
      <c r="G861" s="31">
        <f>SUMIFS(G862:G1057,K862:K1057,"0",B862:B1057,"5 1 3 1 7 12 31111 6 M78 15000*")</f>
        <v>0</v>
      </c>
      <c r="H861" s="31">
        <f t="shared" si="16"/>
        <v>80000</v>
      </c>
      <c r="I861" s="31"/>
      <c r="K861" t="s">
        <v>14</v>
      </c>
    </row>
    <row r="862" spans="2:11" ht="13" x14ac:dyDescent="0.15">
      <c r="B862" s="29" t="s">
        <v>1170</v>
      </c>
      <c r="C862" s="29" t="s">
        <v>178</v>
      </c>
      <c r="D862" s="31">
        <f>SUMIFS(D863:D1057,K863:K1057,"0",B863:B1057,"5 1 3 1 7 12 31111 6 M78 15000 171*")-SUMIFS(E863:E1057,K863:K1057,"0",B863:B1057,"5 1 3 1 7 12 31111 6 M78 15000 171*")</f>
        <v>0</v>
      </c>
      <c r="E862"/>
      <c r="F862" s="31">
        <f>SUMIFS(F863:F1057,K863:K1057,"0",B863:B1057,"5 1 3 1 7 12 31111 6 M78 15000 171*")</f>
        <v>80000</v>
      </c>
      <c r="G862" s="31">
        <f>SUMIFS(G863:G1057,K863:K1057,"0",B863:B1057,"5 1 3 1 7 12 31111 6 M78 15000 171*")</f>
        <v>0</v>
      </c>
      <c r="H862" s="31">
        <f t="shared" si="16"/>
        <v>80000</v>
      </c>
      <c r="I862" s="31"/>
      <c r="K862" t="s">
        <v>14</v>
      </c>
    </row>
    <row r="863" spans="2:11" ht="13" x14ac:dyDescent="0.15">
      <c r="B863" s="29" t="s">
        <v>1171</v>
      </c>
      <c r="C863" s="29" t="s">
        <v>180</v>
      </c>
      <c r="D863" s="31">
        <f>SUMIFS(D864:D1057,K864:K1057,"0",B864:B1057,"5 1 3 1 7 12 31111 6 M78 15000 171 00I*")-SUMIFS(E864:E1057,K864:K1057,"0",B864:B1057,"5 1 3 1 7 12 31111 6 M78 15000 171 00I*")</f>
        <v>0</v>
      </c>
      <c r="E863"/>
      <c r="F863" s="31">
        <f>SUMIFS(F864:F1057,K864:K1057,"0",B864:B1057,"5 1 3 1 7 12 31111 6 M78 15000 171 00I*")</f>
        <v>80000</v>
      </c>
      <c r="G863" s="31">
        <f>SUMIFS(G864:G1057,K864:K1057,"0",B864:B1057,"5 1 3 1 7 12 31111 6 M78 15000 171 00I*")</f>
        <v>0</v>
      </c>
      <c r="H863" s="31">
        <f t="shared" si="16"/>
        <v>80000</v>
      </c>
      <c r="I863" s="31"/>
      <c r="K863" t="s">
        <v>14</v>
      </c>
    </row>
    <row r="864" spans="2:11" ht="13" x14ac:dyDescent="0.15">
      <c r="B864" s="29" t="s">
        <v>1172</v>
      </c>
      <c r="C864" s="29" t="s">
        <v>562</v>
      </c>
      <c r="D864" s="31">
        <f>SUMIFS(D865:D1057,K865:K1057,"0",B865:B1057,"5 1 3 1 7 12 31111 6 M78 15000 171 00I 001*")-SUMIFS(E865:E1057,K865:K1057,"0",B865:B1057,"5 1 3 1 7 12 31111 6 M78 15000 171 00I 001*")</f>
        <v>0</v>
      </c>
      <c r="E864"/>
      <c r="F864" s="31">
        <f>SUMIFS(F865:F1057,K865:K1057,"0",B865:B1057,"5 1 3 1 7 12 31111 6 M78 15000 171 00I 001*")</f>
        <v>80000</v>
      </c>
      <c r="G864" s="31">
        <f>SUMIFS(G865:G1057,K865:K1057,"0",B865:B1057,"5 1 3 1 7 12 31111 6 M78 15000 171 00I 001*")</f>
        <v>0</v>
      </c>
      <c r="H864" s="31">
        <f t="shared" si="16"/>
        <v>80000</v>
      </c>
      <c r="I864" s="31"/>
      <c r="K864" t="s">
        <v>14</v>
      </c>
    </row>
    <row r="865" spans="2:11" ht="13" x14ac:dyDescent="0.15">
      <c r="B865" s="29" t="s">
        <v>1173</v>
      </c>
      <c r="C865" s="29" t="s">
        <v>1174</v>
      </c>
      <c r="D865" s="31">
        <f>SUMIFS(D866:D1057,K866:K1057,"0",B866:B1057,"5 1 3 1 7 12 31111 6 M78 15000 171 00I 001 31701*")-SUMIFS(E866:E1057,K866:K1057,"0",B866:B1057,"5 1 3 1 7 12 31111 6 M78 15000 171 00I 001 31701*")</f>
        <v>0</v>
      </c>
      <c r="E865"/>
      <c r="F865" s="31">
        <f>SUMIFS(F866:F1057,K866:K1057,"0",B866:B1057,"5 1 3 1 7 12 31111 6 M78 15000 171 00I 001 31701*")</f>
        <v>80000</v>
      </c>
      <c r="G865" s="31">
        <f>SUMIFS(G866:G1057,K866:K1057,"0",B866:B1057,"5 1 3 1 7 12 31111 6 M78 15000 171 00I 001 31701*")</f>
        <v>0</v>
      </c>
      <c r="H865" s="31">
        <f t="shared" si="16"/>
        <v>80000</v>
      </c>
      <c r="I865" s="31"/>
      <c r="K865" t="s">
        <v>14</v>
      </c>
    </row>
    <row r="866" spans="2:11" ht="13" x14ac:dyDescent="0.15">
      <c r="B866" s="29" t="s">
        <v>1175</v>
      </c>
      <c r="C866" s="29" t="s">
        <v>186</v>
      </c>
      <c r="D866" s="31">
        <f>SUMIFS(D867:D1057,K867:K1057,"0",B867:B1057,"5 1 3 1 7 12 31111 6 M78 15000 171 00I 001 31701 025*")-SUMIFS(E867:E1057,K867:K1057,"0",B867:B1057,"5 1 3 1 7 12 31111 6 M78 15000 171 00I 001 31701 025*")</f>
        <v>0</v>
      </c>
      <c r="E866"/>
      <c r="F866" s="31">
        <f>SUMIFS(F867:F1057,K867:K1057,"0",B867:B1057,"5 1 3 1 7 12 31111 6 M78 15000 171 00I 001 31701 025*")</f>
        <v>80000</v>
      </c>
      <c r="G866" s="31">
        <f>SUMIFS(G867:G1057,K867:K1057,"0",B867:B1057,"5 1 3 1 7 12 31111 6 M78 15000 171 00I 001 31701 025*")</f>
        <v>0</v>
      </c>
      <c r="H866" s="31">
        <f t="shared" si="16"/>
        <v>80000</v>
      </c>
      <c r="I866" s="31"/>
      <c r="K866" t="s">
        <v>14</v>
      </c>
    </row>
    <row r="867" spans="2:11" ht="22" x14ac:dyDescent="0.15">
      <c r="B867" s="29" t="s">
        <v>1176</v>
      </c>
      <c r="C867" s="29" t="s">
        <v>188</v>
      </c>
      <c r="D867" s="31">
        <f>SUMIFS(D868:D1057,K868:K1057,"0",B868:B1057,"5 1 3 1 7 12 31111 6 M78 15000 171 00I 001 31701 025 2112000*")-SUMIFS(E868:E1057,K868:K1057,"0",B868:B1057,"5 1 3 1 7 12 31111 6 M78 15000 171 00I 001 31701 025 2112000*")</f>
        <v>0</v>
      </c>
      <c r="E867"/>
      <c r="F867" s="31">
        <f>SUMIFS(F868:F1057,K868:K1057,"0",B868:B1057,"5 1 3 1 7 12 31111 6 M78 15000 171 00I 001 31701 025 2112000*")</f>
        <v>80000</v>
      </c>
      <c r="G867" s="31">
        <f>SUMIFS(G868:G1057,K868:K1057,"0",B868:B1057,"5 1 3 1 7 12 31111 6 M78 15000 171 00I 001 31701 025 2112000*")</f>
        <v>0</v>
      </c>
      <c r="H867" s="31">
        <f t="shared" si="16"/>
        <v>80000</v>
      </c>
      <c r="I867" s="31"/>
      <c r="K867" t="s">
        <v>14</v>
      </c>
    </row>
    <row r="868" spans="2:11" ht="22" x14ac:dyDescent="0.15">
      <c r="B868" s="29" t="s">
        <v>1177</v>
      </c>
      <c r="C868" s="29" t="s">
        <v>294</v>
      </c>
      <c r="D868" s="31">
        <f>SUMIFS(D869:D1057,K869:K1057,"0",B869:B1057,"5 1 3 1 7 12 31111 6 M78 15000 171 00I 001 31701 025 2112000 2024*")-SUMIFS(E869:E1057,K869:K1057,"0",B869:B1057,"5 1 3 1 7 12 31111 6 M78 15000 171 00I 001 31701 025 2112000 2024*")</f>
        <v>0</v>
      </c>
      <c r="E868"/>
      <c r="F868" s="31">
        <f>SUMIFS(F869:F1057,K869:K1057,"0",B869:B1057,"5 1 3 1 7 12 31111 6 M78 15000 171 00I 001 31701 025 2112000 2024*")</f>
        <v>80000</v>
      </c>
      <c r="G868" s="31">
        <f>SUMIFS(G869:G1057,K869:K1057,"0",B869:B1057,"5 1 3 1 7 12 31111 6 M78 15000 171 00I 001 31701 025 2112000 2024*")</f>
        <v>0</v>
      </c>
      <c r="H868" s="31">
        <f t="shared" si="16"/>
        <v>80000</v>
      </c>
      <c r="I868" s="31"/>
      <c r="K868" t="s">
        <v>14</v>
      </c>
    </row>
    <row r="869" spans="2:11" ht="22" x14ac:dyDescent="0.15">
      <c r="B869" s="29" t="s">
        <v>1178</v>
      </c>
      <c r="C869" s="29" t="s">
        <v>192</v>
      </c>
      <c r="D869" s="31">
        <f>SUMIFS(D870:D1057,K870:K1057,"0",B870:B1057,"5 1 3 1 7 12 31111 6 M78 15000 171 00I 001 31701 025 2112000 2024 00000000*")-SUMIFS(E870:E1057,K870:K1057,"0",B870:B1057,"5 1 3 1 7 12 31111 6 M78 15000 171 00I 001 31701 025 2112000 2024 00000000*")</f>
        <v>0</v>
      </c>
      <c r="E869"/>
      <c r="F869" s="31">
        <f>SUMIFS(F870:F1057,K870:K1057,"0",B870:B1057,"5 1 3 1 7 12 31111 6 M78 15000 171 00I 001 31701 025 2112000 2024 00000000*")</f>
        <v>80000</v>
      </c>
      <c r="G869" s="31">
        <f>SUMIFS(G870:G1057,K870:K1057,"0",B870:B1057,"5 1 3 1 7 12 31111 6 M78 15000 171 00I 001 31701 025 2112000 2024 00000000*")</f>
        <v>0</v>
      </c>
      <c r="H869" s="31">
        <f t="shared" si="16"/>
        <v>80000</v>
      </c>
      <c r="I869" s="31"/>
      <c r="K869" t="s">
        <v>14</v>
      </c>
    </row>
    <row r="870" spans="2:11" ht="22" x14ac:dyDescent="0.15">
      <c r="B870" s="29" t="s">
        <v>1179</v>
      </c>
      <c r="C870" s="29" t="s">
        <v>9</v>
      </c>
      <c r="D870" s="31">
        <f>SUMIFS(D871:D1057,K871:K1057,"0",B871:B1057,"5 1 3 1 7 12 31111 6 M78 15000 171 00I 001 31701 025 2112000 2024 00000000 003*")-SUMIFS(E871:E1057,K871:K1057,"0",B871:B1057,"5 1 3 1 7 12 31111 6 M78 15000 171 00I 001 31701 025 2112000 2024 00000000 003*")</f>
        <v>0</v>
      </c>
      <c r="E870"/>
      <c r="F870" s="31">
        <f>SUMIFS(F871:F1057,K871:K1057,"0",B871:B1057,"5 1 3 1 7 12 31111 6 M78 15000 171 00I 001 31701 025 2112000 2024 00000000 003*")</f>
        <v>80000</v>
      </c>
      <c r="G870" s="31">
        <f>SUMIFS(G871:G1057,K871:K1057,"0",B871:B1057,"5 1 3 1 7 12 31111 6 M78 15000 171 00I 001 31701 025 2112000 2024 00000000 003*")</f>
        <v>0</v>
      </c>
      <c r="H870" s="31">
        <f t="shared" si="16"/>
        <v>80000</v>
      </c>
      <c r="I870" s="31"/>
      <c r="K870" t="s">
        <v>14</v>
      </c>
    </row>
    <row r="871" spans="2:11" ht="22" x14ac:dyDescent="0.15">
      <c r="B871" s="27" t="s">
        <v>1180</v>
      </c>
      <c r="C871" s="27" t="s">
        <v>1181</v>
      </c>
      <c r="D871" s="30">
        <v>0</v>
      </c>
      <c r="E871" s="30"/>
      <c r="F871" s="30">
        <v>80000</v>
      </c>
      <c r="G871" s="30">
        <v>0</v>
      </c>
      <c r="H871" s="30">
        <f t="shared" si="16"/>
        <v>80000</v>
      </c>
      <c r="I871" s="30"/>
      <c r="K871" t="s">
        <v>38</v>
      </c>
    </row>
    <row r="872" spans="2:11" ht="13" x14ac:dyDescent="0.15">
      <c r="B872" s="29" t="s">
        <v>1182</v>
      </c>
      <c r="C872" s="29" t="s">
        <v>1183</v>
      </c>
      <c r="D872" s="31">
        <f>SUMIFS(D873:D1057,K873:K1057,"0",B873:B1057,"5 1 3 3*")-SUMIFS(E873:E1057,K873:K1057,"0",B873:B1057,"5 1 3 3*")</f>
        <v>0</v>
      </c>
      <c r="E872"/>
      <c r="F872" s="31">
        <f>SUMIFS(F873:F1057,K873:K1057,"0",B873:B1057,"5 1 3 3*")</f>
        <v>160480</v>
      </c>
      <c r="G872" s="31">
        <f>SUMIFS(G873:G1057,K873:K1057,"0",B873:B1057,"5 1 3 3*")</f>
        <v>0</v>
      </c>
      <c r="H872" s="31">
        <f t="shared" si="16"/>
        <v>160480</v>
      </c>
      <c r="I872" s="31"/>
      <c r="K872" t="s">
        <v>14</v>
      </c>
    </row>
    <row r="873" spans="2:11" ht="13" x14ac:dyDescent="0.15">
      <c r="B873" s="29" t="s">
        <v>1184</v>
      </c>
      <c r="C873" s="29" t="s">
        <v>1185</v>
      </c>
      <c r="D873" s="31">
        <f>SUMIFS(D874:D1057,K874:K1057,"0",B874:B1057,"5 1 3 3 4*")-SUMIFS(E874:E1057,K874:K1057,"0",B874:B1057,"5 1 3 3 4*")</f>
        <v>0</v>
      </c>
      <c r="E873"/>
      <c r="F873" s="31">
        <f>SUMIFS(F874:F1057,K874:K1057,"0",B874:B1057,"5 1 3 3 4*")</f>
        <v>80000</v>
      </c>
      <c r="G873" s="31">
        <f>SUMIFS(G874:G1057,K874:K1057,"0",B874:B1057,"5 1 3 3 4*")</f>
        <v>0</v>
      </c>
      <c r="H873" s="31">
        <f t="shared" si="16"/>
        <v>80000</v>
      </c>
      <c r="I873" s="31"/>
      <c r="K873" t="s">
        <v>14</v>
      </c>
    </row>
    <row r="874" spans="2:11" ht="13" x14ac:dyDescent="0.15">
      <c r="B874" s="29" t="s">
        <v>1186</v>
      </c>
      <c r="C874" s="29" t="s">
        <v>25</v>
      </c>
      <c r="D874" s="31">
        <f>SUMIFS(D875:D1057,K875:K1057,"0",B875:B1057,"5 1 3 3 4 12*")-SUMIFS(E875:E1057,K875:K1057,"0",B875:B1057,"5 1 3 3 4 12*")</f>
        <v>0</v>
      </c>
      <c r="E874"/>
      <c r="F874" s="31">
        <f>SUMIFS(F875:F1057,K875:K1057,"0",B875:B1057,"5 1 3 3 4 12*")</f>
        <v>80000</v>
      </c>
      <c r="G874" s="31">
        <f>SUMIFS(G875:G1057,K875:K1057,"0",B875:B1057,"5 1 3 3 4 12*")</f>
        <v>0</v>
      </c>
      <c r="H874" s="31">
        <f t="shared" si="16"/>
        <v>80000</v>
      </c>
      <c r="I874" s="31"/>
      <c r="K874" t="s">
        <v>14</v>
      </c>
    </row>
    <row r="875" spans="2:11" ht="13" x14ac:dyDescent="0.15">
      <c r="B875" s="29" t="s">
        <v>1187</v>
      </c>
      <c r="C875" s="29" t="s">
        <v>27</v>
      </c>
      <c r="D875" s="31">
        <f>SUMIFS(D876:D1057,K876:K1057,"0",B876:B1057,"5 1 3 3 4 12 31111*")-SUMIFS(E876:E1057,K876:K1057,"0",B876:B1057,"5 1 3 3 4 12 31111*")</f>
        <v>0</v>
      </c>
      <c r="E875"/>
      <c r="F875" s="31">
        <f>SUMIFS(F876:F1057,K876:K1057,"0",B876:B1057,"5 1 3 3 4 12 31111*")</f>
        <v>80000</v>
      </c>
      <c r="G875" s="31">
        <f>SUMIFS(G876:G1057,K876:K1057,"0",B876:B1057,"5 1 3 3 4 12 31111*")</f>
        <v>0</v>
      </c>
      <c r="H875" s="31">
        <f t="shared" si="16"/>
        <v>80000</v>
      </c>
      <c r="I875" s="31"/>
      <c r="K875" t="s">
        <v>14</v>
      </c>
    </row>
    <row r="876" spans="2:11" ht="13" x14ac:dyDescent="0.15">
      <c r="B876" s="29" t="s">
        <v>1188</v>
      </c>
      <c r="C876" s="29" t="s">
        <v>29</v>
      </c>
      <c r="D876" s="31">
        <f>SUMIFS(D877:D1057,K877:K1057,"0",B877:B1057,"5 1 3 3 4 12 31111 6*")-SUMIFS(E877:E1057,K877:K1057,"0",B877:B1057,"5 1 3 3 4 12 31111 6*")</f>
        <v>0</v>
      </c>
      <c r="E876"/>
      <c r="F876" s="31">
        <f>SUMIFS(F877:F1057,K877:K1057,"0",B877:B1057,"5 1 3 3 4 12 31111 6*")</f>
        <v>80000</v>
      </c>
      <c r="G876" s="31">
        <f>SUMIFS(G877:G1057,K877:K1057,"0",B877:B1057,"5 1 3 3 4 12 31111 6*")</f>
        <v>0</v>
      </c>
      <c r="H876" s="31">
        <f t="shared" si="16"/>
        <v>80000</v>
      </c>
      <c r="I876" s="31"/>
      <c r="K876" t="s">
        <v>14</v>
      </c>
    </row>
    <row r="877" spans="2:11" ht="13" x14ac:dyDescent="0.15">
      <c r="B877" s="29" t="s">
        <v>1189</v>
      </c>
      <c r="C877" s="29" t="s">
        <v>629</v>
      </c>
      <c r="D877" s="31">
        <f>SUMIFS(D878:D1057,K878:K1057,"0",B878:B1057,"5 1 3 3 4 12 31111 6 M78*")-SUMIFS(E878:E1057,K878:K1057,"0",B878:B1057,"5 1 3 3 4 12 31111 6 M78*")</f>
        <v>0</v>
      </c>
      <c r="E877"/>
      <c r="F877" s="31">
        <f>SUMIFS(F878:F1057,K878:K1057,"0",B878:B1057,"5 1 3 3 4 12 31111 6 M78*")</f>
        <v>80000</v>
      </c>
      <c r="G877" s="31">
        <f>SUMIFS(G878:G1057,K878:K1057,"0",B878:B1057,"5 1 3 3 4 12 31111 6 M78*")</f>
        <v>0</v>
      </c>
      <c r="H877" s="31">
        <f t="shared" si="16"/>
        <v>80000</v>
      </c>
      <c r="I877" s="31"/>
      <c r="K877" t="s">
        <v>14</v>
      </c>
    </row>
    <row r="878" spans="2:11" ht="13" x14ac:dyDescent="0.15">
      <c r="B878" s="29" t="s">
        <v>1190</v>
      </c>
      <c r="C878" s="29" t="s">
        <v>176</v>
      </c>
      <c r="D878" s="31">
        <f>SUMIFS(D879:D1057,K879:K1057,"0",B879:B1057,"5 1 3 3 4 12 31111 6 M78 15000*")-SUMIFS(E879:E1057,K879:K1057,"0",B879:B1057,"5 1 3 3 4 12 31111 6 M78 15000*")</f>
        <v>0</v>
      </c>
      <c r="E878"/>
      <c r="F878" s="31">
        <f>SUMIFS(F879:F1057,K879:K1057,"0",B879:B1057,"5 1 3 3 4 12 31111 6 M78 15000*")</f>
        <v>80000</v>
      </c>
      <c r="G878" s="31">
        <f>SUMIFS(G879:G1057,K879:K1057,"0",B879:B1057,"5 1 3 3 4 12 31111 6 M78 15000*")</f>
        <v>0</v>
      </c>
      <c r="H878" s="31">
        <f t="shared" si="16"/>
        <v>80000</v>
      </c>
      <c r="I878" s="31"/>
      <c r="K878" t="s">
        <v>14</v>
      </c>
    </row>
    <row r="879" spans="2:11" ht="13" x14ac:dyDescent="0.15">
      <c r="B879" s="29" t="s">
        <v>1191</v>
      </c>
      <c r="C879" s="29" t="s">
        <v>178</v>
      </c>
      <c r="D879" s="31">
        <f>SUMIFS(D880:D1057,K880:K1057,"0",B880:B1057,"5 1 3 3 4 12 31111 6 M78 15000 171*")-SUMIFS(E880:E1057,K880:K1057,"0",B880:B1057,"5 1 3 3 4 12 31111 6 M78 15000 171*")</f>
        <v>0</v>
      </c>
      <c r="E879"/>
      <c r="F879" s="31">
        <f>SUMIFS(F880:F1057,K880:K1057,"0",B880:B1057,"5 1 3 3 4 12 31111 6 M78 15000 171*")</f>
        <v>80000</v>
      </c>
      <c r="G879" s="31">
        <f>SUMIFS(G880:G1057,K880:K1057,"0",B880:B1057,"5 1 3 3 4 12 31111 6 M78 15000 171*")</f>
        <v>0</v>
      </c>
      <c r="H879" s="31">
        <f t="shared" si="16"/>
        <v>80000</v>
      </c>
      <c r="I879" s="31"/>
      <c r="K879" t="s">
        <v>14</v>
      </c>
    </row>
    <row r="880" spans="2:11" ht="13" x14ac:dyDescent="0.15">
      <c r="B880" s="29" t="s">
        <v>1192</v>
      </c>
      <c r="C880" s="29" t="s">
        <v>180</v>
      </c>
      <c r="D880" s="31">
        <f>SUMIFS(D881:D1057,K881:K1057,"0",B881:B1057,"5 1 3 3 4 12 31111 6 M78 15000 171 00I*")-SUMIFS(E881:E1057,K881:K1057,"0",B881:B1057,"5 1 3 3 4 12 31111 6 M78 15000 171 00I*")</f>
        <v>0</v>
      </c>
      <c r="E880"/>
      <c r="F880" s="31">
        <f>SUMIFS(F881:F1057,K881:K1057,"0",B881:B1057,"5 1 3 3 4 12 31111 6 M78 15000 171 00I*")</f>
        <v>80000</v>
      </c>
      <c r="G880" s="31">
        <f>SUMIFS(G881:G1057,K881:K1057,"0",B881:B1057,"5 1 3 3 4 12 31111 6 M78 15000 171 00I*")</f>
        <v>0</v>
      </c>
      <c r="H880" s="31">
        <f t="shared" si="16"/>
        <v>80000</v>
      </c>
      <c r="I880" s="31"/>
      <c r="K880" t="s">
        <v>14</v>
      </c>
    </row>
    <row r="881" spans="2:11" ht="13" x14ac:dyDescent="0.15">
      <c r="B881" s="29" t="s">
        <v>1193</v>
      </c>
      <c r="C881" s="29" t="s">
        <v>562</v>
      </c>
      <c r="D881" s="31">
        <f>SUMIFS(D882:D1057,K882:K1057,"0",B882:B1057,"5 1 3 3 4 12 31111 6 M78 15000 171 00I 001*")-SUMIFS(E882:E1057,K882:K1057,"0",B882:B1057,"5 1 3 3 4 12 31111 6 M78 15000 171 00I 001*")</f>
        <v>0</v>
      </c>
      <c r="E881"/>
      <c r="F881" s="31">
        <f>SUMIFS(F882:F1057,K882:K1057,"0",B882:B1057,"5 1 3 3 4 12 31111 6 M78 15000 171 00I 001*")</f>
        <v>80000</v>
      </c>
      <c r="G881" s="31">
        <f>SUMIFS(G882:G1057,K882:K1057,"0",B882:B1057,"5 1 3 3 4 12 31111 6 M78 15000 171 00I 001*")</f>
        <v>0</v>
      </c>
      <c r="H881" s="31">
        <f t="shared" si="16"/>
        <v>80000</v>
      </c>
      <c r="I881" s="31"/>
      <c r="K881" t="s">
        <v>14</v>
      </c>
    </row>
    <row r="882" spans="2:11" ht="13" x14ac:dyDescent="0.15">
      <c r="B882" s="29" t="s">
        <v>1194</v>
      </c>
      <c r="C882" s="29" t="s">
        <v>1195</v>
      </c>
      <c r="D882" s="31">
        <f>SUMIFS(D883:D1057,K883:K1057,"0",B883:B1057,"5 1 3 3 4 12 31111 6 M78 15000 171 00I 001 33401*")-SUMIFS(E883:E1057,K883:K1057,"0",B883:B1057,"5 1 3 3 4 12 31111 6 M78 15000 171 00I 001 33401*")</f>
        <v>0</v>
      </c>
      <c r="E882"/>
      <c r="F882" s="31">
        <f>SUMIFS(F883:F1057,K883:K1057,"0",B883:B1057,"5 1 3 3 4 12 31111 6 M78 15000 171 00I 001 33401*")</f>
        <v>80000</v>
      </c>
      <c r="G882" s="31">
        <f>SUMIFS(G883:G1057,K883:K1057,"0",B883:B1057,"5 1 3 3 4 12 31111 6 M78 15000 171 00I 001 33401*")</f>
        <v>0</v>
      </c>
      <c r="H882" s="31">
        <f t="shared" si="16"/>
        <v>80000</v>
      </c>
      <c r="I882" s="31"/>
      <c r="K882" t="s">
        <v>14</v>
      </c>
    </row>
    <row r="883" spans="2:11" ht="13" x14ac:dyDescent="0.15">
      <c r="B883" s="29" t="s">
        <v>1196</v>
      </c>
      <c r="C883" s="29" t="s">
        <v>1197</v>
      </c>
      <c r="D883" s="31">
        <f>SUMIFS(D884:D1057,K884:K1057,"0",B884:B1057,"5 1 3 3 4 12 31111 6 M78 15000 171 00I 001 33401 025*")-SUMIFS(E884:E1057,K884:K1057,"0",B884:B1057,"5 1 3 3 4 12 31111 6 M78 15000 171 00I 001 33401 025*")</f>
        <v>0</v>
      </c>
      <c r="E883"/>
      <c r="F883" s="31">
        <f>SUMIFS(F884:F1057,K884:K1057,"0",B884:B1057,"5 1 3 3 4 12 31111 6 M78 15000 171 00I 001 33401 025*")</f>
        <v>80000</v>
      </c>
      <c r="G883" s="31">
        <f>SUMIFS(G884:G1057,K884:K1057,"0",B884:B1057,"5 1 3 3 4 12 31111 6 M78 15000 171 00I 001 33401 025*")</f>
        <v>0</v>
      </c>
      <c r="H883" s="31">
        <f t="shared" si="16"/>
        <v>80000</v>
      </c>
      <c r="I883" s="31"/>
      <c r="K883" t="s">
        <v>14</v>
      </c>
    </row>
    <row r="884" spans="2:11" ht="22" x14ac:dyDescent="0.15">
      <c r="B884" s="29" t="s">
        <v>1198</v>
      </c>
      <c r="C884" s="29" t="s">
        <v>188</v>
      </c>
      <c r="D884" s="31">
        <f>SUMIFS(D885:D1057,K885:K1057,"0",B885:B1057,"5 1 3 3 4 12 31111 6 M78 15000 171 00I 001 33401 025 2112000*")-SUMIFS(E885:E1057,K885:K1057,"0",B885:B1057,"5 1 3 3 4 12 31111 6 M78 15000 171 00I 001 33401 025 2112000*")</f>
        <v>0</v>
      </c>
      <c r="E884"/>
      <c r="F884" s="31">
        <f>SUMIFS(F885:F1057,K885:K1057,"0",B885:B1057,"5 1 3 3 4 12 31111 6 M78 15000 171 00I 001 33401 025 2112000*")</f>
        <v>80000</v>
      </c>
      <c r="G884" s="31">
        <f>SUMIFS(G885:G1057,K885:K1057,"0",B885:B1057,"5 1 3 3 4 12 31111 6 M78 15000 171 00I 001 33401 025 2112000*")</f>
        <v>0</v>
      </c>
      <c r="H884" s="31">
        <f t="shared" si="16"/>
        <v>80000</v>
      </c>
      <c r="I884" s="31"/>
      <c r="K884" t="s">
        <v>14</v>
      </c>
    </row>
    <row r="885" spans="2:11" ht="22" x14ac:dyDescent="0.15">
      <c r="B885" s="29" t="s">
        <v>1199</v>
      </c>
      <c r="C885" s="29" t="s">
        <v>294</v>
      </c>
      <c r="D885" s="31">
        <f>SUMIFS(D886:D1057,K886:K1057,"0",B886:B1057,"5 1 3 3 4 12 31111 6 M78 15000 171 00I 001 33401 025 2112000 2024*")-SUMIFS(E886:E1057,K886:K1057,"0",B886:B1057,"5 1 3 3 4 12 31111 6 M78 15000 171 00I 001 33401 025 2112000 2024*")</f>
        <v>0</v>
      </c>
      <c r="E885"/>
      <c r="F885" s="31">
        <f>SUMIFS(F886:F1057,K886:K1057,"0",B886:B1057,"5 1 3 3 4 12 31111 6 M78 15000 171 00I 001 33401 025 2112000 2024*")</f>
        <v>80000</v>
      </c>
      <c r="G885" s="31">
        <f>SUMIFS(G886:G1057,K886:K1057,"0",B886:B1057,"5 1 3 3 4 12 31111 6 M78 15000 171 00I 001 33401 025 2112000 2024*")</f>
        <v>0</v>
      </c>
      <c r="H885" s="31">
        <f t="shared" si="16"/>
        <v>80000</v>
      </c>
      <c r="I885" s="31"/>
      <c r="K885" t="s">
        <v>14</v>
      </c>
    </row>
    <row r="886" spans="2:11" ht="22" x14ac:dyDescent="0.15">
      <c r="B886" s="29" t="s">
        <v>1200</v>
      </c>
      <c r="C886" s="29" t="s">
        <v>192</v>
      </c>
      <c r="D886" s="31">
        <f>SUMIFS(D887:D1057,K887:K1057,"0",B887:B1057,"5 1 3 3 4 12 31111 6 M78 15000 171 00I 001 33401 025 2112000 2024 00000000*")-SUMIFS(E887:E1057,K887:K1057,"0",B887:B1057,"5 1 3 3 4 12 31111 6 M78 15000 171 00I 001 33401 025 2112000 2024 00000000*")</f>
        <v>0</v>
      </c>
      <c r="E886"/>
      <c r="F886" s="31">
        <f>SUMIFS(F887:F1057,K887:K1057,"0",B887:B1057,"5 1 3 3 4 12 31111 6 M78 15000 171 00I 001 33401 025 2112000 2024 00000000*")</f>
        <v>80000</v>
      </c>
      <c r="G886" s="31">
        <f>SUMIFS(G887:G1057,K887:K1057,"0",B887:B1057,"5 1 3 3 4 12 31111 6 M78 15000 171 00I 001 33401 025 2112000 2024 00000000*")</f>
        <v>0</v>
      </c>
      <c r="H886" s="31">
        <f t="shared" si="16"/>
        <v>80000</v>
      </c>
      <c r="I886" s="31"/>
      <c r="K886" t="s">
        <v>14</v>
      </c>
    </row>
    <row r="887" spans="2:11" ht="22" x14ac:dyDescent="0.15">
      <c r="B887" s="29" t="s">
        <v>1201</v>
      </c>
      <c r="C887" s="29" t="s">
        <v>1058</v>
      </c>
      <c r="D887" s="31">
        <f>SUMIFS(D888:D1057,K888:K1057,"0",B888:B1057,"5 1 3 3 4 12 31111 6 M78 15000 171 00I 001 33401 025 2112000 2024 00000000 003*")-SUMIFS(E888:E1057,K888:K1057,"0",B888:B1057,"5 1 3 3 4 12 31111 6 M78 15000 171 00I 001 33401 025 2112000 2024 00000000 003*")</f>
        <v>0</v>
      </c>
      <c r="E887"/>
      <c r="F887" s="31">
        <f>SUMIFS(F888:F1057,K888:K1057,"0",B888:B1057,"5 1 3 3 4 12 31111 6 M78 15000 171 00I 001 33401 025 2112000 2024 00000000 003*")</f>
        <v>80000</v>
      </c>
      <c r="G887" s="31">
        <f>SUMIFS(G888:G1057,K888:K1057,"0",B888:B1057,"5 1 3 3 4 12 31111 6 M78 15000 171 00I 001 33401 025 2112000 2024 00000000 003*")</f>
        <v>0</v>
      </c>
      <c r="H887" s="31">
        <f t="shared" si="16"/>
        <v>80000</v>
      </c>
      <c r="I887" s="31"/>
      <c r="K887" t="s">
        <v>14</v>
      </c>
    </row>
    <row r="888" spans="2:11" ht="22" x14ac:dyDescent="0.15">
      <c r="B888" s="27" t="s">
        <v>1202</v>
      </c>
      <c r="C888" s="27" t="s">
        <v>1203</v>
      </c>
      <c r="D888" s="30">
        <v>0</v>
      </c>
      <c r="E888" s="30"/>
      <c r="F888" s="30">
        <v>80000</v>
      </c>
      <c r="G888" s="30">
        <v>0</v>
      </c>
      <c r="H888" s="30">
        <f t="shared" si="16"/>
        <v>80000</v>
      </c>
      <c r="I888" s="30"/>
      <c r="K888" t="s">
        <v>38</v>
      </c>
    </row>
    <row r="889" spans="2:11" ht="22" x14ac:dyDescent="0.15">
      <c r="B889" s="29" t="s">
        <v>1204</v>
      </c>
      <c r="C889" s="29" t="s">
        <v>1205</v>
      </c>
      <c r="D889" s="31">
        <f>SUMIFS(D890:D1057,K890:K1057,"0",B890:B1057,"5 1 3 3 6*")-SUMIFS(E890:E1057,K890:K1057,"0",B890:B1057,"5 1 3 3 6*")</f>
        <v>0</v>
      </c>
      <c r="E889"/>
      <c r="F889" s="31">
        <f>SUMIFS(F890:F1057,K890:K1057,"0",B890:B1057,"5 1 3 3 6*")</f>
        <v>80480</v>
      </c>
      <c r="G889" s="31">
        <f>SUMIFS(G890:G1057,K890:K1057,"0",B890:B1057,"5 1 3 3 6*")</f>
        <v>0</v>
      </c>
      <c r="H889" s="31">
        <f t="shared" si="16"/>
        <v>80480</v>
      </c>
      <c r="I889" s="31"/>
      <c r="K889" t="s">
        <v>14</v>
      </c>
    </row>
    <row r="890" spans="2:11" ht="13" x14ac:dyDescent="0.15">
      <c r="B890" s="29" t="s">
        <v>1206</v>
      </c>
      <c r="C890" s="29" t="s">
        <v>25</v>
      </c>
      <c r="D890" s="31">
        <f>SUMIFS(D891:D1057,K891:K1057,"0",B891:B1057,"5 1 3 3 6 12*")-SUMIFS(E891:E1057,K891:K1057,"0",B891:B1057,"5 1 3 3 6 12*")</f>
        <v>0</v>
      </c>
      <c r="E890"/>
      <c r="F890" s="31">
        <f>SUMIFS(F891:F1057,K891:K1057,"0",B891:B1057,"5 1 3 3 6 12*")</f>
        <v>80480</v>
      </c>
      <c r="G890" s="31">
        <f>SUMIFS(G891:G1057,K891:K1057,"0",B891:B1057,"5 1 3 3 6 12*")</f>
        <v>0</v>
      </c>
      <c r="H890" s="31">
        <f t="shared" si="16"/>
        <v>80480</v>
      </c>
      <c r="I890" s="31"/>
      <c r="K890" t="s">
        <v>14</v>
      </c>
    </row>
    <row r="891" spans="2:11" ht="13" x14ac:dyDescent="0.15">
      <c r="B891" s="29" t="s">
        <v>1207</v>
      </c>
      <c r="C891" s="29" t="s">
        <v>27</v>
      </c>
      <c r="D891" s="31">
        <f>SUMIFS(D892:D1057,K892:K1057,"0",B892:B1057,"5 1 3 3 6 12 31111*")-SUMIFS(E892:E1057,K892:K1057,"0",B892:B1057,"5 1 3 3 6 12 31111*")</f>
        <v>0</v>
      </c>
      <c r="E891"/>
      <c r="F891" s="31">
        <f>SUMIFS(F892:F1057,K892:K1057,"0",B892:B1057,"5 1 3 3 6 12 31111*")</f>
        <v>80480</v>
      </c>
      <c r="G891" s="31">
        <f>SUMIFS(G892:G1057,K892:K1057,"0",B892:B1057,"5 1 3 3 6 12 31111*")</f>
        <v>0</v>
      </c>
      <c r="H891" s="31">
        <f t="shared" si="16"/>
        <v>80480</v>
      </c>
      <c r="I891" s="31"/>
      <c r="K891" t="s">
        <v>14</v>
      </c>
    </row>
    <row r="892" spans="2:11" ht="13" x14ac:dyDescent="0.15">
      <c r="B892" s="29" t="s">
        <v>1208</v>
      </c>
      <c r="C892" s="29" t="s">
        <v>29</v>
      </c>
      <c r="D892" s="31">
        <f>SUMIFS(D893:D1057,K893:K1057,"0",B893:B1057,"5 1 3 3 6 12 31111 6*")-SUMIFS(E893:E1057,K893:K1057,"0",B893:B1057,"5 1 3 3 6 12 31111 6*")</f>
        <v>0</v>
      </c>
      <c r="E892"/>
      <c r="F892" s="31">
        <f>SUMIFS(F893:F1057,K893:K1057,"0",B893:B1057,"5 1 3 3 6 12 31111 6*")</f>
        <v>80480</v>
      </c>
      <c r="G892" s="31">
        <f>SUMIFS(G893:G1057,K893:K1057,"0",B893:B1057,"5 1 3 3 6 12 31111 6*")</f>
        <v>0</v>
      </c>
      <c r="H892" s="31">
        <f t="shared" si="16"/>
        <v>80480</v>
      </c>
      <c r="I892" s="31"/>
      <c r="K892" t="s">
        <v>14</v>
      </c>
    </row>
    <row r="893" spans="2:11" ht="13" x14ac:dyDescent="0.15">
      <c r="B893" s="29" t="s">
        <v>1209</v>
      </c>
      <c r="C893" s="29" t="s">
        <v>629</v>
      </c>
      <c r="D893" s="31">
        <f>SUMIFS(D894:D1057,K894:K1057,"0",B894:B1057,"5 1 3 3 6 12 31111 6 M78*")-SUMIFS(E894:E1057,K894:K1057,"0",B894:B1057,"5 1 3 3 6 12 31111 6 M78*")</f>
        <v>0</v>
      </c>
      <c r="E893"/>
      <c r="F893" s="31">
        <f>SUMIFS(F894:F1057,K894:K1057,"0",B894:B1057,"5 1 3 3 6 12 31111 6 M78*")</f>
        <v>80480</v>
      </c>
      <c r="G893" s="31">
        <f>SUMIFS(G894:G1057,K894:K1057,"0",B894:B1057,"5 1 3 3 6 12 31111 6 M78*")</f>
        <v>0</v>
      </c>
      <c r="H893" s="31">
        <f t="shared" si="16"/>
        <v>80480</v>
      </c>
      <c r="I893" s="31"/>
      <c r="K893" t="s">
        <v>14</v>
      </c>
    </row>
    <row r="894" spans="2:11" ht="13" x14ac:dyDescent="0.15">
      <c r="B894" s="29" t="s">
        <v>1210</v>
      </c>
      <c r="C894" s="29" t="s">
        <v>176</v>
      </c>
      <c r="D894" s="31">
        <f>SUMIFS(D895:D1057,K895:K1057,"0",B895:B1057,"5 1 3 3 6 12 31111 6 M78 15000*")-SUMIFS(E895:E1057,K895:K1057,"0",B895:B1057,"5 1 3 3 6 12 31111 6 M78 15000*")</f>
        <v>0</v>
      </c>
      <c r="E894"/>
      <c r="F894" s="31">
        <f>SUMIFS(F895:F1057,K895:K1057,"0",B895:B1057,"5 1 3 3 6 12 31111 6 M78 15000*")</f>
        <v>80480</v>
      </c>
      <c r="G894" s="31">
        <f>SUMIFS(G895:G1057,K895:K1057,"0",B895:B1057,"5 1 3 3 6 12 31111 6 M78 15000*")</f>
        <v>0</v>
      </c>
      <c r="H894" s="31">
        <f t="shared" si="16"/>
        <v>80480</v>
      </c>
      <c r="I894" s="31"/>
      <c r="K894" t="s">
        <v>14</v>
      </c>
    </row>
    <row r="895" spans="2:11" ht="13" x14ac:dyDescent="0.15">
      <c r="B895" s="29" t="s">
        <v>1211</v>
      </c>
      <c r="C895" s="29" t="s">
        <v>178</v>
      </c>
      <c r="D895" s="31">
        <f>SUMIFS(D896:D1057,K896:K1057,"0",B896:B1057,"5 1 3 3 6 12 31111 6 M78 15000 171*")-SUMIFS(E896:E1057,K896:K1057,"0",B896:B1057,"5 1 3 3 6 12 31111 6 M78 15000 171*")</f>
        <v>0</v>
      </c>
      <c r="E895"/>
      <c r="F895" s="31">
        <f>SUMIFS(F896:F1057,K896:K1057,"0",B896:B1057,"5 1 3 3 6 12 31111 6 M78 15000 171*")</f>
        <v>80480</v>
      </c>
      <c r="G895" s="31">
        <f>SUMIFS(G896:G1057,K896:K1057,"0",B896:B1057,"5 1 3 3 6 12 31111 6 M78 15000 171*")</f>
        <v>0</v>
      </c>
      <c r="H895" s="31">
        <f t="shared" si="16"/>
        <v>80480</v>
      </c>
      <c r="I895" s="31"/>
      <c r="K895" t="s">
        <v>14</v>
      </c>
    </row>
    <row r="896" spans="2:11" ht="13" x14ac:dyDescent="0.15">
      <c r="B896" s="29" t="s">
        <v>1212</v>
      </c>
      <c r="C896" s="29" t="s">
        <v>180</v>
      </c>
      <c r="D896" s="31">
        <f>SUMIFS(D897:D1057,K897:K1057,"0",B897:B1057,"5 1 3 3 6 12 31111 6 M78 15000 171 00I*")-SUMIFS(E897:E1057,K897:K1057,"0",B897:B1057,"5 1 3 3 6 12 31111 6 M78 15000 171 00I*")</f>
        <v>0</v>
      </c>
      <c r="E896"/>
      <c r="F896" s="31">
        <f>SUMIFS(F897:F1057,K897:K1057,"0",B897:B1057,"5 1 3 3 6 12 31111 6 M78 15000 171 00I*")</f>
        <v>80480</v>
      </c>
      <c r="G896" s="31">
        <f>SUMIFS(G897:G1057,K897:K1057,"0",B897:B1057,"5 1 3 3 6 12 31111 6 M78 15000 171 00I*")</f>
        <v>0</v>
      </c>
      <c r="H896" s="31">
        <f t="shared" si="16"/>
        <v>80480</v>
      </c>
      <c r="I896" s="31"/>
      <c r="K896" t="s">
        <v>14</v>
      </c>
    </row>
    <row r="897" spans="2:11" ht="13" x14ac:dyDescent="0.15">
      <c r="B897" s="29" t="s">
        <v>1213</v>
      </c>
      <c r="C897" s="29" t="s">
        <v>562</v>
      </c>
      <c r="D897" s="31">
        <f>SUMIFS(D898:D1057,K898:K1057,"0",B898:B1057,"5 1 3 3 6 12 31111 6 M78 15000 171 00I 001*")-SUMIFS(E898:E1057,K898:K1057,"0",B898:B1057,"5 1 3 3 6 12 31111 6 M78 15000 171 00I 001*")</f>
        <v>0</v>
      </c>
      <c r="E897"/>
      <c r="F897" s="31">
        <f>SUMIFS(F898:F1057,K898:K1057,"0",B898:B1057,"5 1 3 3 6 12 31111 6 M78 15000 171 00I 001*")</f>
        <v>80480</v>
      </c>
      <c r="G897" s="31">
        <f>SUMIFS(G898:G1057,K898:K1057,"0",B898:B1057,"5 1 3 3 6 12 31111 6 M78 15000 171 00I 001*")</f>
        <v>0</v>
      </c>
      <c r="H897" s="31">
        <f t="shared" si="16"/>
        <v>80480</v>
      </c>
      <c r="I897" s="31"/>
      <c r="K897" t="s">
        <v>14</v>
      </c>
    </row>
    <row r="898" spans="2:11" ht="22" x14ac:dyDescent="0.15">
      <c r="B898" s="29" t="s">
        <v>1214</v>
      </c>
      <c r="C898" s="29" t="s">
        <v>1215</v>
      </c>
      <c r="D898" s="31">
        <f>SUMIFS(D899:D1057,K899:K1057,"0",B899:B1057,"5 1 3 3 6 12 31111 6 M78 15000 171 00I 001 33604*")-SUMIFS(E899:E1057,K899:K1057,"0",B899:B1057,"5 1 3 3 6 12 31111 6 M78 15000 171 00I 001 33604*")</f>
        <v>0</v>
      </c>
      <c r="E898"/>
      <c r="F898" s="31">
        <f>SUMIFS(F899:F1057,K899:K1057,"0",B899:B1057,"5 1 3 3 6 12 31111 6 M78 15000 171 00I 001 33604*")</f>
        <v>80480</v>
      </c>
      <c r="G898" s="31">
        <f>SUMIFS(G899:G1057,K899:K1057,"0",B899:B1057,"5 1 3 3 6 12 31111 6 M78 15000 171 00I 001 33604*")</f>
        <v>0</v>
      </c>
      <c r="H898" s="31">
        <f t="shared" si="16"/>
        <v>80480</v>
      </c>
      <c r="I898" s="31"/>
      <c r="K898" t="s">
        <v>14</v>
      </c>
    </row>
    <row r="899" spans="2:11" ht="13" x14ac:dyDescent="0.15">
      <c r="B899" s="29" t="s">
        <v>1216</v>
      </c>
      <c r="C899" s="29" t="s">
        <v>186</v>
      </c>
      <c r="D899" s="31">
        <f>SUMIFS(D900:D1057,K900:K1057,"0",B900:B1057,"5 1 3 3 6 12 31111 6 M78 15000 171 00I 001 33604 025*")-SUMIFS(E900:E1057,K900:K1057,"0",B900:B1057,"5 1 3 3 6 12 31111 6 M78 15000 171 00I 001 33604 025*")</f>
        <v>0</v>
      </c>
      <c r="E899"/>
      <c r="F899" s="31">
        <f>SUMIFS(F900:F1057,K900:K1057,"0",B900:B1057,"5 1 3 3 6 12 31111 6 M78 15000 171 00I 001 33604 025*")</f>
        <v>80480</v>
      </c>
      <c r="G899" s="31">
        <f>SUMIFS(G900:G1057,K900:K1057,"0",B900:B1057,"5 1 3 3 6 12 31111 6 M78 15000 171 00I 001 33604 025*")</f>
        <v>0</v>
      </c>
      <c r="H899" s="31">
        <f t="shared" si="16"/>
        <v>80480</v>
      </c>
      <c r="I899" s="31"/>
      <c r="K899" t="s">
        <v>14</v>
      </c>
    </row>
    <row r="900" spans="2:11" ht="22" x14ac:dyDescent="0.15">
      <c r="B900" s="29" t="s">
        <v>1217</v>
      </c>
      <c r="C900" s="29" t="s">
        <v>188</v>
      </c>
      <c r="D900" s="31">
        <f>SUMIFS(D901:D1057,K901:K1057,"0",B901:B1057,"5 1 3 3 6 12 31111 6 M78 15000 171 00I 001 33604 025 2112000*")-SUMIFS(E901:E1057,K901:K1057,"0",B901:B1057,"5 1 3 3 6 12 31111 6 M78 15000 171 00I 001 33604 025 2112000*")</f>
        <v>0</v>
      </c>
      <c r="E900"/>
      <c r="F900" s="31">
        <f>SUMIFS(F901:F1057,K901:K1057,"0",B901:B1057,"5 1 3 3 6 12 31111 6 M78 15000 171 00I 001 33604 025 2112000*")</f>
        <v>80480</v>
      </c>
      <c r="G900" s="31">
        <f>SUMIFS(G901:G1057,K901:K1057,"0",B901:B1057,"5 1 3 3 6 12 31111 6 M78 15000 171 00I 001 33604 025 2112000*")</f>
        <v>0</v>
      </c>
      <c r="H900" s="31">
        <f t="shared" si="16"/>
        <v>80480</v>
      </c>
      <c r="I900" s="31"/>
      <c r="K900" t="s">
        <v>14</v>
      </c>
    </row>
    <row r="901" spans="2:11" ht="22" x14ac:dyDescent="0.15">
      <c r="B901" s="29" t="s">
        <v>1218</v>
      </c>
      <c r="C901" s="29" t="s">
        <v>294</v>
      </c>
      <c r="D901" s="31">
        <f>SUMIFS(D902:D1057,K902:K1057,"0",B902:B1057,"5 1 3 3 6 12 31111 6 M78 15000 171 00I 001 33604 025 2112000 2024*")-SUMIFS(E902:E1057,K902:K1057,"0",B902:B1057,"5 1 3 3 6 12 31111 6 M78 15000 171 00I 001 33604 025 2112000 2024*")</f>
        <v>0</v>
      </c>
      <c r="E901"/>
      <c r="F901" s="31">
        <f>SUMIFS(F902:F1057,K902:K1057,"0",B902:B1057,"5 1 3 3 6 12 31111 6 M78 15000 171 00I 001 33604 025 2112000 2024*")</f>
        <v>80480</v>
      </c>
      <c r="G901" s="31">
        <f>SUMIFS(G902:G1057,K902:K1057,"0",B902:B1057,"5 1 3 3 6 12 31111 6 M78 15000 171 00I 001 33604 025 2112000 2024*")</f>
        <v>0</v>
      </c>
      <c r="H901" s="31">
        <f t="shared" si="16"/>
        <v>80480</v>
      </c>
      <c r="I901" s="31"/>
      <c r="K901" t="s">
        <v>14</v>
      </c>
    </row>
    <row r="902" spans="2:11" ht="22" x14ac:dyDescent="0.15">
      <c r="B902" s="29" t="s">
        <v>1219</v>
      </c>
      <c r="C902" s="29" t="s">
        <v>192</v>
      </c>
      <c r="D902" s="31">
        <f>SUMIFS(D903:D1057,K903:K1057,"0",B903:B1057,"5 1 3 3 6 12 31111 6 M78 15000 171 00I 001 33604 025 2112000 2024 00000000*")-SUMIFS(E903:E1057,K903:K1057,"0",B903:B1057,"5 1 3 3 6 12 31111 6 M78 15000 171 00I 001 33604 025 2112000 2024 00000000*")</f>
        <v>0</v>
      </c>
      <c r="E902"/>
      <c r="F902" s="31">
        <f>SUMIFS(F903:F1057,K903:K1057,"0",B903:B1057,"5 1 3 3 6 12 31111 6 M78 15000 171 00I 001 33604 025 2112000 2024 00000000*")</f>
        <v>80480</v>
      </c>
      <c r="G902" s="31">
        <f>SUMIFS(G903:G1057,K903:K1057,"0",B903:B1057,"5 1 3 3 6 12 31111 6 M78 15000 171 00I 001 33604 025 2112000 2024 00000000*")</f>
        <v>0</v>
      </c>
      <c r="H902" s="31">
        <f t="shared" si="16"/>
        <v>80480</v>
      </c>
      <c r="I902" s="31"/>
      <c r="K902" t="s">
        <v>14</v>
      </c>
    </row>
    <row r="903" spans="2:11" ht="22" x14ac:dyDescent="0.15">
      <c r="B903" s="29" t="s">
        <v>1220</v>
      </c>
      <c r="C903" s="29" t="s">
        <v>9</v>
      </c>
      <c r="D903" s="31">
        <f>SUMIFS(D904:D1057,K904:K1057,"0",B904:B1057,"5 1 3 3 6 12 31111 6 M78 15000 171 00I 001 33604 025 2112000 2024 00000000 003*")-SUMIFS(E904:E1057,K904:K1057,"0",B904:B1057,"5 1 3 3 6 12 31111 6 M78 15000 171 00I 001 33604 025 2112000 2024 00000000 003*")</f>
        <v>0</v>
      </c>
      <c r="E903"/>
      <c r="F903" s="31">
        <f>SUMIFS(F904:F1057,K904:K1057,"0",B904:B1057,"5 1 3 3 6 12 31111 6 M78 15000 171 00I 001 33604 025 2112000 2024 00000000 003*")</f>
        <v>80480</v>
      </c>
      <c r="G903" s="31">
        <f>SUMIFS(G904:G1057,K904:K1057,"0",B904:B1057,"5 1 3 3 6 12 31111 6 M78 15000 171 00I 001 33604 025 2112000 2024 00000000 003*")</f>
        <v>0</v>
      </c>
      <c r="H903" s="31">
        <f t="shared" si="16"/>
        <v>80480</v>
      </c>
      <c r="I903" s="31"/>
      <c r="K903" t="s">
        <v>14</v>
      </c>
    </row>
    <row r="904" spans="2:11" ht="22" x14ac:dyDescent="0.15">
      <c r="B904" s="27" t="s">
        <v>1221</v>
      </c>
      <c r="C904" s="27" t="s">
        <v>1222</v>
      </c>
      <c r="D904" s="30">
        <v>0</v>
      </c>
      <c r="E904" s="30"/>
      <c r="F904" s="30">
        <v>80480</v>
      </c>
      <c r="G904" s="30">
        <v>0</v>
      </c>
      <c r="H904" s="30">
        <f t="shared" si="16"/>
        <v>80480</v>
      </c>
      <c r="I904" s="30"/>
      <c r="K904" t="s">
        <v>38</v>
      </c>
    </row>
    <row r="905" spans="2:11" ht="13" x14ac:dyDescent="0.15">
      <c r="B905" s="29" t="s">
        <v>1223</v>
      </c>
      <c r="C905" s="29" t="s">
        <v>1224</v>
      </c>
      <c r="D905" s="31">
        <f>SUMIFS(D906:D1057,K906:K1057,"0",B906:B1057,"5 1 3 4*")-SUMIFS(E906:E1057,K906:K1057,"0",B906:B1057,"5 1 3 4*")</f>
        <v>0</v>
      </c>
      <c r="E905"/>
      <c r="F905" s="31">
        <f>SUMIFS(F906:F1057,K906:K1057,"0",B906:B1057,"5 1 3 4*")</f>
        <v>643.79999999999995</v>
      </c>
      <c r="G905" s="31">
        <f>SUMIFS(G906:G1057,K906:K1057,"0",B906:B1057,"5 1 3 4*")</f>
        <v>0</v>
      </c>
      <c r="H905" s="31">
        <f t="shared" si="16"/>
        <v>643.79999999999995</v>
      </c>
      <c r="I905" s="31"/>
      <c r="K905" t="s">
        <v>14</v>
      </c>
    </row>
    <row r="906" spans="2:11" ht="13" x14ac:dyDescent="0.15">
      <c r="B906" s="29" t="s">
        <v>1225</v>
      </c>
      <c r="C906" s="29" t="s">
        <v>1226</v>
      </c>
      <c r="D906" s="31">
        <f>SUMIFS(D907:D1057,K907:K1057,"0",B907:B1057,"5 1 3 4 1*")-SUMIFS(E907:E1057,K907:K1057,"0",B907:B1057,"5 1 3 4 1*")</f>
        <v>0</v>
      </c>
      <c r="E906"/>
      <c r="F906" s="31">
        <f>SUMIFS(F907:F1057,K907:K1057,"0",B907:B1057,"5 1 3 4 1*")</f>
        <v>643.79999999999995</v>
      </c>
      <c r="G906" s="31">
        <f>SUMIFS(G907:G1057,K907:K1057,"0",B907:B1057,"5 1 3 4 1*")</f>
        <v>0</v>
      </c>
      <c r="H906" s="31">
        <f t="shared" si="16"/>
        <v>643.79999999999995</v>
      </c>
      <c r="I906" s="31"/>
      <c r="K906" t="s">
        <v>14</v>
      </c>
    </row>
    <row r="907" spans="2:11" ht="13" x14ac:dyDescent="0.15">
      <c r="B907" s="29" t="s">
        <v>1227</v>
      </c>
      <c r="C907" s="29" t="s">
        <v>25</v>
      </c>
      <c r="D907" s="31">
        <f>SUMIFS(D908:D1057,K908:K1057,"0",B908:B1057,"5 1 3 4 1 12*")-SUMIFS(E908:E1057,K908:K1057,"0",B908:B1057,"5 1 3 4 1 12*")</f>
        <v>0</v>
      </c>
      <c r="E907"/>
      <c r="F907" s="31">
        <f>SUMIFS(F908:F1057,K908:K1057,"0",B908:B1057,"5 1 3 4 1 12*")</f>
        <v>643.79999999999995</v>
      </c>
      <c r="G907" s="31">
        <f>SUMIFS(G908:G1057,K908:K1057,"0",B908:B1057,"5 1 3 4 1 12*")</f>
        <v>0</v>
      </c>
      <c r="H907" s="31">
        <f t="shared" si="16"/>
        <v>643.79999999999995</v>
      </c>
      <c r="I907" s="31"/>
      <c r="K907" t="s">
        <v>14</v>
      </c>
    </row>
    <row r="908" spans="2:11" ht="13" x14ac:dyDescent="0.15">
      <c r="B908" s="29" t="s">
        <v>1228</v>
      </c>
      <c r="C908" s="29" t="s">
        <v>27</v>
      </c>
      <c r="D908" s="31">
        <f>SUMIFS(D909:D1057,K909:K1057,"0",B909:B1057,"5 1 3 4 1 12 31111*")-SUMIFS(E909:E1057,K909:K1057,"0",B909:B1057,"5 1 3 4 1 12 31111*")</f>
        <v>0</v>
      </c>
      <c r="E908"/>
      <c r="F908" s="31">
        <f>SUMIFS(F909:F1057,K909:K1057,"0",B909:B1057,"5 1 3 4 1 12 31111*")</f>
        <v>643.79999999999995</v>
      </c>
      <c r="G908" s="31">
        <f>SUMIFS(G909:G1057,K909:K1057,"0",B909:B1057,"5 1 3 4 1 12 31111*")</f>
        <v>0</v>
      </c>
      <c r="H908" s="31">
        <f t="shared" ref="H908:H971" si="17">D908 + F908 - G908</f>
        <v>643.79999999999995</v>
      </c>
      <c r="I908" s="31"/>
      <c r="K908" t="s">
        <v>14</v>
      </c>
    </row>
    <row r="909" spans="2:11" ht="13" x14ac:dyDescent="0.15">
      <c r="B909" s="29" t="s">
        <v>1229</v>
      </c>
      <c r="C909" s="29" t="s">
        <v>29</v>
      </c>
      <c r="D909" s="31">
        <f>SUMIFS(D910:D1057,K910:K1057,"0",B910:B1057,"5 1 3 4 1 12 31111 6*")-SUMIFS(E910:E1057,K910:K1057,"0",B910:B1057,"5 1 3 4 1 12 31111 6*")</f>
        <v>0</v>
      </c>
      <c r="E909"/>
      <c r="F909" s="31">
        <f>SUMIFS(F910:F1057,K910:K1057,"0",B910:B1057,"5 1 3 4 1 12 31111 6*")</f>
        <v>643.79999999999995</v>
      </c>
      <c r="G909" s="31">
        <f>SUMIFS(G910:G1057,K910:K1057,"0",B910:B1057,"5 1 3 4 1 12 31111 6*")</f>
        <v>0</v>
      </c>
      <c r="H909" s="31">
        <f t="shared" si="17"/>
        <v>643.79999999999995</v>
      </c>
      <c r="I909" s="31"/>
      <c r="K909" t="s">
        <v>14</v>
      </c>
    </row>
    <row r="910" spans="2:11" ht="13" x14ac:dyDescent="0.15">
      <c r="B910" s="29" t="s">
        <v>1230</v>
      </c>
      <c r="C910" s="29" t="s">
        <v>629</v>
      </c>
      <c r="D910" s="31">
        <f>SUMIFS(D911:D1057,K911:K1057,"0",B911:B1057,"5 1 3 4 1 12 31111 6 M78*")-SUMIFS(E911:E1057,K911:K1057,"0",B911:B1057,"5 1 3 4 1 12 31111 6 M78*")</f>
        <v>0</v>
      </c>
      <c r="E910"/>
      <c r="F910" s="31">
        <f>SUMIFS(F911:F1057,K911:K1057,"0",B911:B1057,"5 1 3 4 1 12 31111 6 M78*")</f>
        <v>643.79999999999995</v>
      </c>
      <c r="G910" s="31">
        <f>SUMIFS(G911:G1057,K911:K1057,"0",B911:B1057,"5 1 3 4 1 12 31111 6 M78*")</f>
        <v>0</v>
      </c>
      <c r="H910" s="31">
        <f t="shared" si="17"/>
        <v>643.79999999999995</v>
      </c>
      <c r="I910" s="31"/>
      <c r="K910" t="s">
        <v>14</v>
      </c>
    </row>
    <row r="911" spans="2:11" ht="13" x14ac:dyDescent="0.15">
      <c r="B911" s="29" t="s">
        <v>1231</v>
      </c>
      <c r="C911" s="29" t="s">
        <v>176</v>
      </c>
      <c r="D911" s="31">
        <f>SUMIFS(D912:D1057,K912:K1057,"0",B912:B1057,"5 1 3 4 1 12 31111 6 M78 15000*")-SUMIFS(E912:E1057,K912:K1057,"0",B912:B1057,"5 1 3 4 1 12 31111 6 M78 15000*")</f>
        <v>0</v>
      </c>
      <c r="E911"/>
      <c r="F911" s="31">
        <f>SUMIFS(F912:F1057,K912:K1057,"0",B912:B1057,"5 1 3 4 1 12 31111 6 M78 15000*")</f>
        <v>643.79999999999995</v>
      </c>
      <c r="G911" s="31">
        <f>SUMIFS(G912:G1057,K912:K1057,"0",B912:B1057,"5 1 3 4 1 12 31111 6 M78 15000*")</f>
        <v>0</v>
      </c>
      <c r="H911" s="31">
        <f t="shared" si="17"/>
        <v>643.79999999999995</v>
      </c>
      <c r="I911" s="31"/>
      <c r="K911" t="s">
        <v>14</v>
      </c>
    </row>
    <row r="912" spans="2:11" ht="13" x14ac:dyDescent="0.15">
      <c r="B912" s="29" t="s">
        <v>1232</v>
      </c>
      <c r="C912" s="29" t="s">
        <v>178</v>
      </c>
      <c r="D912" s="31">
        <f>SUMIFS(D913:D1057,K913:K1057,"0",B913:B1057,"5 1 3 4 1 12 31111 6 M78 15000 171*")-SUMIFS(E913:E1057,K913:K1057,"0",B913:B1057,"5 1 3 4 1 12 31111 6 M78 15000 171*")</f>
        <v>0</v>
      </c>
      <c r="E912"/>
      <c r="F912" s="31">
        <f>SUMIFS(F913:F1057,K913:K1057,"0",B913:B1057,"5 1 3 4 1 12 31111 6 M78 15000 171*")</f>
        <v>643.79999999999995</v>
      </c>
      <c r="G912" s="31">
        <f>SUMIFS(G913:G1057,K913:K1057,"0",B913:B1057,"5 1 3 4 1 12 31111 6 M78 15000 171*")</f>
        <v>0</v>
      </c>
      <c r="H912" s="31">
        <f t="shared" si="17"/>
        <v>643.79999999999995</v>
      </c>
      <c r="I912" s="31"/>
      <c r="K912" t="s">
        <v>14</v>
      </c>
    </row>
    <row r="913" spans="2:11" ht="13" x14ac:dyDescent="0.15">
      <c r="B913" s="29" t="s">
        <v>1233</v>
      </c>
      <c r="C913" s="29" t="s">
        <v>180</v>
      </c>
      <c r="D913" s="31">
        <f>SUMIFS(D914:D1057,K914:K1057,"0",B914:B1057,"5 1 3 4 1 12 31111 6 M78 15000 171 00I*")-SUMIFS(E914:E1057,K914:K1057,"0",B914:B1057,"5 1 3 4 1 12 31111 6 M78 15000 171 00I*")</f>
        <v>0</v>
      </c>
      <c r="E913"/>
      <c r="F913" s="31">
        <f>SUMIFS(F914:F1057,K914:K1057,"0",B914:B1057,"5 1 3 4 1 12 31111 6 M78 15000 171 00I*")</f>
        <v>643.79999999999995</v>
      </c>
      <c r="G913" s="31">
        <f>SUMIFS(G914:G1057,K914:K1057,"0",B914:B1057,"5 1 3 4 1 12 31111 6 M78 15000 171 00I*")</f>
        <v>0</v>
      </c>
      <c r="H913" s="31">
        <f t="shared" si="17"/>
        <v>643.79999999999995</v>
      </c>
      <c r="I913" s="31"/>
      <c r="K913" t="s">
        <v>14</v>
      </c>
    </row>
    <row r="914" spans="2:11" ht="13" x14ac:dyDescent="0.15">
      <c r="B914" s="29" t="s">
        <v>1234</v>
      </c>
      <c r="C914" s="29" t="s">
        <v>562</v>
      </c>
      <c r="D914" s="31">
        <f>SUMIFS(D915:D1057,K915:K1057,"0",B915:B1057,"5 1 3 4 1 12 31111 6 M78 15000 171 00I 001*")-SUMIFS(E915:E1057,K915:K1057,"0",B915:B1057,"5 1 3 4 1 12 31111 6 M78 15000 171 00I 001*")</f>
        <v>0</v>
      </c>
      <c r="E914"/>
      <c r="F914" s="31">
        <f>SUMIFS(F915:F1057,K915:K1057,"0",B915:B1057,"5 1 3 4 1 12 31111 6 M78 15000 171 00I 001*")</f>
        <v>643.79999999999995</v>
      </c>
      <c r="G914" s="31">
        <f>SUMIFS(G915:G1057,K915:K1057,"0",B915:B1057,"5 1 3 4 1 12 31111 6 M78 15000 171 00I 001*")</f>
        <v>0</v>
      </c>
      <c r="H914" s="31">
        <f t="shared" si="17"/>
        <v>643.79999999999995</v>
      </c>
      <c r="I914" s="31"/>
      <c r="K914" t="s">
        <v>14</v>
      </c>
    </row>
    <row r="915" spans="2:11" ht="13" x14ac:dyDescent="0.15">
      <c r="B915" s="29" t="s">
        <v>1235</v>
      </c>
      <c r="C915" s="29" t="s">
        <v>1236</v>
      </c>
      <c r="D915" s="31">
        <f>SUMIFS(D916:D1057,K916:K1057,"0",B916:B1057,"5 1 3 4 1 12 31111 6 M78 15000 171 00I 001 34101*")-SUMIFS(E916:E1057,K916:K1057,"0",B916:B1057,"5 1 3 4 1 12 31111 6 M78 15000 171 00I 001 34101*")</f>
        <v>0</v>
      </c>
      <c r="E915"/>
      <c r="F915" s="31">
        <f>SUMIFS(F916:F1057,K916:K1057,"0",B916:B1057,"5 1 3 4 1 12 31111 6 M78 15000 171 00I 001 34101*")</f>
        <v>643.79999999999995</v>
      </c>
      <c r="G915" s="31">
        <f>SUMIFS(G916:G1057,K916:K1057,"0",B916:B1057,"5 1 3 4 1 12 31111 6 M78 15000 171 00I 001 34101*")</f>
        <v>0</v>
      </c>
      <c r="H915" s="31">
        <f t="shared" si="17"/>
        <v>643.79999999999995</v>
      </c>
      <c r="I915" s="31"/>
      <c r="K915" t="s">
        <v>14</v>
      </c>
    </row>
    <row r="916" spans="2:11" ht="13" x14ac:dyDescent="0.15">
      <c r="B916" s="29" t="s">
        <v>1237</v>
      </c>
      <c r="C916" s="29" t="s">
        <v>186</v>
      </c>
      <c r="D916" s="31">
        <f>SUMIFS(D917:D1057,K917:K1057,"0",B917:B1057,"5 1 3 4 1 12 31111 6 M78 15000 171 00I 001 34101 025*")-SUMIFS(E917:E1057,K917:K1057,"0",B917:B1057,"5 1 3 4 1 12 31111 6 M78 15000 171 00I 001 34101 025*")</f>
        <v>0</v>
      </c>
      <c r="E916"/>
      <c r="F916" s="31">
        <f>SUMIFS(F917:F1057,K917:K1057,"0",B917:B1057,"5 1 3 4 1 12 31111 6 M78 15000 171 00I 001 34101 025*")</f>
        <v>643.79999999999995</v>
      </c>
      <c r="G916" s="31">
        <f>SUMIFS(G917:G1057,K917:K1057,"0",B917:B1057,"5 1 3 4 1 12 31111 6 M78 15000 171 00I 001 34101 025*")</f>
        <v>0</v>
      </c>
      <c r="H916" s="31">
        <f t="shared" si="17"/>
        <v>643.79999999999995</v>
      </c>
      <c r="I916" s="31"/>
      <c r="K916" t="s">
        <v>14</v>
      </c>
    </row>
    <row r="917" spans="2:11" ht="22" x14ac:dyDescent="0.15">
      <c r="B917" s="29" t="s">
        <v>1238</v>
      </c>
      <c r="C917" s="29" t="s">
        <v>188</v>
      </c>
      <c r="D917" s="31">
        <f>SUMIFS(D918:D1057,K918:K1057,"0",B918:B1057,"5 1 3 4 1 12 31111 6 M78 15000 171 00I 001 34101 025 2112000*")-SUMIFS(E918:E1057,K918:K1057,"0",B918:B1057,"5 1 3 4 1 12 31111 6 M78 15000 171 00I 001 34101 025 2112000*")</f>
        <v>0</v>
      </c>
      <c r="E917"/>
      <c r="F917" s="31">
        <f>SUMIFS(F918:F1057,K918:K1057,"0",B918:B1057,"5 1 3 4 1 12 31111 6 M78 15000 171 00I 001 34101 025 2112000*")</f>
        <v>643.79999999999995</v>
      </c>
      <c r="G917" s="31">
        <f>SUMIFS(G918:G1057,K918:K1057,"0",B918:B1057,"5 1 3 4 1 12 31111 6 M78 15000 171 00I 001 34101 025 2112000*")</f>
        <v>0</v>
      </c>
      <c r="H917" s="31">
        <f t="shared" si="17"/>
        <v>643.79999999999995</v>
      </c>
      <c r="I917" s="31"/>
      <c r="K917" t="s">
        <v>14</v>
      </c>
    </row>
    <row r="918" spans="2:11" ht="22" x14ac:dyDescent="0.15">
      <c r="B918" s="29" t="s">
        <v>1239</v>
      </c>
      <c r="C918" s="29" t="s">
        <v>294</v>
      </c>
      <c r="D918" s="31">
        <f>SUMIFS(D919:D1057,K919:K1057,"0",B919:B1057,"5 1 3 4 1 12 31111 6 M78 15000 171 00I 001 34101 025 2112000 2024*")-SUMIFS(E919:E1057,K919:K1057,"0",B919:B1057,"5 1 3 4 1 12 31111 6 M78 15000 171 00I 001 34101 025 2112000 2024*")</f>
        <v>0</v>
      </c>
      <c r="E918"/>
      <c r="F918" s="31">
        <f>SUMIFS(F919:F1057,K919:K1057,"0",B919:B1057,"5 1 3 4 1 12 31111 6 M78 15000 171 00I 001 34101 025 2112000 2024*")</f>
        <v>643.79999999999995</v>
      </c>
      <c r="G918" s="31">
        <f>SUMIFS(G919:G1057,K919:K1057,"0",B919:B1057,"5 1 3 4 1 12 31111 6 M78 15000 171 00I 001 34101 025 2112000 2024*")</f>
        <v>0</v>
      </c>
      <c r="H918" s="31">
        <f t="shared" si="17"/>
        <v>643.79999999999995</v>
      </c>
      <c r="I918" s="31"/>
      <c r="K918" t="s">
        <v>14</v>
      </c>
    </row>
    <row r="919" spans="2:11" ht="22" x14ac:dyDescent="0.15">
      <c r="B919" s="29" t="s">
        <v>1240</v>
      </c>
      <c r="C919" s="29" t="s">
        <v>192</v>
      </c>
      <c r="D919" s="31">
        <f>SUMIFS(D920:D1057,K920:K1057,"0",B920:B1057,"5 1 3 4 1 12 31111 6 M78 15000 171 00I 001 34101 025 2112000 2024 00000000*")-SUMIFS(E920:E1057,K920:K1057,"0",B920:B1057,"5 1 3 4 1 12 31111 6 M78 15000 171 00I 001 34101 025 2112000 2024 00000000*")</f>
        <v>0</v>
      </c>
      <c r="E919"/>
      <c r="F919" s="31">
        <f>SUMIFS(F920:F1057,K920:K1057,"0",B920:B1057,"5 1 3 4 1 12 31111 6 M78 15000 171 00I 001 34101 025 2112000 2024 00000000*")</f>
        <v>643.79999999999995</v>
      </c>
      <c r="G919" s="31">
        <f>SUMIFS(G920:G1057,K920:K1057,"0",B920:B1057,"5 1 3 4 1 12 31111 6 M78 15000 171 00I 001 34101 025 2112000 2024 00000000*")</f>
        <v>0</v>
      </c>
      <c r="H919" s="31">
        <f t="shared" si="17"/>
        <v>643.79999999999995</v>
      </c>
      <c r="I919" s="31"/>
      <c r="K919" t="s">
        <v>14</v>
      </c>
    </row>
    <row r="920" spans="2:11" ht="22" x14ac:dyDescent="0.15">
      <c r="B920" s="29" t="s">
        <v>1241</v>
      </c>
      <c r="C920" s="29" t="s">
        <v>9</v>
      </c>
      <c r="D920" s="31">
        <f>SUMIFS(D921:D1057,K921:K1057,"0",B921:B1057,"5 1 3 4 1 12 31111 6 M78 15000 171 00I 001 34101 025 2112000 2024 00000000 003*")-SUMIFS(E921:E1057,K921:K1057,"0",B921:B1057,"5 1 3 4 1 12 31111 6 M78 15000 171 00I 001 34101 025 2112000 2024 00000000 003*")</f>
        <v>0</v>
      </c>
      <c r="E920"/>
      <c r="F920" s="31">
        <f>SUMIFS(F921:F1057,K921:K1057,"0",B921:B1057,"5 1 3 4 1 12 31111 6 M78 15000 171 00I 001 34101 025 2112000 2024 00000000 003*")</f>
        <v>643.79999999999995</v>
      </c>
      <c r="G920" s="31">
        <f>SUMIFS(G921:G1057,K921:K1057,"0",B921:B1057,"5 1 3 4 1 12 31111 6 M78 15000 171 00I 001 34101 025 2112000 2024 00000000 003*")</f>
        <v>0</v>
      </c>
      <c r="H920" s="31">
        <f t="shared" si="17"/>
        <v>643.79999999999995</v>
      </c>
      <c r="I920" s="31"/>
      <c r="K920" t="s">
        <v>14</v>
      </c>
    </row>
    <row r="921" spans="2:11" ht="22" x14ac:dyDescent="0.15">
      <c r="B921" s="27" t="s">
        <v>1242</v>
      </c>
      <c r="C921" s="27" t="s">
        <v>1243</v>
      </c>
      <c r="D921" s="30">
        <v>0</v>
      </c>
      <c r="E921" s="30"/>
      <c r="F921" s="30">
        <v>643.79999999999995</v>
      </c>
      <c r="G921" s="30">
        <v>0</v>
      </c>
      <c r="H921" s="30">
        <f t="shared" si="17"/>
        <v>643.79999999999995</v>
      </c>
      <c r="I921" s="30"/>
      <c r="K921" t="s">
        <v>38</v>
      </c>
    </row>
    <row r="922" spans="2:11" ht="13" x14ac:dyDescent="0.15">
      <c r="B922" s="29" t="s">
        <v>1244</v>
      </c>
      <c r="C922" s="29" t="s">
        <v>1245</v>
      </c>
      <c r="D922" s="31">
        <f>SUMIFS(D923:D1057,K923:K1057,"0",B923:B1057,"5 1 3 5*")-SUMIFS(E923:E1057,K923:K1057,"0",B923:B1057,"5 1 3 5*")</f>
        <v>0</v>
      </c>
      <c r="E922"/>
      <c r="F922" s="31">
        <f>SUMIFS(F923:F1057,K923:K1057,"0",B923:B1057,"5 1 3 5*")</f>
        <v>836628.01</v>
      </c>
      <c r="G922" s="31">
        <f>SUMIFS(G923:G1057,K923:K1057,"0",B923:B1057,"5 1 3 5*")</f>
        <v>0</v>
      </c>
      <c r="H922" s="31">
        <f t="shared" si="17"/>
        <v>836628.01</v>
      </c>
      <c r="I922" s="31"/>
      <c r="K922" t="s">
        <v>14</v>
      </c>
    </row>
    <row r="923" spans="2:11" ht="22" x14ac:dyDescent="0.15">
      <c r="B923" s="29" t="s">
        <v>1246</v>
      </c>
      <c r="C923" s="29" t="s">
        <v>1247</v>
      </c>
      <c r="D923" s="31">
        <f>SUMIFS(D924:D1057,K924:K1057,"0",B924:B1057,"5 1 3 5 3*")-SUMIFS(E924:E1057,K924:K1057,"0",B924:B1057,"5 1 3 5 3*")</f>
        <v>0</v>
      </c>
      <c r="E923"/>
      <c r="F923" s="31">
        <f>SUMIFS(F924:F1057,K924:K1057,"0",B924:B1057,"5 1 3 5 3*")</f>
        <v>219400</v>
      </c>
      <c r="G923" s="31">
        <f>SUMIFS(G924:G1057,K924:K1057,"0",B924:B1057,"5 1 3 5 3*")</f>
        <v>0</v>
      </c>
      <c r="H923" s="31">
        <f t="shared" si="17"/>
        <v>219400</v>
      </c>
      <c r="I923" s="31"/>
      <c r="K923" t="s">
        <v>14</v>
      </c>
    </row>
    <row r="924" spans="2:11" ht="13" x14ac:dyDescent="0.15">
      <c r="B924" s="29" t="s">
        <v>1248</v>
      </c>
      <c r="C924" s="29" t="s">
        <v>25</v>
      </c>
      <c r="D924" s="31">
        <f>SUMIFS(D925:D1057,K925:K1057,"0",B925:B1057,"5 1 3 5 3 12*")-SUMIFS(E925:E1057,K925:K1057,"0",B925:B1057,"5 1 3 5 3 12*")</f>
        <v>0</v>
      </c>
      <c r="E924"/>
      <c r="F924" s="31">
        <f>SUMIFS(F925:F1057,K925:K1057,"0",B925:B1057,"5 1 3 5 3 12*")</f>
        <v>219400</v>
      </c>
      <c r="G924" s="31">
        <f>SUMIFS(G925:G1057,K925:K1057,"0",B925:B1057,"5 1 3 5 3 12*")</f>
        <v>0</v>
      </c>
      <c r="H924" s="31">
        <f t="shared" si="17"/>
        <v>219400</v>
      </c>
      <c r="I924" s="31"/>
      <c r="K924" t="s">
        <v>14</v>
      </c>
    </row>
    <row r="925" spans="2:11" ht="13" x14ac:dyDescent="0.15">
      <c r="B925" s="29" t="s">
        <v>1249</v>
      </c>
      <c r="C925" s="29" t="s">
        <v>27</v>
      </c>
      <c r="D925" s="31">
        <f>SUMIFS(D926:D1057,K926:K1057,"0",B926:B1057,"5 1 3 5 3 12 31111*")-SUMIFS(E926:E1057,K926:K1057,"0",B926:B1057,"5 1 3 5 3 12 31111*")</f>
        <v>0</v>
      </c>
      <c r="E925"/>
      <c r="F925" s="31">
        <f>SUMIFS(F926:F1057,K926:K1057,"0",B926:B1057,"5 1 3 5 3 12 31111*")</f>
        <v>219400</v>
      </c>
      <c r="G925" s="31">
        <f>SUMIFS(G926:G1057,K926:K1057,"0",B926:B1057,"5 1 3 5 3 12 31111*")</f>
        <v>0</v>
      </c>
      <c r="H925" s="31">
        <f t="shared" si="17"/>
        <v>219400</v>
      </c>
      <c r="I925" s="31"/>
      <c r="K925" t="s">
        <v>14</v>
      </c>
    </row>
    <row r="926" spans="2:11" ht="13" x14ac:dyDescent="0.15">
      <c r="B926" s="29" t="s">
        <v>1250</v>
      </c>
      <c r="C926" s="29" t="s">
        <v>29</v>
      </c>
      <c r="D926" s="31">
        <f>SUMIFS(D927:D1057,K927:K1057,"0",B927:B1057,"5 1 3 5 3 12 31111 6*")-SUMIFS(E927:E1057,K927:K1057,"0",B927:B1057,"5 1 3 5 3 12 31111 6*")</f>
        <v>0</v>
      </c>
      <c r="E926"/>
      <c r="F926" s="31">
        <f>SUMIFS(F927:F1057,K927:K1057,"0",B927:B1057,"5 1 3 5 3 12 31111 6*")</f>
        <v>219400</v>
      </c>
      <c r="G926" s="31">
        <f>SUMIFS(G927:G1057,K927:K1057,"0",B927:B1057,"5 1 3 5 3 12 31111 6*")</f>
        <v>0</v>
      </c>
      <c r="H926" s="31">
        <f t="shared" si="17"/>
        <v>219400</v>
      </c>
      <c r="I926" s="31"/>
      <c r="K926" t="s">
        <v>14</v>
      </c>
    </row>
    <row r="927" spans="2:11" ht="13" x14ac:dyDescent="0.15">
      <c r="B927" s="29" t="s">
        <v>1251</v>
      </c>
      <c r="C927" s="29" t="s">
        <v>629</v>
      </c>
      <c r="D927" s="31">
        <f>SUMIFS(D928:D1057,K928:K1057,"0",B928:B1057,"5 1 3 5 3 12 31111 6 M78*")-SUMIFS(E928:E1057,K928:K1057,"0",B928:B1057,"5 1 3 5 3 12 31111 6 M78*")</f>
        <v>0</v>
      </c>
      <c r="E927"/>
      <c r="F927" s="31">
        <f>SUMIFS(F928:F1057,K928:K1057,"0",B928:B1057,"5 1 3 5 3 12 31111 6 M78*")</f>
        <v>219400</v>
      </c>
      <c r="G927" s="31">
        <f>SUMIFS(G928:G1057,K928:K1057,"0",B928:B1057,"5 1 3 5 3 12 31111 6 M78*")</f>
        <v>0</v>
      </c>
      <c r="H927" s="31">
        <f t="shared" si="17"/>
        <v>219400</v>
      </c>
      <c r="I927" s="31"/>
      <c r="K927" t="s">
        <v>14</v>
      </c>
    </row>
    <row r="928" spans="2:11" ht="13" x14ac:dyDescent="0.15">
      <c r="B928" s="29" t="s">
        <v>1252</v>
      </c>
      <c r="C928" s="29" t="s">
        <v>176</v>
      </c>
      <c r="D928" s="31">
        <f>SUMIFS(D929:D1057,K929:K1057,"0",B929:B1057,"5 1 3 5 3 12 31111 6 M78 15000*")-SUMIFS(E929:E1057,K929:K1057,"0",B929:B1057,"5 1 3 5 3 12 31111 6 M78 15000*")</f>
        <v>0</v>
      </c>
      <c r="E928"/>
      <c r="F928" s="31">
        <f>SUMIFS(F929:F1057,K929:K1057,"0",B929:B1057,"5 1 3 5 3 12 31111 6 M78 15000*")</f>
        <v>219400</v>
      </c>
      <c r="G928" s="31">
        <f>SUMIFS(G929:G1057,K929:K1057,"0",B929:B1057,"5 1 3 5 3 12 31111 6 M78 15000*")</f>
        <v>0</v>
      </c>
      <c r="H928" s="31">
        <f t="shared" si="17"/>
        <v>219400</v>
      </c>
      <c r="I928" s="31"/>
      <c r="K928" t="s">
        <v>14</v>
      </c>
    </row>
    <row r="929" spans="2:11" ht="13" x14ac:dyDescent="0.15">
      <c r="B929" s="29" t="s">
        <v>1253</v>
      </c>
      <c r="C929" s="29" t="s">
        <v>178</v>
      </c>
      <c r="D929" s="31">
        <f>SUMIFS(D930:D1057,K930:K1057,"0",B930:B1057,"5 1 3 5 3 12 31111 6 M78 15000 171*")-SUMIFS(E930:E1057,K930:K1057,"0",B930:B1057,"5 1 3 5 3 12 31111 6 M78 15000 171*")</f>
        <v>0</v>
      </c>
      <c r="E929"/>
      <c r="F929" s="31">
        <f>SUMIFS(F930:F1057,K930:K1057,"0",B930:B1057,"5 1 3 5 3 12 31111 6 M78 15000 171*")</f>
        <v>219400</v>
      </c>
      <c r="G929" s="31">
        <f>SUMIFS(G930:G1057,K930:K1057,"0",B930:B1057,"5 1 3 5 3 12 31111 6 M78 15000 171*")</f>
        <v>0</v>
      </c>
      <c r="H929" s="31">
        <f t="shared" si="17"/>
        <v>219400</v>
      </c>
      <c r="I929" s="31"/>
      <c r="K929" t="s">
        <v>14</v>
      </c>
    </row>
    <row r="930" spans="2:11" ht="13" x14ac:dyDescent="0.15">
      <c r="B930" s="29" t="s">
        <v>1254</v>
      </c>
      <c r="C930" s="29" t="s">
        <v>180</v>
      </c>
      <c r="D930" s="31">
        <f>SUMIFS(D931:D1057,K931:K1057,"0",B931:B1057,"5 1 3 5 3 12 31111 6 M78 15000 171 00I*")-SUMIFS(E931:E1057,K931:K1057,"0",B931:B1057,"5 1 3 5 3 12 31111 6 M78 15000 171 00I*")</f>
        <v>0</v>
      </c>
      <c r="E930"/>
      <c r="F930" s="31">
        <f>SUMIFS(F931:F1057,K931:K1057,"0",B931:B1057,"5 1 3 5 3 12 31111 6 M78 15000 171 00I*")</f>
        <v>219400</v>
      </c>
      <c r="G930" s="31">
        <f>SUMIFS(G931:G1057,K931:K1057,"0",B931:B1057,"5 1 3 5 3 12 31111 6 M78 15000 171 00I*")</f>
        <v>0</v>
      </c>
      <c r="H930" s="31">
        <f t="shared" si="17"/>
        <v>219400</v>
      </c>
      <c r="I930" s="31"/>
      <c r="K930" t="s">
        <v>14</v>
      </c>
    </row>
    <row r="931" spans="2:11" ht="13" x14ac:dyDescent="0.15">
      <c r="B931" s="29" t="s">
        <v>1255</v>
      </c>
      <c r="C931" s="29" t="s">
        <v>562</v>
      </c>
      <c r="D931" s="31">
        <f>SUMIFS(D932:D1057,K932:K1057,"0",B932:B1057,"5 1 3 5 3 12 31111 6 M78 15000 171 00I 001*")-SUMIFS(E932:E1057,K932:K1057,"0",B932:B1057,"5 1 3 5 3 12 31111 6 M78 15000 171 00I 001*")</f>
        <v>0</v>
      </c>
      <c r="E931"/>
      <c r="F931" s="31">
        <f>SUMIFS(F932:F1057,K932:K1057,"0",B932:B1057,"5 1 3 5 3 12 31111 6 M78 15000 171 00I 001*")</f>
        <v>219400</v>
      </c>
      <c r="G931" s="31">
        <f>SUMIFS(G932:G1057,K932:K1057,"0",B932:B1057,"5 1 3 5 3 12 31111 6 M78 15000 171 00I 001*")</f>
        <v>0</v>
      </c>
      <c r="H931" s="31">
        <f t="shared" si="17"/>
        <v>219400</v>
      </c>
      <c r="I931" s="31"/>
      <c r="K931" t="s">
        <v>14</v>
      </c>
    </row>
    <row r="932" spans="2:11" ht="13" x14ac:dyDescent="0.15">
      <c r="B932" s="29" t="s">
        <v>1256</v>
      </c>
      <c r="C932" s="29" t="s">
        <v>1257</v>
      </c>
      <c r="D932" s="31">
        <f>SUMIFS(D933:D1057,K933:K1057,"0",B933:B1057,"5 1 3 5 3 12 31111 6 M78 15000 171 00I 001 35301*")-SUMIFS(E933:E1057,K933:K1057,"0",B933:B1057,"5 1 3 5 3 12 31111 6 M78 15000 171 00I 001 35301*")</f>
        <v>0</v>
      </c>
      <c r="E932"/>
      <c r="F932" s="31">
        <f>SUMIFS(F933:F1057,K933:K1057,"0",B933:B1057,"5 1 3 5 3 12 31111 6 M78 15000 171 00I 001 35301*")</f>
        <v>219400</v>
      </c>
      <c r="G932" s="31">
        <f>SUMIFS(G933:G1057,K933:K1057,"0",B933:B1057,"5 1 3 5 3 12 31111 6 M78 15000 171 00I 001 35301*")</f>
        <v>0</v>
      </c>
      <c r="H932" s="31">
        <f t="shared" si="17"/>
        <v>219400</v>
      </c>
      <c r="I932" s="31"/>
      <c r="K932" t="s">
        <v>14</v>
      </c>
    </row>
    <row r="933" spans="2:11" ht="13" x14ac:dyDescent="0.15">
      <c r="B933" s="29" t="s">
        <v>1258</v>
      </c>
      <c r="C933" s="29" t="s">
        <v>186</v>
      </c>
      <c r="D933" s="31">
        <f>SUMIFS(D934:D1057,K934:K1057,"0",B934:B1057,"5 1 3 5 3 12 31111 6 M78 15000 171 00I 001 35301 025*")-SUMIFS(E934:E1057,K934:K1057,"0",B934:B1057,"5 1 3 5 3 12 31111 6 M78 15000 171 00I 001 35301 025*")</f>
        <v>0</v>
      </c>
      <c r="E933"/>
      <c r="F933" s="31">
        <f>SUMIFS(F934:F1057,K934:K1057,"0",B934:B1057,"5 1 3 5 3 12 31111 6 M78 15000 171 00I 001 35301 025*")</f>
        <v>219400</v>
      </c>
      <c r="G933" s="31">
        <f>SUMIFS(G934:G1057,K934:K1057,"0",B934:B1057,"5 1 3 5 3 12 31111 6 M78 15000 171 00I 001 35301 025*")</f>
        <v>0</v>
      </c>
      <c r="H933" s="31">
        <f t="shared" si="17"/>
        <v>219400</v>
      </c>
      <c r="I933" s="31"/>
      <c r="K933" t="s">
        <v>14</v>
      </c>
    </row>
    <row r="934" spans="2:11" ht="22" x14ac:dyDescent="0.15">
      <c r="B934" s="29" t="s">
        <v>1259</v>
      </c>
      <c r="C934" s="29" t="s">
        <v>188</v>
      </c>
      <c r="D934" s="31">
        <f>SUMIFS(D935:D1057,K935:K1057,"0",B935:B1057,"5 1 3 5 3 12 31111 6 M78 15000 171 00I 001 35301 025 2112000*")-SUMIFS(E935:E1057,K935:K1057,"0",B935:B1057,"5 1 3 5 3 12 31111 6 M78 15000 171 00I 001 35301 025 2112000*")</f>
        <v>0</v>
      </c>
      <c r="E934"/>
      <c r="F934" s="31">
        <f>SUMIFS(F935:F1057,K935:K1057,"0",B935:B1057,"5 1 3 5 3 12 31111 6 M78 15000 171 00I 001 35301 025 2112000*")</f>
        <v>219400</v>
      </c>
      <c r="G934" s="31">
        <f>SUMIFS(G935:G1057,K935:K1057,"0",B935:B1057,"5 1 3 5 3 12 31111 6 M78 15000 171 00I 001 35301 025 2112000*")</f>
        <v>0</v>
      </c>
      <c r="H934" s="31">
        <f t="shared" si="17"/>
        <v>219400</v>
      </c>
      <c r="I934" s="31"/>
      <c r="K934" t="s">
        <v>14</v>
      </c>
    </row>
    <row r="935" spans="2:11" ht="22" x14ac:dyDescent="0.15">
      <c r="B935" s="29" t="s">
        <v>1260</v>
      </c>
      <c r="C935" s="29" t="s">
        <v>294</v>
      </c>
      <c r="D935" s="31">
        <f>SUMIFS(D936:D1057,K936:K1057,"0",B936:B1057,"5 1 3 5 3 12 31111 6 M78 15000 171 00I 001 35301 025 2112000 2024*")-SUMIFS(E936:E1057,K936:K1057,"0",B936:B1057,"5 1 3 5 3 12 31111 6 M78 15000 171 00I 001 35301 025 2112000 2024*")</f>
        <v>0</v>
      </c>
      <c r="E935"/>
      <c r="F935" s="31">
        <f>SUMIFS(F936:F1057,K936:K1057,"0",B936:B1057,"5 1 3 5 3 12 31111 6 M78 15000 171 00I 001 35301 025 2112000 2024*")</f>
        <v>219400</v>
      </c>
      <c r="G935" s="31">
        <f>SUMIFS(G936:G1057,K936:K1057,"0",B936:B1057,"5 1 3 5 3 12 31111 6 M78 15000 171 00I 001 35301 025 2112000 2024*")</f>
        <v>0</v>
      </c>
      <c r="H935" s="31">
        <f t="shared" si="17"/>
        <v>219400</v>
      </c>
      <c r="I935" s="31"/>
      <c r="K935" t="s">
        <v>14</v>
      </c>
    </row>
    <row r="936" spans="2:11" ht="22" x14ac:dyDescent="0.15">
      <c r="B936" s="29" t="s">
        <v>1261</v>
      </c>
      <c r="C936" s="29" t="s">
        <v>192</v>
      </c>
      <c r="D936" s="31">
        <f>SUMIFS(D937:D1057,K937:K1057,"0",B937:B1057,"5 1 3 5 3 12 31111 6 M78 15000 171 00I 001 35301 025 2112000 2024 00000000*")-SUMIFS(E937:E1057,K937:K1057,"0",B937:B1057,"5 1 3 5 3 12 31111 6 M78 15000 171 00I 001 35301 025 2112000 2024 00000000*")</f>
        <v>0</v>
      </c>
      <c r="E936"/>
      <c r="F936" s="31">
        <f>SUMIFS(F937:F1057,K937:K1057,"0",B937:B1057,"5 1 3 5 3 12 31111 6 M78 15000 171 00I 001 35301 025 2112000 2024 00000000*")</f>
        <v>219400</v>
      </c>
      <c r="G936" s="31">
        <f>SUMIFS(G937:G1057,K937:K1057,"0",B937:B1057,"5 1 3 5 3 12 31111 6 M78 15000 171 00I 001 35301 025 2112000 2024 00000000*")</f>
        <v>0</v>
      </c>
      <c r="H936" s="31">
        <f t="shared" si="17"/>
        <v>219400</v>
      </c>
      <c r="I936" s="31"/>
      <c r="K936" t="s">
        <v>14</v>
      </c>
    </row>
    <row r="937" spans="2:11" ht="22" x14ac:dyDescent="0.15">
      <c r="B937" s="29" t="s">
        <v>1262</v>
      </c>
      <c r="C937" s="29" t="s">
        <v>9</v>
      </c>
      <c r="D937" s="31">
        <f>SUMIFS(D938:D1057,K938:K1057,"0",B938:B1057,"5 1 3 5 3 12 31111 6 M78 15000 171 00I 001 35301 025 2112000 2024 00000000 003*")-SUMIFS(E938:E1057,K938:K1057,"0",B938:B1057,"5 1 3 5 3 12 31111 6 M78 15000 171 00I 001 35301 025 2112000 2024 00000000 003*")</f>
        <v>0</v>
      </c>
      <c r="E937"/>
      <c r="F937" s="31">
        <f>SUMIFS(F938:F1057,K938:K1057,"0",B938:B1057,"5 1 3 5 3 12 31111 6 M78 15000 171 00I 001 35301 025 2112000 2024 00000000 003*")</f>
        <v>219400</v>
      </c>
      <c r="G937" s="31">
        <f>SUMIFS(G938:G1057,K938:K1057,"0",B938:B1057,"5 1 3 5 3 12 31111 6 M78 15000 171 00I 001 35301 025 2112000 2024 00000000 003*")</f>
        <v>0</v>
      </c>
      <c r="H937" s="31">
        <f t="shared" si="17"/>
        <v>219400</v>
      </c>
      <c r="I937" s="31"/>
      <c r="K937" t="s">
        <v>14</v>
      </c>
    </row>
    <row r="938" spans="2:11" ht="22" x14ac:dyDescent="0.15">
      <c r="B938" s="27" t="s">
        <v>1263</v>
      </c>
      <c r="C938" s="27" t="s">
        <v>1264</v>
      </c>
      <c r="D938" s="30">
        <v>0</v>
      </c>
      <c r="E938" s="30"/>
      <c r="F938" s="30">
        <v>70500</v>
      </c>
      <c r="G938" s="30">
        <v>0</v>
      </c>
      <c r="H938" s="30">
        <f t="shared" si="17"/>
        <v>70500</v>
      </c>
      <c r="I938" s="30"/>
      <c r="K938" t="s">
        <v>38</v>
      </c>
    </row>
    <row r="939" spans="2:11" ht="22" x14ac:dyDescent="0.15">
      <c r="B939" s="27" t="s">
        <v>1265</v>
      </c>
      <c r="C939" s="27" t="s">
        <v>1266</v>
      </c>
      <c r="D939" s="30">
        <v>0</v>
      </c>
      <c r="E939" s="30"/>
      <c r="F939" s="30">
        <v>148900</v>
      </c>
      <c r="G939" s="30">
        <v>0</v>
      </c>
      <c r="H939" s="30">
        <f t="shared" si="17"/>
        <v>148900</v>
      </c>
      <c r="I939" s="30"/>
      <c r="K939" t="s">
        <v>38</v>
      </c>
    </row>
    <row r="940" spans="2:11" ht="13" x14ac:dyDescent="0.15">
      <c r="B940" s="29" t="s">
        <v>1267</v>
      </c>
      <c r="C940" s="29" t="s">
        <v>1268</v>
      </c>
      <c r="D940" s="31">
        <f>SUMIFS(D941:D1057,K941:K1057,"0",B941:B1057,"5 1 3 5 5*")-SUMIFS(E941:E1057,K941:K1057,"0",B941:B1057,"5 1 3 5 5*")</f>
        <v>0</v>
      </c>
      <c r="E940"/>
      <c r="F940" s="31">
        <f>SUMIFS(F941:F1057,K941:K1057,"0",B941:B1057,"5 1 3 5 5*")</f>
        <v>617228.01</v>
      </c>
      <c r="G940" s="31">
        <f>SUMIFS(G941:G1057,K941:K1057,"0",B941:B1057,"5 1 3 5 5*")</f>
        <v>0</v>
      </c>
      <c r="H940" s="31">
        <f t="shared" si="17"/>
        <v>617228.01</v>
      </c>
      <c r="I940" s="31"/>
      <c r="K940" t="s">
        <v>14</v>
      </c>
    </row>
    <row r="941" spans="2:11" ht="13" x14ac:dyDescent="0.15">
      <c r="B941" s="29" t="s">
        <v>1269</v>
      </c>
      <c r="C941" s="29" t="s">
        <v>25</v>
      </c>
      <c r="D941" s="31">
        <f>SUMIFS(D942:D1057,K942:K1057,"0",B942:B1057,"5 1 3 5 5 12*")-SUMIFS(E942:E1057,K942:K1057,"0",B942:B1057,"5 1 3 5 5 12*")</f>
        <v>0</v>
      </c>
      <c r="E941"/>
      <c r="F941" s="31">
        <f>SUMIFS(F942:F1057,K942:K1057,"0",B942:B1057,"5 1 3 5 5 12*")</f>
        <v>617228.01</v>
      </c>
      <c r="G941" s="31">
        <f>SUMIFS(G942:G1057,K942:K1057,"0",B942:B1057,"5 1 3 5 5 12*")</f>
        <v>0</v>
      </c>
      <c r="H941" s="31">
        <f t="shared" si="17"/>
        <v>617228.01</v>
      </c>
      <c r="I941" s="31"/>
      <c r="K941" t="s">
        <v>14</v>
      </c>
    </row>
    <row r="942" spans="2:11" ht="13" x14ac:dyDescent="0.15">
      <c r="B942" s="29" t="s">
        <v>1270</v>
      </c>
      <c r="C942" s="29" t="s">
        <v>27</v>
      </c>
      <c r="D942" s="31">
        <f>SUMIFS(D943:D1057,K943:K1057,"0",B943:B1057,"5 1 3 5 5 12 31111*")-SUMIFS(E943:E1057,K943:K1057,"0",B943:B1057,"5 1 3 5 5 12 31111*")</f>
        <v>0</v>
      </c>
      <c r="E942"/>
      <c r="F942" s="31">
        <f>SUMIFS(F943:F1057,K943:K1057,"0",B943:B1057,"5 1 3 5 5 12 31111*")</f>
        <v>617228.01</v>
      </c>
      <c r="G942" s="31">
        <f>SUMIFS(G943:G1057,K943:K1057,"0",B943:B1057,"5 1 3 5 5 12 31111*")</f>
        <v>0</v>
      </c>
      <c r="H942" s="31">
        <f t="shared" si="17"/>
        <v>617228.01</v>
      </c>
      <c r="I942" s="31"/>
      <c r="K942" t="s">
        <v>14</v>
      </c>
    </row>
    <row r="943" spans="2:11" ht="13" x14ac:dyDescent="0.15">
      <c r="B943" s="29" t="s">
        <v>1271</v>
      </c>
      <c r="C943" s="29" t="s">
        <v>29</v>
      </c>
      <c r="D943" s="31">
        <f>SUMIFS(D944:D1057,K944:K1057,"0",B944:B1057,"5 1 3 5 5 12 31111 6*")-SUMIFS(E944:E1057,K944:K1057,"0",B944:B1057,"5 1 3 5 5 12 31111 6*")</f>
        <v>0</v>
      </c>
      <c r="E943"/>
      <c r="F943" s="31">
        <f>SUMIFS(F944:F1057,K944:K1057,"0",B944:B1057,"5 1 3 5 5 12 31111 6*")</f>
        <v>617228.01</v>
      </c>
      <c r="G943" s="31">
        <f>SUMIFS(G944:G1057,K944:K1057,"0",B944:B1057,"5 1 3 5 5 12 31111 6*")</f>
        <v>0</v>
      </c>
      <c r="H943" s="31">
        <f t="shared" si="17"/>
        <v>617228.01</v>
      </c>
      <c r="I943" s="31"/>
      <c r="K943" t="s">
        <v>14</v>
      </c>
    </row>
    <row r="944" spans="2:11" ht="13" x14ac:dyDescent="0.15">
      <c r="B944" s="29" t="s">
        <v>1272</v>
      </c>
      <c r="C944" s="29" t="s">
        <v>629</v>
      </c>
      <c r="D944" s="31">
        <f>SUMIFS(D945:D1057,K945:K1057,"0",B945:B1057,"5 1 3 5 5 12 31111 6 M78*")-SUMIFS(E945:E1057,K945:K1057,"0",B945:B1057,"5 1 3 5 5 12 31111 6 M78*")</f>
        <v>0</v>
      </c>
      <c r="E944"/>
      <c r="F944" s="31">
        <f>SUMIFS(F945:F1057,K945:K1057,"0",B945:B1057,"5 1 3 5 5 12 31111 6 M78*")</f>
        <v>617228.01</v>
      </c>
      <c r="G944" s="31">
        <f>SUMIFS(G945:G1057,K945:K1057,"0",B945:B1057,"5 1 3 5 5 12 31111 6 M78*")</f>
        <v>0</v>
      </c>
      <c r="H944" s="31">
        <f t="shared" si="17"/>
        <v>617228.01</v>
      </c>
      <c r="I944" s="31"/>
      <c r="K944" t="s">
        <v>14</v>
      </c>
    </row>
    <row r="945" spans="2:11" ht="13" x14ac:dyDescent="0.15">
      <c r="B945" s="29" t="s">
        <v>1273</v>
      </c>
      <c r="C945" s="29" t="s">
        <v>176</v>
      </c>
      <c r="D945" s="31">
        <f>SUMIFS(D946:D1057,K946:K1057,"0",B946:B1057,"5 1 3 5 5 12 31111 6 M78 15000*")-SUMIFS(E946:E1057,K946:K1057,"0",B946:B1057,"5 1 3 5 5 12 31111 6 M78 15000*")</f>
        <v>0</v>
      </c>
      <c r="E945"/>
      <c r="F945" s="31">
        <f>SUMIFS(F946:F1057,K946:K1057,"0",B946:B1057,"5 1 3 5 5 12 31111 6 M78 15000*")</f>
        <v>617228.01</v>
      </c>
      <c r="G945" s="31">
        <f>SUMIFS(G946:G1057,K946:K1057,"0",B946:B1057,"5 1 3 5 5 12 31111 6 M78 15000*")</f>
        <v>0</v>
      </c>
      <c r="H945" s="31">
        <f t="shared" si="17"/>
        <v>617228.01</v>
      </c>
      <c r="I945" s="31"/>
      <c r="K945" t="s">
        <v>14</v>
      </c>
    </row>
    <row r="946" spans="2:11" ht="13" x14ac:dyDescent="0.15">
      <c r="B946" s="29" t="s">
        <v>1274</v>
      </c>
      <c r="C946" s="29" t="s">
        <v>178</v>
      </c>
      <c r="D946" s="31">
        <f>SUMIFS(D947:D1057,K947:K1057,"0",B947:B1057,"5 1 3 5 5 12 31111 6 M78 15000 171*")-SUMIFS(E947:E1057,K947:K1057,"0",B947:B1057,"5 1 3 5 5 12 31111 6 M78 15000 171*")</f>
        <v>0</v>
      </c>
      <c r="E946"/>
      <c r="F946" s="31">
        <f>SUMIFS(F947:F1057,K947:K1057,"0",B947:B1057,"5 1 3 5 5 12 31111 6 M78 15000 171*")</f>
        <v>617228.01</v>
      </c>
      <c r="G946" s="31">
        <f>SUMIFS(G947:G1057,K947:K1057,"0",B947:B1057,"5 1 3 5 5 12 31111 6 M78 15000 171*")</f>
        <v>0</v>
      </c>
      <c r="H946" s="31">
        <f t="shared" si="17"/>
        <v>617228.01</v>
      </c>
      <c r="I946" s="31"/>
      <c r="K946" t="s">
        <v>14</v>
      </c>
    </row>
    <row r="947" spans="2:11" ht="13" x14ac:dyDescent="0.15">
      <c r="B947" s="29" t="s">
        <v>1275</v>
      </c>
      <c r="C947" s="29" t="s">
        <v>180</v>
      </c>
      <c r="D947" s="31">
        <f>SUMIFS(D948:D1057,K948:K1057,"0",B948:B1057,"5 1 3 5 5 12 31111 6 M78 15000 171 00I*")-SUMIFS(E948:E1057,K948:K1057,"0",B948:B1057,"5 1 3 5 5 12 31111 6 M78 15000 171 00I*")</f>
        <v>0</v>
      </c>
      <c r="E947"/>
      <c r="F947" s="31">
        <f>SUMIFS(F948:F1057,K948:K1057,"0",B948:B1057,"5 1 3 5 5 12 31111 6 M78 15000 171 00I*")</f>
        <v>617228.01</v>
      </c>
      <c r="G947" s="31">
        <f>SUMIFS(G948:G1057,K948:K1057,"0",B948:B1057,"5 1 3 5 5 12 31111 6 M78 15000 171 00I*")</f>
        <v>0</v>
      </c>
      <c r="H947" s="31">
        <f t="shared" si="17"/>
        <v>617228.01</v>
      </c>
      <c r="I947" s="31"/>
      <c r="K947" t="s">
        <v>14</v>
      </c>
    </row>
    <row r="948" spans="2:11" ht="13" x14ac:dyDescent="0.15">
      <c r="B948" s="29" t="s">
        <v>1276</v>
      </c>
      <c r="C948" s="29" t="s">
        <v>562</v>
      </c>
      <c r="D948" s="31">
        <f>SUMIFS(D949:D1057,K949:K1057,"0",B949:B1057,"5 1 3 5 5 12 31111 6 M78 15000 171 00I 001*")-SUMIFS(E949:E1057,K949:K1057,"0",B949:B1057,"5 1 3 5 5 12 31111 6 M78 15000 171 00I 001*")</f>
        <v>0</v>
      </c>
      <c r="E948"/>
      <c r="F948" s="31">
        <f>SUMIFS(F949:F1057,K949:K1057,"0",B949:B1057,"5 1 3 5 5 12 31111 6 M78 15000 171 00I 001*")</f>
        <v>617228.01</v>
      </c>
      <c r="G948" s="31">
        <f>SUMIFS(G949:G1057,K949:K1057,"0",B949:B1057,"5 1 3 5 5 12 31111 6 M78 15000 171 00I 001*")</f>
        <v>0</v>
      </c>
      <c r="H948" s="31">
        <f t="shared" si="17"/>
        <v>617228.01</v>
      </c>
      <c r="I948" s="31"/>
      <c r="K948" t="s">
        <v>14</v>
      </c>
    </row>
    <row r="949" spans="2:11" ht="22" x14ac:dyDescent="0.15">
      <c r="B949" s="29" t="s">
        <v>1277</v>
      </c>
      <c r="C949" s="29" t="s">
        <v>1278</v>
      </c>
      <c r="D949" s="31">
        <f>SUMIFS(D950:D1057,K950:K1057,"0",B950:B1057,"5 1 3 5 5 12 31111 6 M78 15000 171 00I 001 35501*")-SUMIFS(E950:E1057,K950:K1057,"0",B950:B1057,"5 1 3 5 5 12 31111 6 M78 15000 171 00I 001 35501*")</f>
        <v>0</v>
      </c>
      <c r="E949"/>
      <c r="F949" s="31">
        <f>SUMIFS(F950:F1057,K950:K1057,"0",B950:B1057,"5 1 3 5 5 12 31111 6 M78 15000 171 00I 001 35501*")</f>
        <v>617228.01</v>
      </c>
      <c r="G949" s="31">
        <f>SUMIFS(G950:G1057,K950:K1057,"0",B950:B1057,"5 1 3 5 5 12 31111 6 M78 15000 171 00I 001 35501*")</f>
        <v>0</v>
      </c>
      <c r="H949" s="31">
        <f t="shared" si="17"/>
        <v>617228.01</v>
      </c>
      <c r="I949" s="31"/>
      <c r="K949" t="s">
        <v>14</v>
      </c>
    </row>
    <row r="950" spans="2:11" ht="13" x14ac:dyDescent="0.15">
      <c r="B950" s="29" t="s">
        <v>1279</v>
      </c>
      <c r="C950" s="29" t="s">
        <v>186</v>
      </c>
      <c r="D950" s="31">
        <f>SUMIFS(D951:D1057,K951:K1057,"0",B951:B1057,"5 1 3 5 5 12 31111 6 M78 15000 171 00I 001 35501 025*")-SUMIFS(E951:E1057,K951:K1057,"0",B951:B1057,"5 1 3 5 5 12 31111 6 M78 15000 171 00I 001 35501 025*")</f>
        <v>0</v>
      </c>
      <c r="E950"/>
      <c r="F950" s="31">
        <f>SUMIFS(F951:F1057,K951:K1057,"0",B951:B1057,"5 1 3 5 5 12 31111 6 M78 15000 171 00I 001 35501 025*")</f>
        <v>617228.01</v>
      </c>
      <c r="G950" s="31">
        <f>SUMIFS(G951:G1057,K951:K1057,"0",B951:B1057,"5 1 3 5 5 12 31111 6 M78 15000 171 00I 001 35501 025*")</f>
        <v>0</v>
      </c>
      <c r="H950" s="31">
        <f t="shared" si="17"/>
        <v>617228.01</v>
      </c>
      <c r="I950" s="31"/>
      <c r="K950" t="s">
        <v>14</v>
      </c>
    </row>
    <row r="951" spans="2:11" ht="22" x14ac:dyDescent="0.15">
      <c r="B951" s="29" t="s">
        <v>1280</v>
      </c>
      <c r="C951" s="29" t="s">
        <v>188</v>
      </c>
      <c r="D951" s="31">
        <f>SUMIFS(D952:D1057,K952:K1057,"0",B952:B1057,"5 1 3 5 5 12 31111 6 M78 15000 171 00I 001 35501 025 2112000*")-SUMIFS(E952:E1057,K952:K1057,"0",B952:B1057,"5 1 3 5 5 12 31111 6 M78 15000 171 00I 001 35501 025 2112000*")</f>
        <v>0</v>
      </c>
      <c r="E951"/>
      <c r="F951" s="31">
        <f>SUMIFS(F952:F1057,K952:K1057,"0",B952:B1057,"5 1 3 5 5 12 31111 6 M78 15000 171 00I 001 35501 025 2112000*")</f>
        <v>617228.01</v>
      </c>
      <c r="G951" s="31">
        <f>SUMIFS(G952:G1057,K952:K1057,"0",B952:B1057,"5 1 3 5 5 12 31111 6 M78 15000 171 00I 001 35501 025 2112000*")</f>
        <v>0</v>
      </c>
      <c r="H951" s="31">
        <f t="shared" si="17"/>
        <v>617228.01</v>
      </c>
      <c r="I951" s="31"/>
      <c r="K951" t="s">
        <v>14</v>
      </c>
    </row>
    <row r="952" spans="2:11" ht="22" x14ac:dyDescent="0.15">
      <c r="B952" s="29" t="s">
        <v>1281</v>
      </c>
      <c r="C952" s="29" t="s">
        <v>294</v>
      </c>
      <c r="D952" s="31">
        <f>SUMIFS(D953:D1057,K953:K1057,"0",B953:B1057,"5 1 3 5 5 12 31111 6 M78 15000 171 00I 001 35501 025 2112000 2024*")-SUMIFS(E953:E1057,K953:K1057,"0",B953:B1057,"5 1 3 5 5 12 31111 6 M78 15000 171 00I 001 35501 025 2112000 2024*")</f>
        <v>0</v>
      </c>
      <c r="E952"/>
      <c r="F952" s="31">
        <f>SUMIFS(F953:F1057,K953:K1057,"0",B953:B1057,"5 1 3 5 5 12 31111 6 M78 15000 171 00I 001 35501 025 2112000 2024*")</f>
        <v>617228.01</v>
      </c>
      <c r="G952" s="31">
        <f>SUMIFS(G953:G1057,K953:K1057,"0",B953:B1057,"5 1 3 5 5 12 31111 6 M78 15000 171 00I 001 35501 025 2112000 2024*")</f>
        <v>0</v>
      </c>
      <c r="H952" s="31">
        <f t="shared" si="17"/>
        <v>617228.01</v>
      </c>
      <c r="I952" s="31"/>
      <c r="K952" t="s">
        <v>14</v>
      </c>
    </row>
    <row r="953" spans="2:11" ht="22" x14ac:dyDescent="0.15">
      <c r="B953" s="29" t="s">
        <v>1282</v>
      </c>
      <c r="C953" s="29" t="s">
        <v>192</v>
      </c>
      <c r="D953" s="31">
        <f>SUMIFS(D954:D1057,K954:K1057,"0",B954:B1057,"5 1 3 5 5 12 31111 6 M78 15000 171 00I 001 35501 025 2112000 2024 00000000*")-SUMIFS(E954:E1057,K954:K1057,"0",B954:B1057,"5 1 3 5 5 12 31111 6 M78 15000 171 00I 001 35501 025 2112000 2024 00000000*")</f>
        <v>0</v>
      </c>
      <c r="E953"/>
      <c r="F953" s="31">
        <f>SUMIFS(F954:F1057,K954:K1057,"0",B954:B1057,"5 1 3 5 5 12 31111 6 M78 15000 171 00I 001 35501 025 2112000 2024 00000000*")</f>
        <v>617228.01</v>
      </c>
      <c r="G953" s="31">
        <f>SUMIFS(G954:G1057,K954:K1057,"0",B954:B1057,"5 1 3 5 5 12 31111 6 M78 15000 171 00I 001 35501 025 2112000 2024 00000000*")</f>
        <v>0</v>
      </c>
      <c r="H953" s="31">
        <f t="shared" si="17"/>
        <v>617228.01</v>
      </c>
      <c r="I953" s="31"/>
      <c r="K953" t="s">
        <v>14</v>
      </c>
    </row>
    <row r="954" spans="2:11" ht="22" x14ac:dyDescent="0.15">
      <c r="B954" s="29" t="s">
        <v>1283</v>
      </c>
      <c r="C954" s="29" t="s">
        <v>9</v>
      </c>
      <c r="D954" s="31">
        <f>SUMIFS(D955:D1057,K955:K1057,"0",B955:B1057,"5 1 3 5 5 12 31111 6 M78 15000 171 00I 001 35501 025 2112000 2024 00000000 003*")-SUMIFS(E955:E1057,K955:K1057,"0",B955:B1057,"5 1 3 5 5 12 31111 6 M78 15000 171 00I 001 35501 025 2112000 2024 00000000 003*")</f>
        <v>0</v>
      </c>
      <c r="E954"/>
      <c r="F954" s="31">
        <f>SUMIFS(F955:F1057,K955:K1057,"0",B955:B1057,"5 1 3 5 5 12 31111 6 M78 15000 171 00I 001 35501 025 2112000 2024 00000000 003*")</f>
        <v>617228.01</v>
      </c>
      <c r="G954" s="31">
        <f>SUMIFS(G955:G1057,K955:K1057,"0",B955:B1057,"5 1 3 5 5 12 31111 6 M78 15000 171 00I 001 35501 025 2112000 2024 00000000 003*")</f>
        <v>0</v>
      </c>
      <c r="H954" s="31">
        <f t="shared" si="17"/>
        <v>617228.01</v>
      </c>
      <c r="I954" s="31"/>
      <c r="K954" t="s">
        <v>14</v>
      </c>
    </row>
    <row r="955" spans="2:11" ht="22" x14ac:dyDescent="0.15">
      <c r="B955" s="27" t="s">
        <v>1284</v>
      </c>
      <c r="C955" s="27" t="s">
        <v>1285</v>
      </c>
      <c r="D955" s="30">
        <v>0</v>
      </c>
      <c r="E955" s="30"/>
      <c r="F955" s="30">
        <v>617228.01</v>
      </c>
      <c r="G955" s="30">
        <v>0</v>
      </c>
      <c r="H955" s="30">
        <f t="shared" si="17"/>
        <v>617228.01</v>
      </c>
      <c r="I955" s="30"/>
      <c r="K955" t="s">
        <v>38</v>
      </c>
    </row>
    <row r="956" spans="2:11" ht="13" x14ac:dyDescent="0.15">
      <c r="B956" s="29" t="s">
        <v>1286</v>
      </c>
      <c r="C956" s="29" t="s">
        <v>1287</v>
      </c>
      <c r="D956" s="31">
        <f>SUMIFS(D957:D1057,K957:K1057,"0",B957:B1057,"5 2*")-SUMIFS(E957:E1057,K957:K1057,"0",B957:B1057,"5 2*")</f>
        <v>0</v>
      </c>
      <c r="E956"/>
      <c r="F956" s="31">
        <f>SUMIFS(F957:F1057,K957:K1057,"0",B957:B1057,"5 2*")</f>
        <v>136000</v>
      </c>
      <c r="G956" s="31">
        <f>SUMIFS(G957:G1057,K957:K1057,"0",B957:B1057,"5 2*")</f>
        <v>0</v>
      </c>
      <c r="H956" s="31">
        <f t="shared" si="17"/>
        <v>136000</v>
      </c>
      <c r="I956" s="31"/>
      <c r="K956" t="s">
        <v>14</v>
      </c>
    </row>
    <row r="957" spans="2:11" ht="13" x14ac:dyDescent="0.15">
      <c r="B957" s="29" t="s">
        <v>1288</v>
      </c>
      <c r="C957" s="29" t="s">
        <v>1289</v>
      </c>
      <c r="D957" s="31">
        <f>SUMIFS(D958:D1057,K958:K1057,"0",B958:B1057,"5 2 1*")-SUMIFS(E958:E1057,K958:K1057,"0",B958:B1057,"5 2 1*")</f>
        <v>0</v>
      </c>
      <c r="E957"/>
      <c r="F957" s="31">
        <f>SUMIFS(F958:F1057,K958:K1057,"0",B958:B1057,"5 2 1*")</f>
        <v>0</v>
      </c>
      <c r="G957" s="31">
        <f>SUMIFS(G958:G1057,K958:K1057,"0",B958:B1057,"5 2 1*")</f>
        <v>0</v>
      </c>
      <c r="H957" s="31">
        <f t="shared" si="17"/>
        <v>0</v>
      </c>
      <c r="I957" s="31"/>
      <c r="K957" t="s">
        <v>14</v>
      </c>
    </row>
    <row r="958" spans="2:11" ht="13" x14ac:dyDescent="0.15">
      <c r="B958" s="29" t="s">
        <v>1290</v>
      </c>
      <c r="C958" s="29" t="s">
        <v>1291</v>
      </c>
      <c r="D958" s="31">
        <f>SUMIFS(D959:D1057,K959:K1057,"0",B959:B1057,"5 2 2*")-SUMIFS(E959:E1057,K959:K1057,"0",B959:B1057,"5 2 2*")</f>
        <v>0</v>
      </c>
      <c r="E958"/>
      <c r="F958" s="31">
        <f>SUMIFS(F959:F1057,K959:K1057,"0",B959:B1057,"5 2 2*")</f>
        <v>0</v>
      </c>
      <c r="G958" s="31">
        <f>SUMIFS(G959:G1057,K959:K1057,"0",B959:B1057,"5 2 2*")</f>
        <v>0</v>
      </c>
      <c r="H958" s="31">
        <f t="shared" si="17"/>
        <v>0</v>
      </c>
      <c r="I958" s="31"/>
      <c r="K958" t="s">
        <v>14</v>
      </c>
    </row>
    <row r="959" spans="2:11" ht="13" x14ac:dyDescent="0.15">
      <c r="B959" s="29" t="s">
        <v>1292</v>
      </c>
      <c r="C959" s="29" t="s">
        <v>1293</v>
      </c>
      <c r="D959" s="31">
        <f>SUMIFS(D960:D1057,K960:K1057,"0",B960:B1057,"5 2 3*")-SUMIFS(E960:E1057,K960:K1057,"0",B960:B1057,"5 2 3*")</f>
        <v>0</v>
      </c>
      <c r="E959"/>
      <c r="F959" s="31">
        <f>SUMIFS(F960:F1057,K960:K1057,"0",B960:B1057,"5 2 3*")</f>
        <v>0</v>
      </c>
      <c r="G959" s="31">
        <f>SUMIFS(G960:G1057,K960:K1057,"0",B960:B1057,"5 2 3*")</f>
        <v>0</v>
      </c>
      <c r="H959" s="31">
        <f t="shared" si="17"/>
        <v>0</v>
      </c>
      <c r="I959" s="31"/>
      <c r="K959" t="s">
        <v>14</v>
      </c>
    </row>
    <row r="960" spans="2:11" ht="13" x14ac:dyDescent="0.15">
      <c r="B960" s="29" t="s">
        <v>1294</v>
      </c>
      <c r="C960" s="29" t="s">
        <v>424</v>
      </c>
      <c r="D960" s="31">
        <f>SUMIFS(D961:D1057,K961:K1057,"0",B961:B1057,"5 2 4*")-SUMIFS(E961:E1057,K961:K1057,"0",B961:B1057,"5 2 4*")</f>
        <v>0</v>
      </c>
      <c r="E960"/>
      <c r="F960" s="31">
        <f>SUMIFS(F961:F1057,K961:K1057,"0",B961:B1057,"5 2 4*")</f>
        <v>136000</v>
      </c>
      <c r="G960" s="31">
        <f>SUMIFS(G961:G1057,K961:K1057,"0",B961:B1057,"5 2 4*")</f>
        <v>0</v>
      </c>
      <c r="H960" s="31">
        <f t="shared" si="17"/>
        <v>136000</v>
      </c>
      <c r="I960" s="31"/>
      <c r="K960" t="s">
        <v>14</v>
      </c>
    </row>
    <row r="961" spans="2:11" ht="13" x14ac:dyDescent="0.15">
      <c r="B961" s="29" t="s">
        <v>1295</v>
      </c>
      <c r="C961" s="29" t="s">
        <v>432</v>
      </c>
      <c r="D961" s="31">
        <f>SUMIFS(D962:D1057,K962:K1057,"0",B962:B1057,"5 2 4 1*")-SUMIFS(E962:E1057,K962:K1057,"0",B962:B1057,"5 2 4 1*")</f>
        <v>0</v>
      </c>
      <c r="E961"/>
      <c r="F961" s="31">
        <f>SUMIFS(F962:F1057,K962:K1057,"0",B962:B1057,"5 2 4 1*")</f>
        <v>136000</v>
      </c>
      <c r="G961" s="31">
        <f>SUMIFS(G962:G1057,K962:K1057,"0",B962:B1057,"5 2 4 1*")</f>
        <v>0</v>
      </c>
      <c r="H961" s="31">
        <f t="shared" si="17"/>
        <v>136000</v>
      </c>
      <c r="I961" s="31"/>
      <c r="K961" t="s">
        <v>14</v>
      </c>
    </row>
    <row r="962" spans="2:11" ht="13" x14ac:dyDescent="0.15">
      <c r="B962" s="29" t="s">
        <v>1296</v>
      </c>
      <c r="C962" s="29" t="s">
        <v>432</v>
      </c>
      <c r="D962" s="31">
        <f>SUMIFS(D963:D1057,K963:K1057,"0",B963:B1057,"5 2 4 1 1*")-SUMIFS(E963:E1057,K963:K1057,"0",B963:B1057,"5 2 4 1 1*")</f>
        <v>0</v>
      </c>
      <c r="E962"/>
      <c r="F962" s="31">
        <f>SUMIFS(F963:F1057,K963:K1057,"0",B963:B1057,"5 2 4 1 1*")</f>
        <v>136000</v>
      </c>
      <c r="G962" s="31">
        <f>SUMIFS(G963:G1057,K963:K1057,"0",B963:B1057,"5 2 4 1 1*")</f>
        <v>0</v>
      </c>
      <c r="H962" s="31">
        <f t="shared" si="17"/>
        <v>136000</v>
      </c>
      <c r="I962" s="31"/>
      <c r="K962" t="s">
        <v>14</v>
      </c>
    </row>
    <row r="963" spans="2:11" ht="13" x14ac:dyDescent="0.15">
      <c r="B963" s="29" t="s">
        <v>1297</v>
      </c>
      <c r="C963" s="29" t="s">
        <v>25</v>
      </c>
      <c r="D963" s="31">
        <f>SUMIFS(D964:D1057,K964:K1057,"0",B964:B1057,"5 2 4 1 1 12*")-SUMIFS(E964:E1057,K964:K1057,"0",B964:B1057,"5 2 4 1 1 12*")</f>
        <v>0</v>
      </c>
      <c r="E963"/>
      <c r="F963" s="31">
        <f>SUMIFS(F964:F1057,K964:K1057,"0",B964:B1057,"5 2 4 1 1 12*")</f>
        <v>136000</v>
      </c>
      <c r="G963" s="31">
        <f>SUMIFS(G964:G1057,K964:K1057,"0",B964:B1057,"5 2 4 1 1 12*")</f>
        <v>0</v>
      </c>
      <c r="H963" s="31">
        <f t="shared" si="17"/>
        <v>136000</v>
      </c>
      <c r="I963" s="31"/>
      <c r="K963" t="s">
        <v>14</v>
      </c>
    </row>
    <row r="964" spans="2:11" ht="13" x14ac:dyDescent="0.15">
      <c r="B964" s="29" t="s">
        <v>1298</v>
      </c>
      <c r="C964" s="29" t="s">
        <v>27</v>
      </c>
      <c r="D964" s="31">
        <f>SUMIFS(D965:D1057,K965:K1057,"0",B965:B1057,"5 2 4 1 1 12 31111*")-SUMIFS(E965:E1057,K965:K1057,"0",B965:B1057,"5 2 4 1 1 12 31111*")</f>
        <v>0</v>
      </c>
      <c r="E964"/>
      <c r="F964" s="31">
        <f>SUMIFS(F965:F1057,K965:K1057,"0",B965:B1057,"5 2 4 1 1 12 31111*")</f>
        <v>136000</v>
      </c>
      <c r="G964" s="31">
        <f>SUMIFS(G965:G1057,K965:K1057,"0",B965:B1057,"5 2 4 1 1 12 31111*")</f>
        <v>0</v>
      </c>
      <c r="H964" s="31">
        <f t="shared" si="17"/>
        <v>136000</v>
      </c>
      <c r="I964" s="31"/>
      <c r="K964" t="s">
        <v>14</v>
      </c>
    </row>
    <row r="965" spans="2:11" ht="13" x14ac:dyDescent="0.15">
      <c r="B965" s="29" t="s">
        <v>1299</v>
      </c>
      <c r="C965" s="29" t="s">
        <v>29</v>
      </c>
      <c r="D965" s="31">
        <f>SUMIFS(D966:D1057,K966:K1057,"0",B966:B1057,"5 2 4 1 1 12 31111 6*")-SUMIFS(E966:E1057,K966:K1057,"0",B966:B1057,"5 2 4 1 1 12 31111 6*")</f>
        <v>0</v>
      </c>
      <c r="E965"/>
      <c r="F965" s="31">
        <f>SUMIFS(F966:F1057,K966:K1057,"0",B966:B1057,"5 2 4 1 1 12 31111 6*")</f>
        <v>136000</v>
      </c>
      <c r="G965" s="31">
        <f>SUMIFS(G966:G1057,K966:K1057,"0",B966:B1057,"5 2 4 1 1 12 31111 6*")</f>
        <v>0</v>
      </c>
      <c r="H965" s="31">
        <f t="shared" si="17"/>
        <v>136000</v>
      </c>
      <c r="I965" s="31"/>
      <c r="K965" t="s">
        <v>14</v>
      </c>
    </row>
    <row r="966" spans="2:11" ht="13" x14ac:dyDescent="0.15">
      <c r="B966" s="29" t="s">
        <v>1300</v>
      </c>
      <c r="C966" s="29" t="s">
        <v>629</v>
      </c>
      <c r="D966" s="31">
        <f>SUMIFS(D967:D1057,K967:K1057,"0",B967:B1057,"5 2 4 1 1 12 31111 6 M78*")-SUMIFS(E967:E1057,K967:K1057,"0",B967:B1057,"5 2 4 1 1 12 31111 6 M78*")</f>
        <v>0</v>
      </c>
      <c r="E966"/>
      <c r="F966" s="31">
        <f>SUMIFS(F967:F1057,K967:K1057,"0",B967:B1057,"5 2 4 1 1 12 31111 6 M78*")</f>
        <v>136000</v>
      </c>
      <c r="G966" s="31">
        <f>SUMIFS(G967:G1057,K967:K1057,"0",B967:B1057,"5 2 4 1 1 12 31111 6 M78*")</f>
        <v>0</v>
      </c>
      <c r="H966" s="31">
        <f t="shared" si="17"/>
        <v>136000</v>
      </c>
      <c r="I966" s="31"/>
      <c r="K966" t="s">
        <v>14</v>
      </c>
    </row>
    <row r="967" spans="2:11" ht="13" x14ac:dyDescent="0.15">
      <c r="B967" s="29" t="s">
        <v>1301</v>
      </c>
      <c r="C967" s="29" t="s">
        <v>176</v>
      </c>
      <c r="D967" s="31">
        <f>SUMIFS(D968:D1057,K968:K1057,"0",B968:B1057,"5 2 4 1 1 12 31111 6 M78 15000*")-SUMIFS(E968:E1057,K968:K1057,"0",B968:B1057,"5 2 4 1 1 12 31111 6 M78 15000*")</f>
        <v>0</v>
      </c>
      <c r="E967"/>
      <c r="F967" s="31">
        <f>SUMIFS(F968:F1057,K968:K1057,"0",B968:B1057,"5 2 4 1 1 12 31111 6 M78 15000*")</f>
        <v>136000</v>
      </c>
      <c r="G967" s="31">
        <f>SUMIFS(G968:G1057,K968:K1057,"0",B968:B1057,"5 2 4 1 1 12 31111 6 M78 15000*")</f>
        <v>0</v>
      </c>
      <c r="H967" s="31">
        <f t="shared" si="17"/>
        <v>136000</v>
      </c>
      <c r="I967" s="31"/>
      <c r="K967" t="s">
        <v>14</v>
      </c>
    </row>
    <row r="968" spans="2:11" ht="13" x14ac:dyDescent="0.15">
      <c r="B968" s="29" t="s">
        <v>1302</v>
      </c>
      <c r="C968" s="29" t="s">
        <v>178</v>
      </c>
      <c r="D968" s="31">
        <f>SUMIFS(D969:D1057,K969:K1057,"0",B969:B1057,"5 2 4 1 1 12 31111 6 M78 15000 171*")-SUMIFS(E969:E1057,K969:K1057,"0",B969:B1057,"5 2 4 1 1 12 31111 6 M78 15000 171*")</f>
        <v>0</v>
      </c>
      <c r="E968"/>
      <c r="F968" s="31">
        <f>SUMIFS(F969:F1057,K969:K1057,"0",B969:B1057,"5 2 4 1 1 12 31111 6 M78 15000 171*")</f>
        <v>136000</v>
      </c>
      <c r="G968" s="31">
        <f>SUMIFS(G969:G1057,K969:K1057,"0",B969:B1057,"5 2 4 1 1 12 31111 6 M78 15000 171*")</f>
        <v>0</v>
      </c>
      <c r="H968" s="31">
        <f t="shared" si="17"/>
        <v>136000</v>
      </c>
      <c r="I968" s="31"/>
      <c r="K968" t="s">
        <v>14</v>
      </c>
    </row>
    <row r="969" spans="2:11" ht="13" x14ac:dyDescent="0.15">
      <c r="B969" s="29" t="s">
        <v>1303</v>
      </c>
      <c r="C969" s="29" t="s">
        <v>180</v>
      </c>
      <c r="D969" s="31">
        <f>SUMIFS(D970:D1057,K970:K1057,"0",B970:B1057,"5 2 4 1 1 12 31111 6 M78 15000 171 00I*")-SUMIFS(E970:E1057,K970:K1057,"0",B970:B1057,"5 2 4 1 1 12 31111 6 M78 15000 171 00I*")</f>
        <v>0</v>
      </c>
      <c r="E969"/>
      <c r="F969" s="31">
        <f>SUMIFS(F970:F1057,K970:K1057,"0",B970:B1057,"5 2 4 1 1 12 31111 6 M78 15000 171 00I*")</f>
        <v>136000</v>
      </c>
      <c r="G969" s="31">
        <f>SUMIFS(G970:G1057,K970:K1057,"0",B970:B1057,"5 2 4 1 1 12 31111 6 M78 15000 171 00I*")</f>
        <v>0</v>
      </c>
      <c r="H969" s="31">
        <f t="shared" si="17"/>
        <v>136000</v>
      </c>
      <c r="I969" s="31"/>
      <c r="K969" t="s">
        <v>14</v>
      </c>
    </row>
    <row r="970" spans="2:11" ht="13" x14ac:dyDescent="0.15">
      <c r="B970" s="29" t="s">
        <v>1304</v>
      </c>
      <c r="C970" s="29" t="s">
        <v>562</v>
      </c>
      <c r="D970" s="31">
        <f>SUMIFS(D971:D1057,K971:K1057,"0",B971:B1057,"5 2 4 1 1 12 31111 6 M78 15000 171 00I 001*")-SUMIFS(E971:E1057,K971:K1057,"0",B971:B1057,"5 2 4 1 1 12 31111 6 M78 15000 171 00I 001*")</f>
        <v>0</v>
      </c>
      <c r="E970"/>
      <c r="F970" s="31">
        <f>SUMIFS(F971:F1057,K971:K1057,"0",B971:B1057,"5 2 4 1 1 12 31111 6 M78 15000 171 00I 001*")</f>
        <v>136000</v>
      </c>
      <c r="G970" s="31">
        <f>SUMIFS(G971:G1057,K971:K1057,"0",B971:B1057,"5 2 4 1 1 12 31111 6 M78 15000 171 00I 001*")</f>
        <v>0</v>
      </c>
      <c r="H970" s="31">
        <f t="shared" si="17"/>
        <v>136000</v>
      </c>
      <c r="I970" s="31"/>
      <c r="K970" t="s">
        <v>14</v>
      </c>
    </row>
    <row r="971" spans="2:11" ht="13" x14ac:dyDescent="0.15">
      <c r="B971" s="29" t="s">
        <v>1305</v>
      </c>
      <c r="C971" s="29" t="s">
        <v>432</v>
      </c>
      <c r="D971" s="31">
        <f>SUMIFS(D972:D1057,K972:K1057,"0",B972:B1057,"5 2 4 1 1 12 31111 6 M78 15000 171 00I 001 52411*")-SUMIFS(E972:E1057,K972:K1057,"0",B972:B1057,"5 2 4 1 1 12 31111 6 M78 15000 171 00I 001 52411*")</f>
        <v>0</v>
      </c>
      <c r="E971"/>
      <c r="F971" s="31">
        <f>SUMIFS(F972:F1057,K972:K1057,"0",B972:B1057,"5 2 4 1 1 12 31111 6 M78 15000 171 00I 001 52411*")</f>
        <v>136000</v>
      </c>
      <c r="G971" s="31">
        <f>SUMIFS(G972:G1057,K972:K1057,"0",B972:B1057,"5 2 4 1 1 12 31111 6 M78 15000 171 00I 001 52411*")</f>
        <v>0</v>
      </c>
      <c r="H971" s="31">
        <f t="shared" si="17"/>
        <v>136000</v>
      </c>
      <c r="I971" s="31"/>
      <c r="K971" t="s">
        <v>14</v>
      </c>
    </row>
    <row r="972" spans="2:11" ht="13" x14ac:dyDescent="0.15">
      <c r="B972" s="29" t="s">
        <v>1306</v>
      </c>
      <c r="C972" s="29" t="s">
        <v>1197</v>
      </c>
      <c r="D972" s="31">
        <f>SUMIFS(D973:D1057,K973:K1057,"0",B973:B1057,"5 2 4 1 1 12 31111 6 M78 15000 171 00I 001 52411 025*")-SUMIFS(E973:E1057,K973:K1057,"0",B973:B1057,"5 2 4 1 1 12 31111 6 M78 15000 171 00I 001 52411 025*")</f>
        <v>0</v>
      </c>
      <c r="E972"/>
      <c r="F972" s="31">
        <f>SUMIFS(F973:F1057,K973:K1057,"0",B973:B1057,"5 2 4 1 1 12 31111 6 M78 15000 171 00I 001 52411 025*")</f>
        <v>136000</v>
      </c>
      <c r="G972" s="31">
        <f>SUMIFS(G973:G1057,K973:K1057,"0",B973:B1057,"5 2 4 1 1 12 31111 6 M78 15000 171 00I 001 52411 025*")</f>
        <v>0</v>
      </c>
      <c r="H972" s="31">
        <f t="shared" ref="H972:H1008" si="18">D972 + F972 - G972</f>
        <v>136000</v>
      </c>
      <c r="I972" s="31"/>
      <c r="K972" t="s">
        <v>14</v>
      </c>
    </row>
    <row r="973" spans="2:11" ht="22" x14ac:dyDescent="0.15">
      <c r="B973" s="29" t="s">
        <v>1307</v>
      </c>
      <c r="C973" s="29" t="s">
        <v>1308</v>
      </c>
      <c r="D973" s="31">
        <f>SUMIFS(D974:D1057,K974:K1057,"0",B974:B1057,"5 2 4 1 1 12 31111 6 M78 15000 171 00I 001 52411 025 2151100*")-SUMIFS(E974:E1057,K974:K1057,"0",B974:B1057,"5 2 4 1 1 12 31111 6 M78 15000 171 00I 001 52411 025 2151100*")</f>
        <v>0</v>
      </c>
      <c r="E973"/>
      <c r="F973" s="31">
        <f>SUMIFS(F974:F1057,K974:K1057,"0",B974:B1057,"5 2 4 1 1 12 31111 6 M78 15000 171 00I 001 52411 025 2151100*")</f>
        <v>136000</v>
      </c>
      <c r="G973" s="31">
        <f>SUMIFS(G974:G1057,K974:K1057,"0",B974:B1057,"5 2 4 1 1 12 31111 6 M78 15000 171 00I 001 52411 025 2151100*")</f>
        <v>0</v>
      </c>
      <c r="H973" s="31">
        <f t="shared" si="18"/>
        <v>136000</v>
      </c>
      <c r="I973" s="31"/>
      <c r="K973" t="s">
        <v>14</v>
      </c>
    </row>
    <row r="974" spans="2:11" ht="22" x14ac:dyDescent="0.15">
      <c r="B974" s="29" t="s">
        <v>1309</v>
      </c>
      <c r="C974" s="29" t="s">
        <v>294</v>
      </c>
      <c r="D974" s="31">
        <f>SUMIFS(D975:D1057,K975:K1057,"0",B975:B1057,"5 2 4 1 1 12 31111 6 M78 15000 171 00I 001 52411 025 2151100 2024*")-SUMIFS(E975:E1057,K975:K1057,"0",B975:B1057,"5 2 4 1 1 12 31111 6 M78 15000 171 00I 001 52411 025 2151100 2024*")</f>
        <v>0</v>
      </c>
      <c r="E974"/>
      <c r="F974" s="31">
        <f>SUMIFS(F975:F1057,K975:K1057,"0",B975:B1057,"5 2 4 1 1 12 31111 6 M78 15000 171 00I 001 52411 025 2151100 2024*")</f>
        <v>136000</v>
      </c>
      <c r="G974" s="31">
        <f>SUMIFS(G975:G1057,K975:K1057,"0",B975:B1057,"5 2 4 1 1 12 31111 6 M78 15000 171 00I 001 52411 025 2151100 2024*")</f>
        <v>0</v>
      </c>
      <c r="H974" s="31">
        <f t="shared" si="18"/>
        <v>136000</v>
      </c>
      <c r="I974" s="31"/>
      <c r="K974" t="s">
        <v>14</v>
      </c>
    </row>
    <row r="975" spans="2:11" ht="22" x14ac:dyDescent="0.15">
      <c r="B975" s="29" t="s">
        <v>1310</v>
      </c>
      <c r="C975" s="29" t="s">
        <v>192</v>
      </c>
      <c r="D975" s="31">
        <f>SUMIFS(D976:D1057,K976:K1057,"0",B976:B1057,"5 2 4 1 1 12 31111 6 M78 15000 171 00I 001 52411 025 2151100 2024 00000000*")-SUMIFS(E976:E1057,K976:K1057,"0",B976:B1057,"5 2 4 1 1 12 31111 6 M78 15000 171 00I 001 52411 025 2151100 2024 00000000*")</f>
        <v>0</v>
      </c>
      <c r="E975"/>
      <c r="F975" s="31">
        <f>SUMIFS(F976:F1057,K976:K1057,"0",B976:B1057,"5 2 4 1 1 12 31111 6 M78 15000 171 00I 001 52411 025 2151100 2024 00000000*")</f>
        <v>136000</v>
      </c>
      <c r="G975" s="31">
        <f>SUMIFS(G976:G1057,K976:K1057,"0",B976:B1057,"5 2 4 1 1 12 31111 6 M78 15000 171 00I 001 52411 025 2151100 2024 00000000*")</f>
        <v>0</v>
      </c>
      <c r="H975" s="31">
        <f t="shared" si="18"/>
        <v>136000</v>
      </c>
      <c r="I975" s="31"/>
      <c r="K975" t="s">
        <v>14</v>
      </c>
    </row>
    <row r="976" spans="2:11" ht="22" x14ac:dyDescent="0.15">
      <c r="B976" s="29" t="s">
        <v>1311</v>
      </c>
      <c r="C976" s="29" t="s">
        <v>9</v>
      </c>
      <c r="D976" s="31">
        <f>SUMIFS(D977:D1057,K977:K1057,"0",B977:B1057,"5 2 4 1 1 12 31111 6 M78 15000 171 00I 001 52411 025 2151100 2024 00000000 003*")-SUMIFS(E977:E1057,K977:K1057,"0",B977:B1057,"5 2 4 1 1 12 31111 6 M78 15000 171 00I 001 52411 025 2151100 2024 00000000 003*")</f>
        <v>0</v>
      </c>
      <c r="E976"/>
      <c r="F976" s="31">
        <f>SUMIFS(F977:F1057,K977:K1057,"0",B977:B1057,"5 2 4 1 1 12 31111 6 M78 15000 171 00I 001 52411 025 2151100 2024 00000000 003*")</f>
        <v>136000</v>
      </c>
      <c r="G976" s="31">
        <f>SUMIFS(G977:G1057,K977:K1057,"0",B977:B1057,"5 2 4 1 1 12 31111 6 M78 15000 171 00I 001 52411 025 2151100 2024 00000000 003*")</f>
        <v>0</v>
      </c>
      <c r="H976" s="31">
        <f t="shared" si="18"/>
        <v>136000</v>
      </c>
      <c r="I976" s="31"/>
      <c r="K976" t="s">
        <v>14</v>
      </c>
    </row>
    <row r="977" spans="2:11" ht="22" x14ac:dyDescent="0.15">
      <c r="B977" s="27" t="s">
        <v>1312</v>
      </c>
      <c r="C977" s="27" t="s">
        <v>432</v>
      </c>
      <c r="D977" s="30">
        <v>0</v>
      </c>
      <c r="E977" s="30"/>
      <c r="F977" s="30">
        <v>136000</v>
      </c>
      <c r="G977" s="30">
        <v>0</v>
      </c>
      <c r="H977" s="30">
        <f t="shared" si="18"/>
        <v>136000</v>
      </c>
      <c r="I977" s="30"/>
      <c r="K977" t="s">
        <v>38</v>
      </c>
    </row>
    <row r="978" spans="2:11" ht="13" x14ac:dyDescent="0.15">
      <c r="B978" s="29" t="s">
        <v>1313</v>
      </c>
      <c r="C978" s="29" t="s">
        <v>1314</v>
      </c>
      <c r="D978" s="31">
        <f>SUMIFS(D979:D1057,K979:K1057,"0",B979:B1057,"5 2 5*")-SUMIFS(E979:E1057,K979:K1057,"0",B979:B1057,"5 2 5*")</f>
        <v>0</v>
      </c>
      <c r="E978"/>
      <c r="F978" s="31">
        <f>SUMIFS(F979:F1057,K979:K1057,"0",B979:B1057,"5 2 5*")</f>
        <v>0</v>
      </c>
      <c r="G978" s="31">
        <f>SUMIFS(G979:G1057,K979:K1057,"0",B979:B1057,"5 2 5*")</f>
        <v>0</v>
      </c>
      <c r="H978" s="31">
        <f t="shared" si="18"/>
        <v>0</v>
      </c>
      <c r="I978" s="31"/>
      <c r="K978" t="s">
        <v>14</v>
      </c>
    </row>
    <row r="979" spans="2:11" ht="13" x14ac:dyDescent="0.15">
      <c r="B979" s="29" t="s">
        <v>1315</v>
      </c>
      <c r="C979" s="29" t="s">
        <v>1316</v>
      </c>
      <c r="D979" s="31">
        <f>SUMIFS(D980:D1057,K980:K1057,"0",B980:B1057,"5 2 6*")-SUMIFS(E980:E1057,K980:K1057,"0",B980:B1057,"5 2 6*")</f>
        <v>0</v>
      </c>
      <c r="E979"/>
      <c r="F979" s="31">
        <f>SUMIFS(F980:F1057,K980:K1057,"0",B980:B1057,"5 2 6*")</f>
        <v>0</v>
      </c>
      <c r="G979" s="31">
        <f>SUMIFS(G980:G1057,K980:K1057,"0",B980:B1057,"5 2 6*")</f>
        <v>0</v>
      </c>
      <c r="H979" s="31">
        <f t="shared" si="18"/>
        <v>0</v>
      </c>
      <c r="I979" s="31"/>
      <c r="K979" t="s">
        <v>14</v>
      </c>
    </row>
    <row r="980" spans="2:11" ht="13" x14ac:dyDescent="0.15">
      <c r="B980" s="29" t="s">
        <v>1317</v>
      </c>
      <c r="C980" s="29" t="s">
        <v>1318</v>
      </c>
      <c r="D980" s="31">
        <f>SUMIFS(D981:D1057,K981:K1057,"0",B981:B1057,"5 2 7*")-SUMIFS(E981:E1057,K981:K1057,"0",B981:B1057,"5 2 7*")</f>
        <v>0</v>
      </c>
      <c r="E980"/>
      <c r="F980" s="31">
        <f>SUMIFS(F981:F1057,K981:K1057,"0",B981:B1057,"5 2 7*")</f>
        <v>0</v>
      </c>
      <c r="G980" s="31">
        <f>SUMIFS(G981:G1057,K981:K1057,"0",B981:B1057,"5 2 7*")</f>
        <v>0</v>
      </c>
      <c r="H980" s="31">
        <f t="shared" si="18"/>
        <v>0</v>
      </c>
      <c r="I980" s="31"/>
      <c r="K980" t="s">
        <v>14</v>
      </c>
    </row>
    <row r="981" spans="2:11" ht="13" x14ac:dyDescent="0.15">
      <c r="B981" s="29" t="s">
        <v>1319</v>
      </c>
      <c r="C981" s="29" t="s">
        <v>1320</v>
      </c>
      <c r="D981" s="31">
        <f>SUMIFS(D982:D1057,K982:K1057,"0",B982:B1057,"5 2 8*")-SUMIFS(E982:E1057,K982:K1057,"0",B982:B1057,"5 2 8*")</f>
        <v>0</v>
      </c>
      <c r="E981"/>
      <c r="F981" s="31">
        <f>SUMIFS(F982:F1057,K982:K1057,"0",B982:B1057,"5 2 8*")</f>
        <v>0</v>
      </c>
      <c r="G981" s="31">
        <f>SUMIFS(G982:G1057,K982:K1057,"0",B982:B1057,"5 2 8*")</f>
        <v>0</v>
      </c>
      <c r="H981" s="31">
        <f t="shared" si="18"/>
        <v>0</v>
      </c>
      <c r="I981" s="31"/>
      <c r="K981" t="s">
        <v>14</v>
      </c>
    </row>
    <row r="982" spans="2:11" ht="13" x14ac:dyDescent="0.15">
      <c r="B982" s="29" t="s">
        <v>1321</v>
      </c>
      <c r="C982" s="29" t="s">
        <v>1322</v>
      </c>
      <c r="D982" s="31">
        <f>SUMIFS(D983:D1057,K983:K1057,"0",B983:B1057,"5 2 9*")-SUMIFS(E983:E1057,K983:K1057,"0",B983:B1057,"5 2 9*")</f>
        <v>0</v>
      </c>
      <c r="E982"/>
      <c r="F982" s="31">
        <f>SUMIFS(F983:F1057,K983:K1057,"0",B983:B1057,"5 2 9*")</f>
        <v>0</v>
      </c>
      <c r="G982" s="31">
        <f>SUMIFS(G983:G1057,K983:K1057,"0",B983:B1057,"5 2 9*")</f>
        <v>0</v>
      </c>
      <c r="H982" s="31">
        <f t="shared" si="18"/>
        <v>0</v>
      </c>
      <c r="I982" s="31"/>
      <c r="K982" t="s">
        <v>14</v>
      </c>
    </row>
    <row r="983" spans="2:11" ht="13" x14ac:dyDescent="0.15">
      <c r="B983" s="29" t="s">
        <v>1323</v>
      </c>
      <c r="C983" s="29" t="s">
        <v>1324</v>
      </c>
      <c r="D983" s="31">
        <f>SUMIFS(D984:D1057,K984:K1057,"0",B984:B1057,"5 3*")-SUMIFS(E984:E1057,K984:K1057,"0",B984:B1057,"5 3*")</f>
        <v>0</v>
      </c>
      <c r="E983"/>
      <c r="F983" s="31">
        <f>SUMIFS(F984:F1057,K984:K1057,"0",B984:B1057,"5 3*")</f>
        <v>0</v>
      </c>
      <c r="G983" s="31">
        <f>SUMIFS(G984:G1057,K984:K1057,"0",B984:B1057,"5 3*")</f>
        <v>0</v>
      </c>
      <c r="H983" s="31">
        <f t="shared" si="18"/>
        <v>0</v>
      </c>
      <c r="I983" s="31"/>
      <c r="K983" t="s">
        <v>14</v>
      </c>
    </row>
    <row r="984" spans="2:11" ht="13" x14ac:dyDescent="0.15">
      <c r="B984" s="29" t="s">
        <v>1325</v>
      </c>
      <c r="C984" s="29" t="s">
        <v>1326</v>
      </c>
      <c r="D984" s="31">
        <f>SUMIFS(D985:D1057,K985:K1057,"0",B985:B1057,"5 3 1*")-SUMIFS(E985:E1057,K985:K1057,"0",B985:B1057,"5 3 1*")</f>
        <v>0</v>
      </c>
      <c r="E984"/>
      <c r="F984" s="31">
        <f>SUMIFS(F985:F1057,K985:K1057,"0",B985:B1057,"5 3 1*")</f>
        <v>0</v>
      </c>
      <c r="G984" s="31">
        <f>SUMIFS(G985:G1057,K985:K1057,"0",B985:B1057,"5 3 1*")</f>
        <v>0</v>
      </c>
      <c r="H984" s="31">
        <f t="shared" si="18"/>
        <v>0</v>
      </c>
      <c r="I984" s="31"/>
      <c r="K984" t="s">
        <v>14</v>
      </c>
    </row>
    <row r="985" spans="2:11" ht="13" x14ac:dyDescent="0.15">
      <c r="B985" s="29" t="s">
        <v>1327</v>
      </c>
      <c r="C985" s="29" t="s">
        <v>500</v>
      </c>
      <c r="D985" s="31">
        <f>SUMIFS(D986:D1057,K986:K1057,"0",B986:B1057,"5 3 2*")-SUMIFS(E986:E1057,K986:K1057,"0",B986:B1057,"5 3 2*")</f>
        <v>0</v>
      </c>
      <c r="E985"/>
      <c r="F985" s="31">
        <f>SUMIFS(F986:F1057,K986:K1057,"0",B986:B1057,"5 3 2*")</f>
        <v>0</v>
      </c>
      <c r="G985" s="31">
        <f>SUMIFS(G986:G1057,K986:K1057,"0",B986:B1057,"5 3 2*")</f>
        <v>0</v>
      </c>
      <c r="H985" s="31">
        <f t="shared" si="18"/>
        <v>0</v>
      </c>
      <c r="I985" s="31"/>
      <c r="K985" t="s">
        <v>14</v>
      </c>
    </row>
    <row r="986" spans="2:11" ht="13" x14ac:dyDescent="0.15">
      <c r="B986" s="29" t="s">
        <v>1328</v>
      </c>
      <c r="C986" s="29" t="s">
        <v>1329</v>
      </c>
      <c r="D986" s="31">
        <f>SUMIFS(D987:D1057,K987:K1057,"0",B987:B1057,"5 3 3*")-SUMIFS(E987:E1057,K987:K1057,"0",B987:B1057,"5 3 3*")</f>
        <v>0</v>
      </c>
      <c r="E986"/>
      <c r="F986" s="31">
        <f>SUMIFS(F987:F1057,K987:K1057,"0",B987:B1057,"5 3 3*")</f>
        <v>0</v>
      </c>
      <c r="G986" s="31">
        <f>SUMIFS(G987:G1057,K987:K1057,"0",B987:B1057,"5 3 3*")</f>
        <v>0</v>
      </c>
      <c r="H986" s="31">
        <f t="shared" si="18"/>
        <v>0</v>
      </c>
      <c r="I986" s="31"/>
      <c r="K986" t="s">
        <v>14</v>
      </c>
    </row>
    <row r="987" spans="2:11" ht="13" x14ac:dyDescent="0.15">
      <c r="B987" s="29" t="s">
        <v>1330</v>
      </c>
      <c r="C987" s="29" t="s">
        <v>1331</v>
      </c>
      <c r="D987" s="31">
        <f>SUMIFS(D988:D1057,K988:K1057,"0",B988:B1057,"5 4*")-SUMIFS(E988:E1057,K988:K1057,"0",B988:B1057,"5 4*")</f>
        <v>0</v>
      </c>
      <c r="E987"/>
      <c r="F987" s="31">
        <f>SUMIFS(F988:F1057,K988:K1057,"0",B988:B1057,"5 4*")</f>
        <v>0</v>
      </c>
      <c r="G987" s="31">
        <f>SUMIFS(G988:G1057,K988:K1057,"0",B988:B1057,"5 4*")</f>
        <v>0</v>
      </c>
      <c r="H987" s="31">
        <f t="shared" si="18"/>
        <v>0</v>
      </c>
      <c r="I987" s="31"/>
      <c r="K987" t="s">
        <v>14</v>
      </c>
    </row>
    <row r="988" spans="2:11" ht="13" x14ac:dyDescent="0.15">
      <c r="B988" s="29" t="s">
        <v>1332</v>
      </c>
      <c r="C988" s="29" t="s">
        <v>1333</v>
      </c>
      <c r="D988" s="31">
        <f>SUMIFS(D989:D1057,K989:K1057,"0",B989:B1057,"5 4 1*")-SUMIFS(E989:E1057,K989:K1057,"0",B989:B1057,"5 4 1*")</f>
        <v>0</v>
      </c>
      <c r="E988"/>
      <c r="F988" s="31">
        <f>SUMIFS(F989:F1057,K989:K1057,"0",B989:B1057,"5 4 1*")</f>
        <v>0</v>
      </c>
      <c r="G988" s="31">
        <f>SUMIFS(G989:G1057,K989:K1057,"0",B989:B1057,"5 4 1*")</f>
        <v>0</v>
      </c>
      <c r="H988" s="31">
        <f t="shared" si="18"/>
        <v>0</v>
      </c>
      <c r="I988" s="31"/>
      <c r="K988" t="s">
        <v>14</v>
      </c>
    </row>
    <row r="989" spans="2:11" ht="13" x14ac:dyDescent="0.15">
      <c r="B989" s="29" t="s">
        <v>1334</v>
      </c>
      <c r="C989" s="29" t="s">
        <v>1335</v>
      </c>
      <c r="D989" s="31">
        <f>SUMIFS(D990:D1057,K990:K1057,"0",B990:B1057,"5 4 2*")-SUMIFS(E990:E1057,K990:K1057,"0",B990:B1057,"5 4 2*")</f>
        <v>0</v>
      </c>
      <c r="E989"/>
      <c r="F989" s="31">
        <f>SUMIFS(F990:F1057,K990:K1057,"0",B990:B1057,"5 4 2*")</f>
        <v>0</v>
      </c>
      <c r="G989" s="31">
        <f>SUMIFS(G990:G1057,K990:K1057,"0",B990:B1057,"5 4 2*")</f>
        <v>0</v>
      </c>
      <c r="H989" s="31">
        <f t="shared" si="18"/>
        <v>0</v>
      </c>
      <c r="I989" s="31"/>
      <c r="K989" t="s">
        <v>14</v>
      </c>
    </row>
    <row r="990" spans="2:11" ht="13" x14ac:dyDescent="0.15">
      <c r="B990" s="29" t="s">
        <v>1336</v>
      </c>
      <c r="C990" s="29" t="s">
        <v>1337</v>
      </c>
      <c r="D990" s="31">
        <f>SUMIFS(D991:D1057,K991:K1057,"0",B991:B1057,"5 4 3*")-SUMIFS(E991:E1057,K991:K1057,"0",B991:B1057,"5 4 3*")</f>
        <v>0</v>
      </c>
      <c r="E990"/>
      <c r="F990" s="31">
        <f>SUMIFS(F991:F1057,K991:K1057,"0",B991:B1057,"5 4 3*")</f>
        <v>0</v>
      </c>
      <c r="G990" s="31">
        <f>SUMIFS(G991:G1057,K991:K1057,"0",B991:B1057,"5 4 3*")</f>
        <v>0</v>
      </c>
      <c r="H990" s="31">
        <f t="shared" si="18"/>
        <v>0</v>
      </c>
      <c r="I990" s="31"/>
      <c r="K990" t="s">
        <v>14</v>
      </c>
    </row>
    <row r="991" spans="2:11" ht="13" x14ac:dyDescent="0.15">
      <c r="B991" s="29" t="s">
        <v>1338</v>
      </c>
      <c r="C991" s="29" t="s">
        <v>1339</v>
      </c>
      <c r="D991" s="31">
        <f>SUMIFS(D992:D1057,K992:K1057,"0",B992:B1057,"5 4 4*")-SUMIFS(E992:E1057,K992:K1057,"0",B992:B1057,"5 4 4*")</f>
        <v>0</v>
      </c>
      <c r="E991"/>
      <c r="F991" s="31">
        <f>SUMIFS(F992:F1057,K992:K1057,"0",B992:B1057,"5 4 4*")</f>
        <v>0</v>
      </c>
      <c r="G991" s="31">
        <f>SUMIFS(G992:G1057,K992:K1057,"0",B992:B1057,"5 4 4*")</f>
        <v>0</v>
      </c>
      <c r="H991" s="31">
        <f t="shared" si="18"/>
        <v>0</v>
      </c>
      <c r="I991" s="31"/>
      <c r="K991" t="s">
        <v>14</v>
      </c>
    </row>
    <row r="992" spans="2:11" ht="13" x14ac:dyDescent="0.15">
      <c r="B992" s="29" t="s">
        <v>1340</v>
      </c>
      <c r="C992" s="29" t="s">
        <v>1341</v>
      </c>
      <c r="D992" s="31">
        <f>SUMIFS(D993:D1057,K993:K1057,"0",B993:B1057,"5 4 5*")-SUMIFS(E993:E1057,K993:K1057,"0",B993:B1057,"5 4 5*")</f>
        <v>0</v>
      </c>
      <c r="E992"/>
      <c r="F992" s="31">
        <f>SUMIFS(F993:F1057,K993:K1057,"0",B993:B1057,"5 4 5*")</f>
        <v>0</v>
      </c>
      <c r="G992" s="31">
        <f>SUMIFS(G993:G1057,K993:K1057,"0",B993:B1057,"5 4 5*")</f>
        <v>0</v>
      </c>
      <c r="H992" s="31">
        <f t="shared" si="18"/>
        <v>0</v>
      </c>
      <c r="I992" s="31"/>
      <c r="K992" t="s">
        <v>14</v>
      </c>
    </row>
    <row r="993" spans="2:11" ht="13" x14ac:dyDescent="0.15">
      <c r="B993" s="29" t="s">
        <v>1342</v>
      </c>
      <c r="C993" s="29" t="s">
        <v>1343</v>
      </c>
      <c r="D993" s="31">
        <f>SUMIFS(D994:D1057,K994:K1057,"0",B994:B1057,"5 5*")-SUMIFS(E994:E1057,K994:K1057,"0",B994:B1057,"5 5*")</f>
        <v>0</v>
      </c>
      <c r="E993"/>
      <c r="F993" s="31">
        <f>SUMIFS(F994:F1057,K994:K1057,"0",B994:B1057,"5 5*")</f>
        <v>0</v>
      </c>
      <c r="G993" s="31">
        <f>SUMIFS(G994:G1057,K994:K1057,"0",B994:B1057,"5 5*")</f>
        <v>0</v>
      </c>
      <c r="H993" s="31">
        <f t="shared" si="18"/>
        <v>0</v>
      </c>
      <c r="I993" s="31"/>
      <c r="K993" t="s">
        <v>14</v>
      </c>
    </row>
    <row r="994" spans="2:11" ht="22" x14ac:dyDescent="0.15">
      <c r="B994" s="29" t="s">
        <v>1344</v>
      </c>
      <c r="C994" s="29" t="s">
        <v>1345</v>
      </c>
      <c r="D994" s="31">
        <f>SUMIFS(D995:D1057,K995:K1057,"0",B995:B1057,"5 5 1*")-SUMIFS(E995:E1057,K995:K1057,"0",B995:B1057,"5 5 1*")</f>
        <v>0</v>
      </c>
      <c r="E994"/>
      <c r="F994" s="31">
        <f>SUMIFS(F995:F1057,K995:K1057,"0",B995:B1057,"5 5 1*")</f>
        <v>0</v>
      </c>
      <c r="G994" s="31">
        <f>SUMIFS(G995:G1057,K995:K1057,"0",B995:B1057,"5 5 1*")</f>
        <v>0</v>
      </c>
      <c r="H994" s="31">
        <f t="shared" si="18"/>
        <v>0</v>
      </c>
      <c r="I994" s="31"/>
      <c r="K994" t="s">
        <v>14</v>
      </c>
    </row>
    <row r="995" spans="2:11" ht="13" x14ac:dyDescent="0.15">
      <c r="B995" s="29" t="s">
        <v>1346</v>
      </c>
      <c r="C995" s="29" t="s">
        <v>1347</v>
      </c>
      <c r="D995" s="31">
        <f>SUMIFS(D996:D1057,K996:K1057,"0",B996:B1057,"5 5 2*")-SUMIFS(E996:E1057,K996:K1057,"0",B996:B1057,"5 5 2*")</f>
        <v>0</v>
      </c>
      <c r="E995"/>
      <c r="F995" s="31">
        <f>SUMIFS(F996:F1057,K996:K1057,"0",B996:B1057,"5 5 2*")</f>
        <v>0</v>
      </c>
      <c r="G995" s="31">
        <f>SUMIFS(G996:G1057,K996:K1057,"0",B996:B1057,"5 5 2*")</f>
        <v>0</v>
      </c>
      <c r="H995" s="31">
        <f t="shared" si="18"/>
        <v>0</v>
      </c>
      <c r="I995" s="31"/>
      <c r="K995" t="s">
        <v>14</v>
      </c>
    </row>
    <row r="996" spans="2:11" ht="13" x14ac:dyDescent="0.15">
      <c r="B996" s="29" t="s">
        <v>1348</v>
      </c>
      <c r="C996" s="29" t="s">
        <v>1349</v>
      </c>
      <c r="D996" s="31">
        <f>SUMIFS(D997:D1057,K997:K1057,"0",B997:B1057,"5 5 3*")-SUMIFS(E997:E1057,K997:K1057,"0",B997:B1057,"5 5 3*")</f>
        <v>0</v>
      </c>
      <c r="E996"/>
      <c r="F996" s="31">
        <f>SUMIFS(F997:F1057,K997:K1057,"0",B997:B1057,"5 5 3*")</f>
        <v>0</v>
      </c>
      <c r="G996" s="31">
        <f>SUMIFS(G997:G1057,K997:K1057,"0",B997:B1057,"5 5 3*")</f>
        <v>0</v>
      </c>
      <c r="H996" s="31">
        <f t="shared" si="18"/>
        <v>0</v>
      </c>
      <c r="I996" s="31"/>
      <c r="K996" t="s">
        <v>14</v>
      </c>
    </row>
    <row r="997" spans="2:11" ht="22" x14ac:dyDescent="0.15">
      <c r="B997" s="29" t="s">
        <v>1350</v>
      </c>
      <c r="C997" s="29" t="s">
        <v>1351</v>
      </c>
      <c r="D997" s="31">
        <f>SUMIFS(D998:D1057,K998:K1057,"0",B998:B1057,"5 5 4*")-SUMIFS(E998:E1057,K998:K1057,"0",B998:B1057,"5 5 4*")</f>
        <v>0</v>
      </c>
      <c r="E997"/>
      <c r="F997" s="31">
        <f>SUMIFS(F998:F1057,K998:K1057,"0",B998:B1057,"5 5 4*")</f>
        <v>0</v>
      </c>
      <c r="G997" s="31">
        <f>SUMIFS(G998:G1057,K998:K1057,"0",B998:B1057,"5 5 4*")</f>
        <v>0</v>
      </c>
      <c r="H997" s="31">
        <f t="shared" si="18"/>
        <v>0</v>
      </c>
      <c r="I997" s="31"/>
      <c r="K997" t="s">
        <v>14</v>
      </c>
    </row>
    <row r="998" spans="2:11" ht="13" x14ac:dyDescent="0.15">
      <c r="B998" s="29" t="s">
        <v>1352</v>
      </c>
      <c r="C998" s="29" t="s">
        <v>1353</v>
      </c>
      <c r="D998" s="31">
        <f>SUMIFS(D999:D1057,K999:K1057,"0",B999:B1057,"5 5 5*")-SUMIFS(E999:E1057,K999:K1057,"0",B999:B1057,"5 5 5*")</f>
        <v>0</v>
      </c>
      <c r="E998"/>
      <c r="F998" s="31">
        <f>SUMIFS(F999:F1057,K999:K1057,"0",B999:B1057,"5 5 5*")</f>
        <v>0</v>
      </c>
      <c r="G998" s="31">
        <f>SUMIFS(G999:G1057,K999:K1057,"0",B999:B1057,"5 5 5*")</f>
        <v>0</v>
      </c>
      <c r="H998" s="31">
        <f t="shared" si="18"/>
        <v>0</v>
      </c>
      <c r="I998" s="31"/>
      <c r="K998" t="s">
        <v>14</v>
      </c>
    </row>
    <row r="999" spans="2:11" ht="13" x14ac:dyDescent="0.15">
      <c r="B999" s="29" t="s">
        <v>1354</v>
      </c>
      <c r="C999" s="29" t="s">
        <v>1355</v>
      </c>
      <c r="D999" s="31">
        <f>SUMIFS(D1000:D1057,K1000:K1057,"0",B1000:B1057,"5 5 9*")-SUMIFS(E1000:E1057,K1000:K1057,"0",B1000:B1057,"5 5 9*")</f>
        <v>0</v>
      </c>
      <c r="E999"/>
      <c r="F999" s="31">
        <f>SUMIFS(F1000:F1057,K1000:K1057,"0",B1000:B1057,"5 5 9*")</f>
        <v>0</v>
      </c>
      <c r="G999" s="31">
        <f>SUMIFS(G1000:G1057,K1000:K1057,"0",B1000:B1057,"5 5 9*")</f>
        <v>0</v>
      </c>
      <c r="H999" s="31">
        <f t="shared" si="18"/>
        <v>0</v>
      </c>
      <c r="I999" s="31"/>
      <c r="K999" t="s">
        <v>14</v>
      </c>
    </row>
    <row r="1000" spans="2:11" ht="13" x14ac:dyDescent="0.15">
      <c r="B1000" s="29" t="s">
        <v>1356</v>
      </c>
      <c r="C1000" s="29" t="s">
        <v>1357</v>
      </c>
      <c r="D1000" s="31">
        <f>SUMIFS(D1001:D1057,K1001:K1057,"0",B1001:B1057,"5 6*")-SUMIFS(E1001:E1057,K1001:K1057,"0",B1001:B1057,"5 6*")</f>
        <v>0</v>
      </c>
      <c r="E1000"/>
      <c r="F1000" s="31">
        <f>SUMIFS(F1001:F1057,K1001:K1057,"0",B1001:B1057,"5 6*")</f>
        <v>0</v>
      </c>
      <c r="G1000" s="31">
        <f>SUMIFS(G1001:G1057,K1001:K1057,"0",B1001:B1057,"5 6*")</f>
        <v>0</v>
      </c>
      <c r="H1000" s="31">
        <f t="shared" si="18"/>
        <v>0</v>
      </c>
      <c r="I1000" s="31"/>
      <c r="K1000" t="s">
        <v>14</v>
      </c>
    </row>
    <row r="1001" spans="2:11" ht="13" x14ac:dyDescent="0.15">
      <c r="B1001" s="29" t="s">
        <v>1358</v>
      </c>
      <c r="C1001" s="29" t="s">
        <v>1359</v>
      </c>
      <c r="D1001" s="31">
        <f>SUMIFS(D1002:D1057,K1002:K1057,"0",B1002:B1057,"5 6 1*")-SUMIFS(E1002:E1057,K1002:K1057,"0",B1002:B1057,"5 6 1*")</f>
        <v>0</v>
      </c>
      <c r="E1001"/>
      <c r="F1001" s="31">
        <f>SUMIFS(F1002:F1057,K1002:K1057,"0",B1002:B1057,"5 6 1*")</f>
        <v>0</v>
      </c>
      <c r="G1001" s="31">
        <f>SUMIFS(G1002:G1057,K1002:K1057,"0",B1002:B1057,"5 6 1*")</f>
        <v>0</v>
      </c>
      <c r="H1001" s="31">
        <f t="shared" si="18"/>
        <v>0</v>
      </c>
      <c r="I1001" s="31"/>
      <c r="K1001" t="s">
        <v>14</v>
      </c>
    </row>
    <row r="1002" spans="2:11" ht="13" x14ac:dyDescent="0.15">
      <c r="B1002" s="29" t="s">
        <v>1360</v>
      </c>
      <c r="C1002" s="29" t="s">
        <v>1361</v>
      </c>
      <c r="D1002" s="31">
        <f>SUMIFS(D1003:D1057,K1003:K1057,"0",B1003:B1057,"6*")-SUMIFS(E1003:E1057,K1003:K1057,"0",B1003:B1057,"6*")</f>
        <v>0</v>
      </c>
      <c r="E1002"/>
      <c r="F1002" s="31">
        <f>SUMIFS(F1003:F1057,K1003:K1057,"0",B1003:B1057,"6*")</f>
        <v>0</v>
      </c>
      <c r="G1002" s="31">
        <f>SUMIFS(G1003:G1057,K1003:K1057,"0",B1003:B1057,"6*")</f>
        <v>0</v>
      </c>
      <c r="H1002" s="31">
        <f t="shared" si="18"/>
        <v>0</v>
      </c>
      <c r="I1002" s="31"/>
      <c r="K1002" t="s">
        <v>14</v>
      </c>
    </row>
    <row r="1003" spans="2:11" ht="13" x14ac:dyDescent="0.15">
      <c r="B1003" s="27" t="s">
        <v>1362</v>
      </c>
      <c r="C1003" s="27" t="s">
        <v>1363</v>
      </c>
      <c r="D1003" s="30">
        <v>0</v>
      </c>
      <c r="E1003" s="30"/>
      <c r="F1003" s="30">
        <v>0</v>
      </c>
      <c r="G1003" s="30">
        <v>0</v>
      </c>
      <c r="H1003" s="30">
        <f t="shared" si="18"/>
        <v>0</v>
      </c>
      <c r="I1003" s="30"/>
      <c r="K1003" t="s">
        <v>38</v>
      </c>
    </row>
    <row r="1004" spans="2:11" ht="13" x14ac:dyDescent="0.15">
      <c r="B1004" s="27" t="s">
        <v>1364</v>
      </c>
      <c r="C1004" s="27" t="s">
        <v>1365</v>
      </c>
      <c r="D1004" s="30">
        <v>0</v>
      </c>
      <c r="E1004" s="30"/>
      <c r="F1004" s="30">
        <v>0</v>
      </c>
      <c r="G1004" s="30">
        <v>0</v>
      </c>
      <c r="H1004" s="30">
        <f t="shared" si="18"/>
        <v>0</v>
      </c>
      <c r="I1004" s="30"/>
      <c r="K1004" t="s">
        <v>38</v>
      </c>
    </row>
    <row r="1005" spans="2:11" ht="13" x14ac:dyDescent="0.15">
      <c r="B1005" s="27" t="s">
        <v>1366</v>
      </c>
      <c r="C1005" s="27" t="s">
        <v>1367</v>
      </c>
      <c r="D1005" s="30">
        <v>0</v>
      </c>
      <c r="E1005" s="30"/>
      <c r="F1005" s="30">
        <v>0</v>
      </c>
      <c r="G1005" s="30">
        <v>0</v>
      </c>
      <c r="H1005" s="30">
        <f t="shared" si="18"/>
        <v>0</v>
      </c>
      <c r="I1005" s="30"/>
      <c r="K1005" t="s">
        <v>38</v>
      </c>
    </row>
    <row r="1006" spans="2:11" ht="13" x14ac:dyDescent="0.15">
      <c r="B1006" s="29" t="s">
        <v>1368</v>
      </c>
      <c r="C1006" s="29" t="s">
        <v>1369</v>
      </c>
      <c r="D1006" s="31">
        <f>SUMIFS(D1007:D1057,K1007:K1057,"0",B1007:B1057,"7*")-SUMIFS(E1007:E1057,K1007:K1057,"0",B1007:B1057,"7*")</f>
        <v>0</v>
      </c>
      <c r="E1006"/>
      <c r="F1006" s="31">
        <f>SUMIFS(F1007:F1057,K1007:K1057,"0",B1007:B1057,"7*")</f>
        <v>0</v>
      </c>
      <c r="G1006" s="31">
        <f>SUMIFS(G1007:G1057,K1007:K1057,"0",B1007:B1057,"7*")</f>
        <v>0</v>
      </c>
      <c r="H1006" s="31">
        <f t="shared" si="18"/>
        <v>0</v>
      </c>
      <c r="I1006" s="31"/>
      <c r="K1006" t="s">
        <v>14</v>
      </c>
    </row>
    <row r="1007" spans="2:11" ht="13" x14ac:dyDescent="0.15">
      <c r="B1007" s="29" t="s">
        <v>1370</v>
      </c>
      <c r="C1007" s="29" t="s">
        <v>1371</v>
      </c>
      <c r="D1007" s="31">
        <f>SUMIFS(D1008:D1057,K1008:K1057,"0",B1008:B1057,"7 1*")-SUMIFS(E1008:E1057,K1008:K1057,"0",B1008:B1057,"7 1*")</f>
        <v>0</v>
      </c>
      <c r="E1007"/>
      <c r="F1007" s="31">
        <f>SUMIFS(F1008:F1057,K1008:K1057,"0",B1008:B1057,"7 1*")</f>
        <v>0</v>
      </c>
      <c r="G1007" s="31">
        <f>SUMIFS(G1008:G1057,K1008:K1057,"0",B1008:B1057,"7 1*")</f>
        <v>0</v>
      </c>
      <c r="H1007" s="31">
        <f t="shared" si="18"/>
        <v>0</v>
      </c>
      <c r="I1007" s="31"/>
      <c r="K1007" t="s">
        <v>14</v>
      </c>
    </row>
    <row r="1008" spans="2:11" ht="13" x14ac:dyDescent="0.15">
      <c r="B1008" s="29" t="s">
        <v>1372</v>
      </c>
      <c r="C1008" s="29" t="s">
        <v>1373</v>
      </c>
      <c r="D1008" s="31">
        <f>SUMIFS(D1009:D1057,K1009:K1057,"0",B1009:B1057,"7 1 1*")-SUMIFS(E1009:E1057,K1009:K1057,"0",B1009:B1057,"7 1 1*")</f>
        <v>0</v>
      </c>
      <c r="E1008"/>
      <c r="F1008" s="31">
        <f>SUMIFS(F1009:F1057,K1009:K1057,"0",B1009:B1057,"7 1 1*")</f>
        <v>0</v>
      </c>
      <c r="G1008" s="31">
        <f>SUMIFS(G1009:G1057,K1009:K1057,"0",B1009:B1057,"7 1 1*")</f>
        <v>0</v>
      </c>
      <c r="H1008" s="31">
        <f t="shared" si="18"/>
        <v>0</v>
      </c>
      <c r="I1008" s="31"/>
      <c r="K1008" t="s">
        <v>14</v>
      </c>
    </row>
    <row r="1009" spans="2:11" ht="13" x14ac:dyDescent="0.15">
      <c r="B1009" s="29" t="s">
        <v>1374</v>
      </c>
      <c r="C1009" s="29" t="s">
        <v>1375</v>
      </c>
      <c r="D1009"/>
      <c r="E1009" s="31">
        <f>SUMIFS(E1010:E1057,K1010:K1057,"0",B1010:B1057,"7 1 2*")-SUMIFS(D1010:D1057,K1010:K1057,"0",B1010:B1057,"7 1 2*")</f>
        <v>0</v>
      </c>
      <c r="F1009" s="31">
        <f>SUMIFS(F1010:F1057,K1010:K1057,"0",B1010:B1057,"7 1 2*")</f>
        <v>0</v>
      </c>
      <c r="G1009" s="31">
        <f>SUMIFS(G1010:G1057,K1010:K1057,"0",B1010:B1057,"7 1 2*")</f>
        <v>0</v>
      </c>
      <c r="H1009" s="31"/>
      <c r="I1009" s="31">
        <f>E1009 - F1009 + G1009</f>
        <v>0</v>
      </c>
      <c r="K1009" t="s">
        <v>14</v>
      </c>
    </row>
    <row r="1010" spans="2:11" ht="13" x14ac:dyDescent="0.15">
      <c r="B1010" s="29" t="s">
        <v>1376</v>
      </c>
      <c r="C1010" s="29" t="s">
        <v>1377</v>
      </c>
      <c r="D1010" s="31">
        <f>SUMIFS(D1011:D1057,K1011:K1057,"0",B1011:B1057,"7 1 3*")-SUMIFS(E1011:E1057,K1011:K1057,"0",B1011:B1057,"7 1 3*")</f>
        <v>0</v>
      </c>
      <c r="E1010"/>
      <c r="F1010" s="31">
        <f>SUMIFS(F1011:F1057,K1011:K1057,"0",B1011:B1057,"7 1 3*")</f>
        <v>0</v>
      </c>
      <c r="G1010" s="31">
        <f>SUMIFS(G1011:G1057,K1011:K1057,"0",B1011:B1057,"7 1 3*")</f>
        <v>0</v>
      </c>
      <c r="H1010" s="31">
        <f>D1010 + F1010 - G1010</f>
        <v>0</v>
      </c>
      <c r="I1010" s="31"/>
      <c r="K1010" t="s">
        <v>14</v>
      </c>
    </row>
    <row r="1011" spans="2:11" ht="22" x14ac:dyDescent="0.15">
      <c r="B1011" s="29" t="s">
        <v>1378</v>
      </c>
      <c r="C1011" s="29" t="s">
        <v>1379</v>
      </c>
      <c r="D1011"/>
      <c r="E1011" s="31">
        <f>SUMIFS(E1012:E1057,K1012:K1057,"0",B1012:B1057,"7 1 4*")-SUMIFS(D1012:D1057,K1012:K1057,"0",B1012:B1057,"7 1 4*")</f>
        <v>0</v>
      </c>
      <c r="F1011" s="31">
        <f>SUMIFS(F1012:F1057,K1012:K1057,"0",B1012:B1057,"7 1 4*")</f>
        <v>0</v>
      </c>
      <c r="G1011" s="31">
        <f>SUMIFS(G1012:G1057,K1012:K1057,"0",B1012:B1057,"7 1 4*")</f>
        <v>0</v>
      </c>
      <c r="H1011" s="31"/>
      <c r="I1011" s="31">
        <f>E1011 - F1011 + G1011</f>
        <v>0</v>
      </c>
      <c r="K1011" t="s">
        <v>14</v>
      </c>
    </row>
    <row r="1012" spans="2:11" ht="22" x14ac:dyDescent="0.15">
      <c r="B1012" s="29" t="s">
        <v>1380</v>
      </c>
      <c r="C1012" s="29" t="s">
        <v>1381</v>
      </c>
      <c r="D1012" s="31">
        <f>SUMIFS(D1013:D1057,K1013:K1057,"0",B1013:B1057,"7 1 5*")-SUMIFS(E1013:E1057,K1013:K1057,"0",B1013:B1057,"7 1 5*")</f>
        <v>0</v>
      </c>
      <c r="E1012"/>
      <c r="F1012" s="31">
        <f>SUMIFS(F1013:F1057,K1013:K1057,"0",B1013:B1057,"7 1 5*")</f>
        <v>0</v>
      </c>
      <c r="G1012" s="31">
        <f>SUMIFS(G1013:G1057,K1013:K1057,"0",B1013:B1057,"7 1 5*")</f>
        <v>0</v>
      </c>
      <c r="H1012" s="31">
        <f>D1012 + F1012 - G1012</f>
        <v>0</v>
      </c>
      <c r="I1012" s="31"/>
      <c r="K1012" t="s">
        <v>14</v>
      </c>
    </row>
    <row r="1013" spans="2:11" ht="13" x14ac:dyDescent="0.15">
      <c r="B1013" s="29" t="s">
        <v>1382</v>
      </c>
      <c r="C1013" s="29" t="s">
        <v>1383</v>
      </c>
      <c r="D1013"/>
      <c r="E1013" s="31">
        <f>SUMIFS(E1014:E1057,K1014:K1057,"0",B1014:B1057,"7 1 6*")-SUMIFS(D1014:D1057,K1014:K1057,"0",B1014:B1057,"7 1 6*")</f>
        <v>0</v>
      </c>
      <c r="F1013" s="31">
        <f>SUMIFS(F1014:F1057,K1014:K1057,"0",B1014:B1057,"7 1 6*")</f>
        <v>0</v>
      </c>
      <c r="G1013" s="31">
        <f>SUMIFS(G1014:G1057,K1014:K1057,"0",B1014:B1057,"7 1 6*")</f>
        <v>0</v>
      </c>
      <c r="H1013" s="31"/>
      <c r="I1013" s="31">
        <f>E1013 - F1013 + G1013</f>
        <v>0</v>
      </c>
      <c r="K1013" t="s">
        <v>14</v>
      </c>
    </row>
    <row r="1014" spans="2:11" ht="13" x14ac:dyDescent="0.15">
      <c r="B1014" s="29" t="s">
        <v>1384</v>
      </c>
      <c r="C1014" s="29" t="s">
        <v>1385</v>
      </c>
      <c r="D1014" s="31">
        <f>SUMIFS(D1015:D1057,K1015:K1057,"0",B1015:B1057,"7 2*")-SUMIFS(E1015:E1057,K1015:K1057,"0",B1015:B1057,"7 2*")</f>
        <v>0</v>
      </c>
      <c r="E1014"/>
      <c r="F1014" s="31">
        <f>SUMIFS(F1015:F1057,K1015:K1057,"0",B1015:B1057,"7 2*")</f>
        <v>0</v>
      </c>
      <c r="G1014" s="31">
        <f>SUMIFS(G1015:G1057,K1015:K1057,"0",B1015:B1057,"7 2*")</f>
        <v>0</v>
      </c>
      <c r="H1014" s="31">
        <f>D1014 + F1014 - G1014</f>
        <v>0</v>
      </c>
      <c r="I1014" s="31"/>
      <c r="K1014" t="s">
        <v>14</v>
      </c>
    </row>
    <row r="1015" spans="2:11" ht="22" x14ac:dyDescent="0.15">
      <c r="B1015" s="29" t="s">
        <v>1386</v>
      </c>
      <c r="C1015" s="29" t="s">
        <v>1387</v>
      </c>
      <c r="D1015" s="31">
        <f>SUMIFS(D1016:D1057,K1016:K1057,"0",B1016:B1057,"7 2 1*")-SUMIFS(E1016:E1057,K1016:K1057,"0",B1016:B1057,"7 2 1*")</f>
        <v>0</v>
      </c>
      <c r="E1015"/>
      <c r="F1015" s="31">
        <f>SUMIFS(F1016:F1057,K1016:K1057,"0",B1016:B1057,"7 2 1*")</f>
        <v>0</v>
      </c>
      <c r="G1015" s="31">
        <f>SUMIFS(G1016:G1057,K1016:K1057,"0",B1016:B1057,"7 2 1*")</f>
        <v>0</v>
      </c>
      <c r="H1015" s="31">
        <f>D1015 + F1015 - G1015</f>
        <v>0</v>
      </c>
      <c r="I1015" s="31"/>
      <c r="K1015" t="s">
        <v>14</v>
      </c>
    </row>
    <row r="1016" spans="2:11" ht="22" x14ac:dyDescent="0.15">
      <c r="B1016" s="29" t="s">
        <v>1388</v>
      </c>
      <c r="C1016" s="29" t="s">
        <v>1389</v>
      </c>
      <c r="D1016"/>
      <c r="E1016" s="31">
        <f>SUMIFS(E1017:E1057,K1017:K1057,"0",B1017:B1057,"7 2 2*")-SUMIFS(D1017:D1057,K1017:K1057,"0",B1017:B1057,"7 2 2*")</f>
        <v>0</v>
      </c>
      <c r="F1016" s="31">
        <f>SUMIFS(F1017:F1057,K1017:K1057,"0",B1017:B1057,"7 2 2*")</f>
        <v>0</v>
      </c>
      <c r="G1016" s="31">
        <f>SUMIFS(G1017:G1057,K1017:K1057,"0",B1017:B1057,"7 2 2*")</f>
        <v>0</v>
      </c>
      <c r="H1016" s="31"/>
      <c r="I1016" s="31">
        <f>E1016 - F1016 + G1016</f>
        <v>0</v>
      </c>
      <c r="K1016" t="s">
        <v>14</v>
      </c>
    </row>
    <row r="1017" spans="2:11" ht="13" x14ac:dyDescent="0.15">
      <c r="B1017" s="29" t="s">
        <v>1390</v>
      </c>
      <c r="C1017" s="29" t="s">
        <v>1391</v>
      </c>
      <c r="D1017" s="31">
        <f>SUMIFS(D1018:D1057,K1018:K1057,"0",B1018:B1057,"7 2 3*")-SUMIFS(E1018:E1057,K1018:K1057,"0",B1018:B1057,"7 2 3*")</f>
        <v>0</v>
      </c>
      <c r="E1017"/>
      <c r="F1017" s="31">
        <f>SUMIFS(F1018:F1057,K1018:K1057,"0",B1018:B1057,"7 2 3*")</f>
        <v>0</v>
      </c>
      <c r="G1017" s="31">
        <f>SUMIFS(G1018:G1057,K1018:K1057,"0",B1018:B1057,"7 2 3*")</f>
        <v>0</v>
      </c>
      <c r="H1017" s="31">
        <f>D1017 + F1017 - G1017</f>
        <v>0</v>
      </c>
      <c r="I1017" s="31"/>
      <c r="K1017" t="s">
        <v>14</v>
      </c>
    </row>
    <row r="1018" spans="2:11" ht="22" x14ac:dyDescent="0.15">
      <c r="B1018" s="29" t="s">
        <v>1392</v>
      </c>
      <c r="C1018" s="29" t="s">
        <v>1393</v>
      </c>
      <c r="D1018"/>
      <c r="E1018" s="31">
        <f>SUMIFS(E1019:E1057,K1019:K1057,"0",B1019:B1057,"7 2 4*")-SUMIFS(D1019:D1057,K1019:K1057,"0",B1019:B1057,"7 2 4*")</f>
        <v>0</v>
      </c>
      <c r="F1018" s="31">
        <f>SUMIFS(F1019:F1057,K1019:K1057,"0",B1019:B1057,"7 2 4*")</f>
        <v>0</v>
      </c>
      <c r="G1018" s="31">
        <f>SUMIFS(G1019:G1057,K1019:K1057,"0",B1019:B1057,"7 2 4*")</f>
        <v>0</v>
      </c>
      <c r="H1018" s="31"/>
      <c r="I1018" s="31">
        <f>E1018 - F1018 + G1018</f>
        <v>0</v>
      </c>
      <c r="K1018" t="s">
        <v>14</v>
      </c>
    </row>
    <row r="1019" spans="2:11" ht="22" x14ac:dyDescent="0.15">
      <c r="B1019" s="29" t="s">
        <v>1394</v>
      </c>
      <c r="C1019" s="29" t="s">
        <v>1395</v>
      </c>
      <c r="D1019" s="31">
        <f>SUMIFS(D1020:D1057,K1020:K1057,"0",B1020:B1057,"7 2 5*")-SUMIFS(E1020:E1057,K1020:K1057,"0",B1020:B1057,"7 2 5*")</f>
        <v>0</v>
      </c>
      <c r="E1019"/>
      <c r="F1019" s="31">
        <f>SUMIFS(F1020:F1057,K1020:K1057,"0",B1020:B1057,"7 2 5*")</f>
        <v>0</v>
      </c>
      <c r="G1019" s="31">
        <f>SUMIFS(G1020:G1057,K1020:K1057,"0",B1020:B1057,"7 2 5*")</f>
        <v>0</v>
      </c>
      <c r="H1019" s="31">
        <f>D1019 + F1019 - G1019</f>
        <v>0</v>
      </c>
      <c r="I1019" s="31"/>
      <c r="K1019" t="s">
        <v>14</v>
      </c>
    </row>
    <row r="1020" spans="2:11" ht="22" x14ac:dyDescent="0.15">
      <c r="B1020" s="29" t="s">
        <v>1396</v>
      </c>
      <c r="C1020" s="29" t="s">
        <v>1397</v>
      </c>
      <c r="D1020"/>
      <c r="E1020" s="31">
        <f>SUMIFS(E1021:E1057,K1021:K1057,"0",B1021:B1057,"7 2 6*")-SUMIFS(D1021:D1057,K1021:K1057,"0",B1021:B1057,"7 2 6*")</f>
        <v>0</v>
      </c>
      <c r="F1020" s="31">
        <f>SUMIFS(F1021:F1057,K1021:K1057,"0",B1021:B1057,"7 2 6*")</f>
        <v>0</v>
      </c>
      <c r="G1020" s="31">
        <f>SUMIFS(G1021:G1057,K1021:K1057,"0",B1021:B1057,"7 2 6*")</f>
        <v>0</v>
      </c>
      <c r="H1020" s="31"/>
      <c r="I1020" s="31">
        <f>E1020 - F1020 + G1020</f>
        <v>0</v>
      </c>
      <c r="K1020" t="s">
        <v>14</v>
      </c>
    </row>
    <row r="1021" spans="2:11" ht="13" x14ac:dyDescent="0.15">
      <c r="B1021" s="29" t="s">
        <v>1398</v>
      </c>
      <c r="C1021" s="29" t="s">
        <v>1399</v>
      </c>
      <c r="D1021" s="31">
        <f>SUMIFS(D1022:D1057,K1022:K1057,"0",B1022:B1057,"7 3*")-SUMIFS(E1022:E1057,K1022:K1057,"0",B1022:B1057,"7 3*")</f>
        <v>0</v>
      </c>
      <c r="E1021"/>
      <c r="F1021" s="31">
        <f>SUMIFS(F1022:F1057,K1022:K1057,"0",B1022:B1057,"7 3*")</f>
        <v>0</v>
      </c>
      <c r="G1021" s="31">
        <f>SUMIFS(G1022:G1057,K1022:K1057,"0",B1022:B1057,"7 3*")</f>
        <v>0</v>
      </c>
      <c r="H1021" s="31">
        <f>D1021 + F1021 - G1021</f>
        <v>0</v>
      </c>
      <c r="I1021" s="31"/>
      <c r="K1021" t="s">
        <v>14</v>
      </c>
    </row>
    <row r="1022" spans="2:11" ht="13" x14ac:dyDescent="0.15">
      <c r="B1022" s="29" t="s">
        <v>1400</v>
      </c>
      <c r="C1022" s="29" t="s">
        <v>1401</v>
      </c>
      <c r="D1022" s="31">
        <f>SUMIFS(D1023:D1057,K1023:K1057,"0",B1023:B1057,"7 3 1*")-SUMIFS(E1023:E1057,K1023:K1057,"0",B1023:B1057,"7 3 1*")</f>
        <v>0</v>
      </c>
      <c r="E1022"/>
      <c r="F1022" s="31">
        <f>SUMIFS(F1023:F1057,K1023:K1057,"0",B1023:B1057,"7 3 1*")</f>
        <v>0</v>
      </c>
      <c r="G1022" s="31">
        <f>SUMIFS(G1023:G1057,K1023:K1057,"0",B1023:B1057,"7 3 1*")</f>
        <v>0</v>
      </c>
      <c r="H1022" s="31">
        <f>D1022 + F1022 - G1022</f>
        <v>0</v>
      </c>
      <c r="I1022" s="31"/>
      <c r="K1022" t="s">
        <v>14</v>
      </c>
    </row>
    <row r="1023" spans="2:11" ht="13" x14ac:dyDescent="0.15">
      <c r="B1023" s="29" t="s">
        <v>1402</v>
      </c>
      <c r="C1023" s="29" t="s">
        <v>1403</v>
      </c>
      <c r="D1023"/>
      <c r="E1023" s="31">
        <f>SUMIFS(E1024:E1057,K1024:K1057,"0",B1024:B1057,"7 3 2*")-SUMIFS(D1024:D1057,K1024:K1057,"0",B1024:B1057,"7 3 2*")</f>
        <v>0</v>
      </c>
      <c r="F1023" s="31">
        <f>SUMIFS(F1024:F1057,K1024:K1057,"0",B1024:B1057,"7 3 2*")</f>
        <v>0</v>
      </c>
      <c r="G1023" s="31">
        <f>SUMIFS(G1024:G1057,K1024:K1057,"0",B1024:B1057,"7 3 2*")</f>
        <v>0</v>
      </c>
      <c r="H1023" s="31"/>
      <c r="I1023" s="31">
        <f>E1023 - F1023 + G1023</f>
        <v>0</v>
      </c>
      <c r="K1023" t="s">
        <v>14</v>
      </c>
    </row>
    <row r="1024" spans="2:11" ht="13" x14ac:dyDescent="0.15">
      <c r="B1024" s="29" t="s">
        <v>1404</v>
      </c>
      <c r="C1024" s="29" t="s">
        <v>1405</v>
      </c>
      <c r="D1024" s="31">
        <f>SUMIFS(D1025:D1057,K1025:K1057,"0",B1025:B1057,"7 3 3*")-SUMIFS(E1025:E1057,K1025:K1057,"0",B1025:B1057,"7 3 3*")</f>
        <v>0</v>
      </c>
      <c r="E1024"/>
      <c r="F1024" s="31">
        <f>SUMIFS(F1025:F1057,K1025:K1057,"0",B1025:B1057,"7 3 3*")</f>
        <v>0</v>
      </c>
      <c r="G1024" s="31">
        <f>SUMIFS(G1025:G1057,K1025:K1057,"0",B1025:B1057,"7 3 3*")</f>
        <v>0</v>
      </c>
      <c r="H1024" s="31">
        <f>D1024 + F1024 - G1024</f>
        <v>0</v>
      </c>
      <c r="I1024" s="31"/>
      <c r="K1024" t="s">
        <v>14</v>
      </c>
    </row>
    <row r="1025" spans="2:11" ht="13" x14ac:dyDescent="0.15">
      <c r="B1025" s="29" t="s">
        <v>1406</v>
      </c>
      <c r="C1025" s="29" t="s">
        <v>1407</v>
      </c>
      <c r="D1025"/>
      <c r="E1025" s="31">
        <f>SUMIFS(E1026:E1057,K1026:K1057,"0",B1026:B1057,"7 3 4*")-SUMIFS(D1026:D1057,K1026:K1057,"0",B1026:B1057,"7 3 4*")</f>
        <v>0</v>
      </c>
      <c r="F1025" s="31">
        <f>SUMIFS(F1026:F1057,K1026:K1057,"0",B1026:B1057,"7 3 4*")</f>
        <v>0</v>
      </c>
      <c r="G1025" s="31">
        <f>SUMIFS(G1026:G1057,K1026:K1057,"0",B1026:B1057,"7 3 4*")</f>
        <v>0</v>
      </c>
      <c r="H1025" s="31"/>
      <c r="I1025" s="31">
        <f>E1025 - F1025 + G1025</f>
        <v>0</v>
      </c>
      <c r="K1025" t="s">
        <v>14</v>
      </c>
    </row>
    <row r="1026" spans="2:11" ht="22" x14ac:dyDescent="0.15">
      <c r="B1026" s="29" t="s">
        <v>1408</v>
      </c>
      <c r="C1026" s="29" t="s">
        <v>1409</v>
      </c>
      <c r="D1026" s="31">
        <f>SUMIFS(D1027:D1057,K1027:K1057,"0",B1027:B1057,"7 3 5*")-SUMIFS(E1027:E1057,K1027:K1057,"0",B1027:B1057,"7 3 5*")</f>
        <v>0</v>
      </c>
      <c r="E1026"/>
      <c r="F1026" s="31">
        <f>SUMIFS(F1027:F1057,K1027:K1057,"0",B1027:B1057,"7 3 5*")</f>
        <v>0</v>
      </c>
      <c r="G1026" s="31">
        <f>SUMIFS(G1027:G1057,K1027:K1057,"0",B1027:B1057,"7 3 5*")</f>
        <v>0</v>
      </c>
      <c r="H1026" s="31">
        <f>D1026 + F1026 - G1026</f>
        <v>0</v>
      </c>
      <c r="I1026" s="31"/>
      <c r="K1026" t="s">
        <v>14</v>
      </c>
    </row>
    <row r="1027" spans="2:11" ht="22" x14ac:dyDescent="0.15">
      <c r="B1027" s="29" t="s">
        <v>1410</v>
      </c>
      <c r="C1027" s="29" t="s">
        <v>1411</v>
      </c>
      <c r="D1027"/>
      <c r="E1027" s="31">
        <f>SUMIFS(E1028:E1057,K1028:K1057,"0",B1028:B1057,"7 3 6*")-SUMIFS(D1028:D1057,K1028:K1057,"0",B1028:B1057,"7 3 6*")</f>
        <v>0</v>
      </c>
      <c r="F1027" s="31">
        <f>SUMIFS(F1028:F1057,K1028:K1057,"0",B1028:B1057,"7 3 6*")</f>
        <v>0</v>
      </c>
      <c r="G1027" s="31">
        <f>SUMIFS(G1028:G1057,K1028:K1057,"0",B1028:B1057,"7 3 6*")</f>
        <v>0</v>
      </c>
      <c r="H1027" s="31"/>
      <c r="I1027" s="31">
        <f>E1027 - F1027 + G1027</f>
        <v>0</v>
      </c>
      <c r="K1027" t="s">
        <v>14</v>
      </c>
    </row>
    <row r="1028" spans="2:11" ht="13" x14ac:dyDescent="0.15">
      <c r="B1028" s="29" t="s">
        <v>1412</v>
      </c>
      <c r="C1028" s="29" t="s">
        <v>1413</v>
      </c>
      <c r="D1028" s="31">
        <f>SUMIFS(D1029:D1057,K1029:K1057,"0",B1029:B1057,"7 4*")-SUMIFS(E1029:E1057,K1029:K1057,"0",B1029:B1057,"7 4*")</f>
        <v>0</v>
      </c>
      <c r="E1028"/>
      <c r="F1028" s="31">
        <f>SUMIFS(F1029:F1057,K1029:K1057,"0",B1029:B1057,"7 4*")</f>
        <v>0</v>
      </c>
      <c r="G1028" s="31">
        <f>SUMIFS(G1029:G1057,K1029:K1057,"0",B1029:B1057,"7 4*")</f>
        <v>0</v>
      </c>
      <c r="H1028" s="31">
        <f>D1028 + F1028 - G1028</f>
        <v>0</v>
      </c>
      <c r="I1028" s="31"/>
      <c r="K1028" t="s">
        <v>14</v>
      </c>
    </row>
    <row r="1029" spans="2:11" ht="13" x14ac:dyDescent="0.15">
      <c r="B1029" s="29" t="s">
        <v>1414</v>
      </c>
      <c r="C1029" s="29" t="s">
        <v>1415</v>
      </c>
      <c r="D1029" s="31">
        <f>SUMIFS(D1030:D1057,K1030:K1057,"0",B1030:B1057,"7 4 1*")-SUMIFS(E1030:E1057,K1030:K1057,"0",B1030:B1057,"7 4 1*")</f>
        <v>0</v>
      </c>
      <c r="E1029"/>
      <c r="F1029" s="31">
        <f>SUMIFS(F1030:F1057,K1030:K1057,"0",B1030:B1057,"7 4 1*")</f>
        <v>0</v>
      </c>
      <c r="G1029" s="31">
        <f>SUMIFS(G1030:G1057,K1030:K1057,"0",B1030:B1057,"7 4 1*")</f>
        <v>0</v>
      </c>
      <c r="H1029" s="31">
        <f>D1029 + F1029 - G1029</f>
        <v>0</v>
      </c>
      <c r="I1029" s="31"/>
      <c r="K1029" t="s">
        <v>14</v>
      </c>
    </row>
    <row r="1030" spans="2:11" ht="13" x14ac:dyDescent="0.15">
      <c r="B1030" s="29" t="s">
        <v>1416</v>
      </c>
      <c r="C1030" s="29" t="s">
        <v>1417</v>
      </c>
      <c r="D1030"/>
      <c r="E1030" s="31">
        <f>SUMIFS(E1031:E1057,K1031:K1057,"0",B1031:B1057,"7 4 2*")-SUMIFS(D1031:D1057,K1031:K1057,"0",B1031:B1057,"7 4 2*")</f>
        <v>0</v>
      </c>
      <c r="F1030" s="31">
        <f>SUMIFS(F1031:F1057,K1031:K1057,"0",B1031:B1057,"7 4 2*")</f>
        <v>0</v>
      </c>
      <c r="G1030" s="31">
        <f>SUMIFS(G1031:G1057,K1031:K1057,"0",B1031:B1057,"7 4 2*")</f>
        <v>0</v>
      </c>
      <c r="H1030" s="31"/>
      <c r="I1030" s="31">
        <f>E1030 - F1030 + G1030</f>
        <v>0</v>
      </c>
      <c r="K1030" t="s">
        <v>14</v>
      </c>
    </row>
    <row r="1031" spans="2:11" ht="13" x14ac:dyDescent="0.15">
      <c r="B1031" s="29" t="s">
        <v>1418</v>
      </c>
      <c r="C1031" s="29" t="s">
        <v>1419</v>
      </c>
      <c r="D1031" s="31">
        <f>SUMIFS(D1032:D1057,K1032:K1057,"0",B1032:B1057,"7 5*")-SUMIFS(E1032:E1057,K1032:K1057,"0",B1032:B1057,"7 5*")</f>
        <v>0</v>
      </c>
      <c r="E1031"/>
      <c r="F1031" s="31">
        <f>SUMIFS(F1032:F1057,K1032:K1057,"0",B1032:B1057,"7 5*")</f>
        <v>0</v>
      </c>
      <c r="G1031" s="31">
        <f>SUMIFS(G1032:G1057,K1032:K1057,"0",B1032:B1057,"7 5*")</f>
        <v>0</v>
      </c>
      <c r="H1031" s="31">
        <f>D1031 + F1031 - G1031</f>
        <v>0</v>
      </c>
      <c r="I1031" s="31"/>
      <c r="K1031" t="s">
        <v>14</v>
      </c>
    </row>
    <row r="1032" spans="2:11" ht="13" x14ac:dyDescent="0.15">
      <c r="B1032" s="29" t="s">
        <v>1420</v>
      </c>
      <c r="C1032" s="29" t="s">
        <v>1421</v>
      </c>
      <c r="D1032" s="31">
        <f>SUMIFS(D1033:D1057,K1033:K1057,"0",B1033:B1057,"7 5 1*")-SUMIFS(E1033:E1057,K1033:K1057,"0",B1033:B1057,"7 5 1*")</f>
        <v>0</v>
      </c>
      <c r="E1032"/>
      <c r="F1032" s="31">
        <f>SUMIFS(F1033:F1057,K1033:K1057,"0",B1033:B1057,"7 5 1*")</f>
        <v>0</v>
      </c>
      <c r="G1032" s="31">
        <f>SUMIFS(G1033:G1057,K1033:K1057,"0",B1033:B1057,"7 5 1*")</f>
        <v>0</v>
      </c>
      <c r="H1032" s="31">
        <f>D1032 + F1032 - G1032</f>
        <v>0</v>
      </c>
      <c r="I1032" s="31"/>
      <c r="K1032" t="s">
        <v>14</v>
      </c>
    </row>
    <row r="1033" spans="2:11" ht="13" x14ac:dyDescent="0.15">
      <c r="B1033" s="29" t="s">
        <v>1422</v>
      </c>
      <c r="C1033" s="29" t="s">
        <v>1423</v>
      </c>
      <c r="D1033"/>
      <c r="E1033" s="31">
        <f>SUMIFS(E1034:E1057,K1034:K1057,"0",B1034:B1057,"7 5 2*")-SUMIFS(D1034:D1057,K1034:K1057,"0",B1034:B1057,"7 5 2*")</f>
        <v>0</v>
      </c>
      <c r="F1033" s="31">
        <f>SUMIFS(F1034:F1057,K1034:K1057,"0",B1034:B1057,"7 5 2*")</f>
        <v>0</v>
      </c>
      <c r="G1033" s="31">
        <f>SUMIFS(G1034:G1057,K1034:K1057,"0",B1034:B1057,"7 5 2*")</f>
        <v>0</v>
      </c>
      <c r="H1033" s="31"/>
      <c r="I1033" s="31">
        <f>E1033 - F1033 + G1033</f>
        <v>0</v>
      </c>
      <c r="K1033" t="s">
        <v>14</v>
      </c>
    </row>
    <row r="1034" spans="2:11" ht="13" x14ac:dyDescent="0.15">
      <c r="B1034" s="29" t="s">
        <v>1424</v>
      </c>
      <c r="C1034" s="29" t="s">
        <v>1425</v>
      </c>
      <c r="D1034" s="31">
        <f>SUMIFS(D1035:D1057,K1035:K1057,"0",B1035:B1057,"7 6*")-SUMIFS(E1035:E1057,K1035:K1057,"0",B1035:B1057,"7 6*")</f>
        <v>0</v>
      </c>
      <c r="E1034"/>
      <c r="F1034" s="31">
        <f>SUMIFS(F1035:F1057,K1035:K1057,"0",B1035:B1057,"7 6*")</f>
        <v>0</v>
      </c>
      <c r="G1034" s="31">
        <f>SUMIFS(G1035:G1057,K1035:K1057,"0",B1035:B1057,"7 6*")</f>
        <v>0</v>
      </c>
      <c r="H1034" s="31">
        <f>D1034 + F1034 - G1034</f>
        <v>0</v>
      </c>
      <c r="I1034" s="31"/>
      <c r="K1034" t="s">
        <v>14</v>
      </c>
    </row>
    <row r="1035" spans="2:11" ht="13" x14ac:dyDescent="0.15">
      <c r="B1035" s="29" t="s">
        <v>1426</v>
      </c>
      <c r="C1035" s="29" t="s">
        <v>1427</v>
      </c>
      <c r="D1035" s="31">
        <f>SUMIFS(D1036:D1057,K1036:K1057,"0",B1036:B1057,"7 6 1*")-SUMIFS(E1036:E1057,K1036:K1057,"0",B1036:B1057,"7 6 1*")</f>
        <v>0</v>
      </c>
      <c r="E1035"/>
      <c r="F1035" s="31">
        <f>SUMIFS(F1036:F1057,K1036:K1057,"0",B1036:B1057,"7 6 1*")</f>
        <v>0</v>
      </c>
      <c r="G1035" s="31">
        <f>SUMIFS(G1036:G1057,K1036:K1057,"0",B1036:B1057,"7 6 1*")</f>
        <v>0</v>
      </c>
      <c r="H1035" s="31">
        <f>D1035 + F1035 - G1035</f>
        <v>0</v>
      </c>
      <c r="I1035" s="31"/>
      <c r="K1035" t="s">
        <v>14</v>
      </c>
    </row>
    <row r="1036" spans="2:11" ht="13" x14ac:dyDescent="0.15">
      <c r="B1036" s="29" t="s">
        <v>1428</v>
      </c>
      <c r="C1036" s="29" t="s">
        <v>1429</v>
      </c>
      <c r="D1036"/>
      <c r="E1036" s="31">
        <f>SUMIFS(E1037:E1057,K1037:K1057,"0",B1037:B1057,"7 6 2*")-SUMIFS(D1037:D1057,K1037:K1057,"0",B1037:B1057,"7 6 2*")</f>
        <v>0</v>
      </c>
      <c r="F1036" s="31">
        <f>SUMIFS(F1037:F1057,K1037:K1057,"0",B1037:B1057,"7 6 2*")</f>
        <v>0</v>
      </c>
      <c r="G1036" s="31">
        <f>SUMIFS(G1037:G1057,K1037:K1057,"0",B1037:B1057,"7 6 2*")</f>
        <v>0</v>
      </c>
      <c r="H1036" s="31"/>
      <c r="I1036" s="31">
        <f>E1036 - F1036 + G1036</f>
        <v>0</v>
      </c>
      <c r="K1036" t="s">
        <v>14</v>
      </c>
    </row>
    <row r="1037" spans="2:11" ht="13" x14ac:dyDescent="0.15">
      <c r="B1037" s="29" t="s">
        <v>1430</v>
      </c>
      <c r="C1037" s="29" t="s">
        <v>1431</v>
      </c>
      <c r="D1037" s="31">
        <f>SUMIFS(D1038:D1057,K1038:K1057,"0",B1038:B1057,"7 6 3*")-SUMIFS(E1038:E1057,K1038:K1057,"0",B1038:B1057,"7 6 3*")</f>
        <v>0</v>
      </c>
      <c r="E1037"/>
      <c r="F1037" s="31">
        <f>SUMIFS(F1038:F1057,K1038:K1057,"0",B1038:B1057,"7 6 3*")</f>
        <v>0</v>
      </c>
      <c r="G1037" s="31">
        <f>SUMIFS(G1038:G1057,K1038:K1057,"0",B1038:B1057,"7 6 3*")</f>
        <v>0</v>
      </c>
      <c r="H1037" s="31">
        <f>D1037 + F1037 - G1037</f>
        <v>0</v>
      </c>
      <c r="I1037" s="31"/>
      <c r="K1037" t="s">
        <v>14</v>
      </c>
    </row>
    <row r="1038" spans="2:11" ht="13" x14ac:dyDescent="0.15">
      <c r="B1038" s="29" t="s">
        <v>1432</v>
      </c>
      <c r="C1038" s="29" t="s">
        <v>1433</v>
      </c>
      <c r="D1038"/>
      <c r="E1038" s="31">
        <f>SUMIFS(E1039:E1057,K1039:K1057,"0",B1039:B1057,"7 6 4*")-SUMIFS(D1039:D1057,K1039:K1057,"0",B1039:B1057,"7 6 4*")</f>
        <v>0</v>
      </c>
      <c r="F1038" s="31">
        <f>SUMIFS(F1039:F1057,K1039:K1057,"0",B1039:B1057,"7 6 4*")</f>
        <v>0</v>
      </c>
      <c r="G1038" s="31">
        <f>SUMIFS(G1039:G1057,K1039:K1057,"0",B1039:B1057,"7 6 4*")</f>
        <v>0</v>
      </c>
      <c r="H1038" s="31"/>
      <c r="I1038" s="31">
        <f>E1038 - F1038 + G1038</f>
        <v>0</v>
      </c>
      <c r="K1038" t="s">
        <v>14</v>
      </c>
    </row>
    <row r="1039" spans="2:11" ht="13" x14ac:dyDescent="0.15">
      <c r="B1039" s="29" t="s">
        <v>1434</v>
      </c>
      <c r="C1039" s="29" t="s">
        <v>1435</v>
      </c>
      <c r="D1039" s="31">
        <f>SUMIFS(D1040:D1057,K1040:K1057,"0",B1040:B1057,"8*")-SUMIFS(E1040:E1057,K1040:K1057,"0",B1040:B1057,"8*")</f>
        <v>0</v>
      </c>
      <c r="E1039"/>
      <c r="F1039" s="31">
        <f>SUMIFS(F1040:F1057,K1040:K1057,"0",B1040:B1057,"8*")</f>
        <v>100509454.62</v>
      </c>
      <c r="G1039" s="31">
        <f>SUMIFS(G1040:G1057,K1040:K1057,"0",B1040:B1057,"8*")</f>
        <v>100509454.62</v>
      </c>
      <c r="H1039" s="31">
        <f>D1039 + F1039 - G1039</f>
        <v>0</v>
      </c>
      <c r="I1039" s="31"/>
      <c r="K1039" t="s">
        <v>14</v>
      </c>
    </row>
    <row r="1040" spans="2:11" ht="13" x14ac:dyDescent="0.15">
      <c r="B1040" s="29" t="s">
        <v>1436</v>
      </c>
      <c r="C1040" s="29" t="s">
        <v>1437</v>
      </c>
      <c r="D1040" s="31">
        <f>SUMIFS(D1041:D1057,K1041:K1057,"0",B1041:B1057,"8 1*")-SUMIFS(E1041:E1057,K1041:K1057,"0",B1041:B1057,"8 1*")</f>
        <v>0</v>
      </c>
      <c r="E1040"/>
      <c r="F1040" s="31">
        <f>SUMIFS(F1041:F1057,K1041:K1057,"0",B1041:B1057,"8 1*")</f>
        <v>39057816.190000005</v>
      </c>
      <c r="G1040" s="31">
        <f>SUMIFS(G1041:G1057,K1041:K1057,"0",B1041:B1057,"8 1*")</f>
        <v>39057816.190000005</v>
      </c>
      <c r="H1040" s="31">
        <f>D1040 + F1040 - G1040</f>
        <v>0</v>
      </c>
      <c r="I1040" s="31"/>
      <c r="K1040" t="s">
        <v>14</v>
      </c>
    </row>
    <row r="1041" spans="2:11" ht="13" x14ac:dyDescent="0.15">
      <c r="B1041" s="27" t="s">
        <v>1438</v>
      </c>
      <c r="C1041" s="27" t="s">
        <v>1439</v>
      </c>
      <c r="D1041" s="30">
        <v>0</v>
      </c>
      <c r="E1041" s="30"/>
      <c r="F1041" s="30">
        <v>14402429.460000001</v>
      </c>
      <c r="G1041" s="30">
        <v>0</v>
      </c>
      <c r="H1041" s="30">
        <f>D1041 + F1041 - G1041</f>
        <v>14402429.460000001</v>
      </c>
      <c r="I1041" s="30"/>
      <c r="K1041" t="s">
        <v>38</v>
      </c>
    </row>
    <row r="1042" spans="2:11" ht="13" x14ac:dyDescent="0.15">
      <c r="B1042" s="27" t="s">
        <v>1440</v>
      </c>
      <c r="C1042" s="27" t="s">
        <v>1441</v>
      </c>
      <c r="D1042" s="30"/>
      <c r="E1042" s="30">
        <v>0</v>
      </c>
      <c r="F1042" s="30">
        <v>11176009.880000001</v>
      </c>
      <c r="G1042" s="30">
        <v>16705796.43</v>
      </c>
      <c r="H1042" s="30"/>
      <c r="I1042" s="30">
        <f>E1042 - F1042 + G1042</f>
        <v>5529786.5499999989</v>
      </c>
      <c r="K1042" t="s">
        <v>38</v>
      </c>
    </row>
    <row r="1043" spans="2:11" ht="13" x14ac:dyDescent="0.15">
      <c r="B1043" s="27" t="s">
        <v>1442</v>
      </c>
      <c r="C1043" s="27" t="s">
        <v>1443</v>
      </c>
      <c r="D1043" s="30">
        <v>0</v>
      </c>
      <c r="E1043" s="30"/>
      <c r="F1043" s="30">
        <v>2303366.9700000002</v>
      </c>
      <c r="G1043" s="30">
        <v>0</v>
      </c>
      <c r="H1043" s="30">
        <f>D1043 + F1043 - G1043</f>
        <v>2303366.9700000002</v>
      </c>
      <c r="I1043" s="30"/>
      <c r="K1043" t="s">
        <v>38</v>
      </c>
    </row>
    <row r="1044" spans="2:11" ht="13" x14ac:dyDescent="0.15">
      <c r="B1044" s="27" t="s">
        <v>1444</v>
      </c>
      <c r="C1044" s="27" t="s">
        <v>1445</v>
      </c>
      <c r="D1044" s="30"/>
      <c r="E1044" s="30">
        <v>0</v>
      </c>
      <c r="F1044" s="30">
        <v>11176009.880000001</v>
      </c>
      <c r="G1044" s="30">
        <v>11176009.880000001</v>
      </c>
      <c r="H1044" s="30"/>
      <c r="I1044" s="30">
        <f>E1044 - F1044 + G1044</f>
        <v>0</v>
      </c>
      <c r="K1044" t="s">
        <v>38</v>
      </c>
    </row>
    <row r="1045" spans="2:11" ht="13" x14ac:dyDescent="0.15">
      <c r="B1045" s="27" t="s">
        <v>1446</v>
      </c>
      <c r="C1045" s="27" t="s">
        <v>1447</v>
      </c>
      <c r="D1045" s="30"/>
      <c r="E1045" s="30">
        <v>0</v>
      </c>
      <c r="F1045" s="30">
        <v>0</v>
      </c>
      <c r="G1045" s="30">
        <v>11176009.880000001</v>
      </c>
      <c r="H1045" s="30"/>
      <c r="I1045" s="30">
        <f>E1045 - F1045 + G1045</f>
        <v>11176009.880000001</v>
      </c>
      <c r="K1045" t="s">
        <v>38</v>
      </c>
    </row>
    <row r="1046" spans="2:11" ht="13" x14ac:dyDescent="0.15">
      <c r="B1046" s="29" t="s">
        <v>1448</v>
      </c>
      <c r="C1046" s="29" t="s">
        <v>1449</v>
      </c>
      <c r="D1046"/>
      <c r="E1046" s="31">
        <f>SUMIFS(E1047:E1057,K1047:K1057,"0",B1047:B1057,"8 2*")-SUMIFS(D1047:D1057,K1047:K1057,"0",B1047:B1057,"8 2*")</f>
        <v>0</v>
      </c>
      <c r="F1046" s="31">
        <f>SUMIFS(F1047:F1057,K1047:K1057,"0",B1047:B1057,"8 2*")</f>
        <v>61451638.43</v>
      </c>
      <c r="G1046" s="31">
        <f>SUMIFS(G1047:G1057,K1047:K1057,"0",B1047:B1057,"8 2*")</f>
        <v>61451638.43</v>
      </c>
      <c r="H1046" s="31"/>
      <c r="I1046" s="31">
        <f>E1046 - F1046 + G1046</f>
        <v>0</v>
      </c>
      <c r="K1046" t="s">
        <v>14</v>
      </c>
    </row>
    <row r="1047" spans="2:11" ht="13" x14ac:dyDescent="0.15">
      <c r="B1047" s="27" t="s">
        <v>1450</v>
      </c>
      <c r="C1047" s="27" t="s">
        <v>1451</v>
      </c>
      <c r="D1047" s="30"/>
      <c r="E1047" s="30">
        <v>0</v>
      </c>
      <c r="F1047" s="30">
        <v>0</v>
      </c>
      <c r="G1047" s="30">
        <v>14402429.460000001</v>
      </c>
      <c r="H1047" s="30"/>
      <c r="I1047" s="30">
        <f>E1047 - F1047 + G1047</f>
        <v>14402429.460000001</v>
      </c>
      <c r="K1047" t="s">
        <v>38</v>
      </c>
    </row>
    <row r="1048" spans="2:11" ht="13" x14ac:dyDescent="0.15">
      <c r="B1048" s="27" t="s">
        <v>1452</v>
      </c>
      <c r="C1048" s="27" t="s">
        <v>1453</v>
      </c>
      <c r="D1048" s="30">
        <v>0</v>
      </c>
      <c r="E1048" s="30"/>
      <c r="F1048" s="30">
        <v>16705796.43</v>
      </c>
      <c r="G1048" s="30">
        <v>11186460.5</v>
      </c>
      <c r="H1048" s="30">
        <f>D1048 + F1048 - G1048</f>
        <v>5519335.9299999997</v>
      </c>
      <c r="I1048" s="30"/>
      <c r="K1048" t="s">
        <v>38</v>
      </c>
    </row>
    <row r="1049" spans="2:11" ht="13" x14ac:dyDescent="0.15">
      <c r="B1049" s="27" t="s">
        <v>1454</v>
      </c>
      <c r="C1049" s="27" t="s">
        <v>1455</v>
      </c>
      <c r="D1049" s="30"/>
      <c r="E1049" s="30">
        <v>0</v>
      </c>
      <c r="F1049" s="30">
        <v>0</v>
      </c>
      <c r="G1049" s="30">
        <v>2303366.9700000002</v>
      </c>
      <c r="H1049" s="30"/>
      <c r="I1049" s="30">
        <f>E1049 - F1049 + G1049</f>
        <v>2303366.9700000002</v>
      </c>
      <c r="K1049" t="s">
        <v>38</v>
      </c>
    </row>
    <row r="1050" spans="2:11" ht="13" x14ac:dyDescent="0.15">
      <c r="B1050" s="27" t="s">
        <v>1456</v>
      </c>
      <c r="C1050" s="27" t="s">
        <v>1457</v>
      </c>
      <c r="D1050" s="30">
        <v>0</v>
      </c>
      <c r="E1050" s="30"/>
      <c r="F1050" s="30">
        <v>11186460.5</v>
      </c>
      <c r="G1050" s="30">
        <v>11186460.5</v>
      </c>
      <c r="H1050" s="30">
        <f t="shared" ref="H1050:H1057" si="19">D1050 + F1050 - G1050</f>
        <v>0</v>
      </c>
      <c r="I1050" s="30"/>
      <c r="K1050" t="s">
        <v>38</v>
      </c>
    </row>
    <row r="1051" spans="2:11" ht="13" x14ac:dyDescent="0.15">
      <c r="B1051" s="27" t="s">
        <v>1458</v>
      </c>
      <c r="C1051" s="27" t="s">
        <v>1459</v>
      </c>
      <c r="D1051" s="30">
        <v>0</v>
      </c>
      <c r="E1051" s="30"/>
      <c r="F1051" s="30">
        <v>11186460.5</v>
      </c>
      <c r="G1051" s="30">
        <v>11186460.5</v>
      </c>
      <c r="H1051" s="30">
        <f t="shared" si="19"/>
        <v>0</v>
      </c>
      <c r="I1051" s="30"/>
      <c r="K1051" t="s">
        <v>38</v>
      </c>
    </row>
    <row r="1052" spans="2:11" ht="13" x14ac:dyDescent="0.15">
      <c r="B1052" s="27" t="s">
        <v>1460</v>
      </c>
      <c r="C1052" s="27" t="s">
        <v>1461</v>
      </c>
      <c r="D1052" s="30">
        <v>0</v>
      </c>
      <c r="E1052" s="30"/>
      <c r="F1052" s="30">
        <v>11186460.5</v>
      </c>
      <c r="G1052" s="30">
        <v>11186460.5</v>
      </c>
      <c r="H1052" s="30">
        <f t="shared" si="19"/>
        <v>0</v>
      </c>
      <c r="I1052" s="30"/>
      <c r="K1052" t="s">
        <v>38</v>
      </c>
    </row>
    <row r="1053" spans="2:11" ht="13" x14ac:dyDescent="0.15">
      <c r="B1053" s="27" t="s">
        <v>1462</v>
      </c>
      <c r="C1053" s="27" t="s">
        <v>1463</v>
      </c>
      <c r="D1053" s="30">
        <v>0</v>
      </c>
      <c r="E1053" s="30"/>
      <c r="F1053" s="30">
        <v>11186460.5</v>
      </c>
      <c r="G1053" s="30">
        <v>0</v>
      </c>
      <c r="H1053" s="30">
        <f t="shared" si="19"/>
        <v>11186460.5</v>
      </c>
      <c r="I1053" s="30"/>
      <c r="K1053" t="s">
        <v>38</v>
      </c>
    </row>
    <row r="1054" spans="2:11" ht="13" x14ac:dyDescent="0.15">
      <c r="B1054" s="29" t="s">
        <v>1464</v>
      </c>
      <c r="C1054" s="29" t="s">
        <v>1465</v>
      </c>
      <c r="D1054" s="31">
        <f>SUMIFS(D1055:D1057,K1055:K1057,"0",B1055:B1057,"9*")-SUMIFS(E1055:E1057,K1055:K1057,"0",B1055:B1057,"9*")</f>
        <v>0</v>
      </c>
      <c r="E1054"/>
      <c r="F1054" s="31">
        <f>SUMIFS(F1055:F1057,K1055:K1057,"0",B1055:B1057,"9*")</f>
        <v>0</v>
      </c>
      <c r="G1054" s="31">
        <f>SUMIFS(G1055:G1057,K1055:K1057,"0",B1055:B1057,"9*")</f>
        <v>0</v>
      </c>
      <c r="H1054" s="31">
        <f t="shared" si="19"/>
        <v>0</v>
      </c>
      <c r="I1054" s="31"/>
      <c r="K1054" t="s">
        <v>14</v>
      </c>
    </row>
    <row r="1055" spans="2:11" ht="13" x14ac:dyDescent="0.15">
      <c r="B1055" s="27" t="s">
        <v>1466</v>
      </c>
      <c r="C1055" s="27" t="s">
        <v>1467</v>
      </c>
      <c r="D1055" s="30">
        <v>0</v>
      </c>
      <c r="E1055" s="30"/>
      <c r="F1055" s="30">
        <v>0</v>
      </c>
      <c r="G1055" s="30">
        <v>0</v>
      </c>
      <c r="H1055" s="30">
        <f t="shared" si="19"/>
        <v>0</v>
      </c>
      <c r="I1055" s="30"/>
      <c r="K1055" t="s">
        <v>38</v>
      </c>
    </row>
    <row r="1056" spans="2:11" ht="13" x14ac:dyDescent="0.15">
      <c r="B1056" s="27" t="s">
        <v>1468</v>
      </c>
      <c r="C1056" s="27" t="s">
        <v>1469</v>
      </c>
      <c r="D1056" s="30">
        <v>0</v>
      </c>
      <c r="E1056" s="30"/>
      <c r="F1056" s="30">
        <v>0</v>
      </c>
      <c r="G1056" s="30">
        <v>0</v>
      </c>
      <c r="H1056" s="30">
        <f t="shared" si="19"/>
        <v>0</v>
      </c>
      <c r="I1056" s="30"/>
      <c r="K1056" t="s">
        <v>38</v>
      </c>
    </row>
    <row r="1057" spans="2:11" ht="13" x14ac:dyDescent="0.15">
      <c r="B1057" s="27" t="s">
        <v>1470</v>
      </c>
      <c r="C1057" s="27" t="s">
        <v>1471</v>
      </c>
      <c r="D1057" s="30">
        <v>0</v>
      </c>
      <c r="E1057" s="30"/>
      <c r="F1057" s="30">
        <v>0</v>
      </c>
      <c r="G1057" s="30">
        <v>0</v>
      </c>
      <c r="H1057" s="30">
        <f t="shared" si="19"/>
        <v>0</v>
      </c>
      <c r="I1057" s="30"/>
      <c r="K1057" t="s">
        <v>38</v>
      </c>
    </row>
    <row r="1059" spans="2:11" x14ac:dyDescent="0.15">
      <c r="D1059" s="32">
        <f>SUMIF(K12:K1057,"=0",D12:D1057)</f>
        <v>3192579.13</v>
      </c>
      <c r="E1059" s="32">
        <f>SUMIF(K12:K1057,"=0",E12:E1057)</f>
        <v>3192579.13</v>
      </c>
      <c r="F1059" s="32">
        <f>SUMIF(K12:K1057,"=0",F12:F1057)</f>
        <v>153527032.79999998</v>
      </c>
      <c r="G1059" s="32">
        <f>SUMIF(K12:K1057,"=0",G12:G1057)</f>
        <v>153527032.79999998</v>
      </c>
      <c r="H1059" s="32">
        <f>SUMIF(K12:K1057,"=0",H12:H1057)</f>
        <v>46681995.850000001</v>
      </c>
      <c r="I1059" s="32">
        <f>SUMIF(K12:K1057,"=0",I12:I1057)</f>
        <v>46681995.850000001</v>
      </c>
    </row>
    <row r="1063" spans="2:11" x14ac:dyDescent="0.15">
      <c r="B1063" s="28" t="str">
        <f>IF(AND(ROUND(D1059, 2)=ROUND(E1059, 2), ROUND(F1059, 2)=ROUND(G1059, 2), ROUND(H1059,2)=ROUND(I1059, 2)), "Bajo protesta de decir verdad declaramos que los estados financieros y sus notas son correctas, verídicas y responsabilidad del emisor", "* * * * * * * * * * * * * * * * * * * * * * * * * * * * * *BALANCE DESCUADRADO* * * * * * * * * * * * * * * * * * * * * * * * * * * * * *")</f>
        <v>Bajo protesta de decir verdad declaramos que los estados financieros y sus notas son correctas, verídicas y responsabilidad del emisor</v>
      </c>
    </row>
  </sheetData>
  <mergeCells count="12">
    <mergeCell ref="B7:I7"/>
    <mergeCell ref="B2:I2"/>
    <mergeCell ref="B3:I3"/>
    <mergeCell ref="B4:I4"/>
    <mergeCell ref="B5:I5"/>
    <mergeCell ref="B6:I6"/>
    <mergeCell ref="D10:E10"/>
    <mergeCell ref="F10:G10"/>
    <mergeCell ref="H10:I10"/>
    <mergeCell ref="D9:E9"/>
    <mergeCell ref="F9:G9"/>
    <mergeCell ref="H9:I9"/>
  </mergeCells>
  <phoneticPr fontId="0" type="noConversion"/>
  <pageMargins left="0.78740157480314965" right="0.78740157480314965" top="0.39370078740157483" bottom="0.39370078740157483" header="0" footer="0"/>
  <pageSetup scale="81" orientation="landscape" r:id="rId1"/>
  <headerFooter alignWithMargins="0">
    <oddFooter>&amp;C&amp;"Arial,"&amp;6&amp;D &amp;T&amp;L&amp;"Arial,"&amp;6Coram/ Balanza 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2024-10-25T16:51:33Z</cp:lastPrinted>
  <dcterms:created xsi:type="dcterms:W3CDTF">1996-11-27T10:00:04Z</dcterms:created>
  <dcterms:modified xsi:type="dcterms:W3CDTF">2024-11-08T18:14:33Z</dcterms:modified>
</cp:coreProperties>
</file>