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6B50CE72-7CD2-4044-89AC-E7DCD055A030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3" i="1" l="1"/>
  <c r="F633" i="1"/>
  <c r="E633" i="1"/>
  <c r="D633" i="1"/>
  <c r="H631" i="1"/>
  <c r="H630" i="1"/>
  <c r="H629" i="1"/>
  <c r="G628" i="1"/>
  <c r="F628" i="1"/>
  <c r="D628" i="1"/>
  <c r="H627" i="1"/>
  <c r="H626" i="1"/>
  <c r="H625" i="1"/>
  <c r="H624" i="1"/>
  <c r="I623" i="1"/>
  <c r="H622" i="1"/>
  <c r="I621" i="1"/>
  <c r="G620" i="1"/>
  <c r="F620" i="1"/>
  <c r="E620" i="1"/>
  <c r="I619" i="1"/>
  <c r="I618" i="1"/>
  <c r="H617" i="1"/>
  <c r="I616" i="1"/>
  <c r="H615" i="1"/>
  <c r="G614" i="1"/>
  <c r="F614" i="1"/>
  <c r="D614" i="1"/>
  <c r="G613" i="1"/>
  <c r="F613" i="1"/>
  <c r="D613" i="1"/>
  <c r="G612" i="1"/>
  <c r="F612" i="1"/>
  <c r="E612" i="1"/>
  <c r="G611" i="1"/>
  <c r="F611" i="1"/>
  <c r="D611" i="1"/>
  <c r="G610" i="1"/>
  <c r="F610" i="1"/>
  <c r="E610" i="1"/>
  <c r="I610" i="1" s="1"/>
  <c r="G609" i="1"/>
  <c r="F609" i="1"/>
  <c r="D609" i="1"/>
  <c r="H608" i="1"/>
  <c r="G608" i="1"/>
  <c r="F608" i="1"/>
  <c r="D608" i="1"/>
  <c r="G607" i="1"/>
  <c r="F607" i="1"/>
  <c r="E607" i="1"/>
  <c r="G606" i="1"/>
  <c r="F606" i="1"/>
  <c r="D606" i="1"/>
  <c r="G605" i="1"/>
  <c r="F605" i="1"/>
  <c r="D605" i="1"/>
  <c r="H605" i="1" s="1"/>
  <c r="G604" i="1"/>
  <c r="F604" i="1"/>
  <c r="E604" i="1"/>
  <c r="I604" i="1" s="1"/>
  <c r="G603" i="1"/>
  <c r="F603" i="1"/>
  <c r="D603" i="1"/>
  <c r="G602" i="1"/>
  <c r="F602" i="1"/>
  <c r="D602" i="1"/>
  <c r="G601" i="1"/>
  <c r="F601" i="1"/>
  <c r="E601" i="1"/>
  <c r="G600" i="1"/>
  <c r="F600" i="1"/>
  <c r="D600" i="1"/>
  <c r="H600" i="1" s="1"/>
  <c r="G599" i="1"/>
  <c r="F599" i="1"/>
  <c r="E599" i="1"/>
  <c r="G598" i="1"/>
  <c r="F598" i="1"/>
  <c r="D598" i="1"/>
  <c r="G597" i="1"/>
  <c r="F597" i="1"/>
  <c r="E597" i="1"/>
  <c r="G596" i="1"/>
  <c r="F596" i="1"/>
  <c r="D596" i="1"/>
  <c r="H596" i="1" s="1"/>
  <c r="G595" i="1"/>
  <c r="F595" i="1"/>
  <c r="D595" i="1"/>
  <c r="G594" i="1"/>
  <c r="F594" i="1"/>
  <c r="E594" i="1"/>
  <c r="G593" i="1"/>
  <c r="F593" i="1"/>
  <c r="D593" i="1"/>
  <c r="G592" i="1"/>
  <c r="F592" i="1"/>
  <c r="E592" i="1"/>
  <c r="I592" i="1" s="1"/>
  <c r="G591" i="1"/>
  <c r="F591" i="1"/>
  <c r="D591" i="1"/>
  <c r="G590" i="1"/>
  <c r="F590" i="1"/>
  <c r="E590" i="1"/>
  <c r="G589" i="1"/>
  <c r="F589" i="1"/>
  <c r="D589" i="1"/>
  <c r="G588" i="1"/>
  <c r="F588" i="1"/>
  <c r="D588" i="1"/>
  <c r="H588" i="1" s="1"/>
  <c r="G587" i="1"/>
  <c r="F587" i="1"/>
  <c r="E587" i="1"/>
  <c r="G586" i="1"/>
  <c r="F586" i="1"/>
  <c r="D586" i="1"/>
  <c r="G585" i="1"/>
  <c r="F585" i="1"/>
  <c r="E585" i="1"/>
  <c r="G584" i="1"/>
  <c r="F584" i="1"/>
  <c r="D584" i="1"/>
  <c r="G583" i="1"/>
  <c r="F583" i="1"/>
  <c r="E583" i="1"/>
  <c r="G582" i="1"/>
  <c r="F582" i="1"/>
  <c r="D582" i="1"/>
  <c r="G581" i="1"/>
  <c r="F581" i="1"/>
  <c r="D581" i="1"/>
  <c r="G580" i="1"/>
  <c r="F580" i="1"/>
  <c r="D580" i="1"/>
  <c r="H579" i="1"/>
  <c r="H578" i="1"/>
  <c r="H577" i="1"/>
  <c r="G576" i="1"/>
  <c r="H576" i="1" s="1"/>
  <c r="F576" i="1"/>
  <c r="D576" i="1"/>
  <c r="G575" i="1"/>
  <c r="F575" i="1"/>
  <c r="D575" i="1"/>
  <c r="G574" i="1"/>
  <c r="F574" i="1"/>
  <c r="D574" i="1"/>
  <c r="H574" i="1" s="1"/>
  <c r="G573" i="1"/>
  <c r="F573" i="1"/>
  <c r="D573" i="1"/>
  <c r="G572" i="1"/>
  <c r="F572" i="1"/>
  <c r="D572" i="1"/>
  <c r="G571" i="1"/>
  <c r="F571" i="1"/>
  <c r="D571" i="1"/>
  <c r="G570" i="1"/>
  <c r="F570" i="1"/>
  <c r="D570" i="1"/>
  <c r="H570" i="1" s="1"/>
  <c r="G569" i="1"/>
  <c r="F569" i="1"/>
  <c r="D569" i="1"/>
  <c r="G568" i="1"/>
  <c r="H568" i="1" s="1"/>
  <c r="F568" i="1"/>
  <c r="D568" i="1"/>
  <c r="G567" i="1"/>
  <c r="F567" i="1"/>
  <c r="D567" i="1"/>
  <c r="G566" i="1"/>
  <c r="F566" i="1"/>
  <c r="D566" i="1"/>
  <c r="G565" i="1"/>
  <c r="F565" i="1"/>
  <c r="D565" i="1"/>
  <c r="H565" i="1" s="1"/>
  <c r="G564" i="1"/>
  <c r="F564" i="1"/>
  <c r="D564" i="1"/>
  <c r="G563" i="1"/>
  <c r="F563" i="1"/>
  <c r="D563" i="1"/>
  <c r="G562" i="1"/>
  <c r="F562" i="1"/>
  <c r="D562" i="1"/>
  <c r="G561" i="1"/>
  <c r="F561" i="1"/>
  <c r="D561" i="1"/>
  <c r="H561" i="1" s="1"/>
  <c r="G560" i="1"/>
  <c r="F560" i="1"/>
  <c r="D560" i="1"/>
  <c r="G559" i="1"/>
  <c r="F559" i="1"/>
  <c r="D559" i="1"/>
  <c r="G558" i="1"/>
  <c r="F558" i="1"/>
  <c r="D558" i="1"/>
  <c r="G557" i="1"/>
  <c r="F557" i="1"/>
  <c r="D557" i="1"/>
  <c r="H557" i="1" s="1"/>
  <c r="G556" i="1"/>
  <c r="F556" i="1"/>
  <c r="D556" i="1"/>
  <c r="G555" i="1"/>
  <c r="F555" i="1"/>
  <c r="D555" i="1"/>
  <c r="G554" i="1"/>
  <c r="F554" i="1"/>
  <c r="D554" i="1"/>
  <c r="G553" i="1"/>
  <c r="F553" i="1"/>
  <c r="D553" i="1"/>
  <c r="H553" i="1" s="1"/>
  <c r="G552" i="1"/>
  <c r="F552" i="1"/>
  <c r="D552" i="1"/>
  <c r="G551" i="1"/>
  <c r="F551" i="1"/>
  <c r="D551" i="1"/>
  <c r="G550" i="1"/>
  <c r="F550" i="1"/>
  <c r="D550" i="1"/>
  <c r="G549" i="1"/>
  <c r="F549" i="1"/>
  <c r="D549" i="1"/>
  <c r="H549" i="1" s="1"/>
  <c r="G548" i="1"/>
  <c r="F548" i="1"/>
  <c r="D548" i="1"/>
  <c r="G547" i="1"/>
  <c r="F547" i="1"/>
  <c r="D547" i="1"/>
  <c r="H546" i="1"/>
  <c r="G545" i="1"/>
  <c r="F545" i="1"/>
  <c r="D545" i="1"/>
  <c r="G544" i="1"/>
  <c r="F544" i="1"/>
  <c r="D544" i="1"/>
  <c r="G543" i="1"/>
  <c r="F543" i="1"/>
  <c r="D543" i="1"/>
  <c r="G542" i="1"/>
  <c r="F542" i="1"/>
  <c r="D542" i="1"/>
  <c r="G541" i="1"/>
  <c r="F541" i="1"/>
  <c r="H541" i="1" s="1"/>
  <c r="D541" i="1"/>
  <c r="G540" i="1"/>
  <c r="F540" i="1"/>
  <c r="D540" i="1"/>
  <c r="G539" i="1"/>
  <c r="F539" i="1"/>
  <c r="D539" i="1"/>
  <c r="H539" i="1" s="1"/>
  <c r="G538" i="1"/>
  <c r="F538" i="1"/>
  <c r="D538" i="1"/>
  <c r="G537" i="1"/>
  <c r="F537" i="1"/>
  <c r="D537" i="1"/>
  <c r="G536" i="1"/>
  <c r="F536" i="1"/>
  <c r="D536" i="1"/>
  <c r="G535" i="1"/>
  <c r="F535" i="1"/>
  <c r="D535" i="1"/>
  <c r="H535" i="1" s="1"/>
  <c r="G534" i="1"/>
  <c r="F534" i="1"/>
  <c r="D534" i="1"/>
  <c r="G533" i="1"/>
  <c r="F533" i="1"/>
  <c r="D533" i="1"/>
  <c r="G532" i="1"/>
  <c r="F532" i="1"/>
  <c r="D532" i="1"/>
  <c r="G531" i="1"/>
  <c r="F531" i="1"/>
  <c r="D531" i="1"/>
  <c r="H531" i="1" s="1"/>
  <c r="G530" i="1"/>
  <c r="F530" i="1"/>
  <c r="D530" i="1"/>
  <c r="H529" i="1"/>
  <c r="G528" i="1"/>
  <c r="F528" i="1"/>
  <c r="D528" i="1"/>
  <c r="G527" i="1"/>
  <c r="F527" i="1"/>
  <c r="D527" i="1"/>
  <c r="G526" i="1"/>
  <c r="F526" i="1"/>
  <c r="D526" i="1"/>
  <c r="G525" i="1"/>
  <c r="F525" i="1"/>
  <c r="D525" i="1"/>
  <c r="H525" i="1" s="1"/>
  <c r="G524" i="1"/>
  <c r="F524" i="1"/>
  <c r="D524" i="1"/>
  <c r="G523" i="1"/>
  <c r="F523" i="1"/>
  <c r="D523" i="1"/>
  <c r="G522" i="1"/>
  <c r="F522" i="1"/>
  <c r="D522" i="1"/>
  <c r="G521" i="1"/>
  <c r="F521" i="1"/>
  <c r="D521" i="1"/>
  <c r="H521" i="1" s="1"/>
  <c r="G520" i="1"/>
  <c r="F520" i="1"/>
  <c r="D520" i="1"/>
  <c r="G519" i="1"/>
  <c r="F519" i="1"/>
  <c r="D519" i="1"/>
  <c r="G518" i="1"/>
  <c r="F518" i="1"/>
  <c r="D518" i="1"/>
  <c r="G517" i="1"/>
  <c r="F517" i="1"/>
  <c r="D517" i="1"/>
  <c r="H517" i="1" s="1"/>
  <c r="G516" i="1"/>
  <c r="F516" i="1"/>
  <c r="D516" i="1"/>
  <c r="G515" i="1"/>
  <c r="F515" i="1"/>
  <c r="D515" i="1"/>
  <c r="G514" i="1"/>
  <c r="F514" i="1"/>
  <c r="D514" i="1"/>
  <c r="H513" i="1"/>
  <c r="G512" i="1"/>
  <c r="F512" i="1"/>
  <c r="D512" i="1"/>
  <c r="G511" i="1"/>
  <c r="F511" i="1"/>
  <c r="D511" i="1"/>
  <c r="H511" i="1" s="1"/>
  <c r="G510" i="1"/>
  <c r="F510" i="1"/>
  <c r="D510" i="1"/>
  <c r="G509" i="1"/>
  <c r="F509" i="1"/>
  <c r="D509" i="1"/>
  <c r="G508" i="1"/>
  <c r="F508" i="1"/>
  <c r="D508" i="1"/>
  <c r="G507" i="1"/>
  <c r="F507" i="1"/>
  <c r="D507" i="1"/>
  <c r="H507" i="1" s="1"/>
  <c r="G506" i="1"/>
  <c r="F506" i="1"/>
  <c r="D506" i="1"/>
  <c r="G505" i="1"/>
  <c r="H505" i="1" s="1"/>
  <c r="F505" i="1"/>
  <c r="D505" i="1"/>
  <c r="G504" i="1"/>
  <c r="F504" i="1"/>
  <c r="D504" i="1"/>
  <c r="G503" i="1"/>
  <c r="F503" i="1"/>
  <c r="D503" i="1"/>
  <c r="H503" i="1" s="1"/>
  <c r="G502" i="1"/>
  <c r="F502" i="1"/>
  <c r="D502" i="1"/>
  <c r="G501" i="1"/>
  <c r="F501" i="1"/>
  <c r="D501" i="1"/>
  <c r="G500" i="1"/>
  <c r="F500" i="1"/>
  <c r="D500" i="1"/>
  <c r="G499" i="1"/>
  <c r="F499" i="1"/>
  <c r="D499" i="1"/>
  <c r="H499" i="1" s="1"/>
  <c r="G498" i="1"/>
  <c r="F498" i="1"/>
  <c r="D498" i="1"/>
  <c r="G497" i="1"/>
  <c r="H497" i="1" s="1"/>
  <c r="F497" i="1"/>
  <c r="D497" i="1"/>
  <c r="G496" i="1"/>
  <c r="F496" i="1"/>
  <c r="D496" i="1"/>
  <c r="G495" i="1"/>
  <c r="F495" i="1"/>
  <c r="D495" i="1"/>
  <c r="H495" i="1" s="1"/>
  <c r="G494" i="1"/>
  <c r="F494" i="1"/>
  <c r="D494" i="1"/>
  <c r="G493" i="1"/>
  <c r="F493" i="1"/>
  <c r="D493" i="1"/>
  <c r="G492" i="1"/>
  <c r="F492" i="1"/>
  <c r="D492" i="1"/>
  <c r="G491" i="1"/>
  <c r="F491" i="1"/>
  <c r="I491" i="1" s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I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I462" i="1"/>
  <c r="G461" i="1"/>
  <c r="F461" i="1"/>
  <c r="E461" i="1"/>
  <c r="I461" i="1" s="1"/>
  <c r="G460" i="1"/>
  <c r="F460" i="1"/>
  <c r="E460" i="1"/>
  <c r="G459" i="1"/>
  <c r="F459" i="1"/>
  <c r="E459" i="1"/>
  <c r="G458" i="1"/>
  <c r="F458" i="1"/>
  <c r="E458" i="1"/>
  <c r="G457" i="1"/>
  <c r="F457" i="1"/>
  <c r="E457" i="1"/>
  <c r="G456" i="1"/>
  <c r="F456" i="1"/>
  <c r="E456" i="1"/>
  <c r="G455" i="1"/>
  <c r="F455" i="1"/>
  <c r="E455" i="1"/>
  <c r="G454" i="1"/>
  <c r="F454" i="1"/>
  <c r="E454" i="1"/>
  <c r="G453" i="1"/>
  <c r="F453" i="1"/>
  <c r="E453" i="1"/>
  <c r="G452" i="1"/>
  <c r="F452" i="1"/>
  <c r="E452" i="1"/>
  <c r="G451" i="1"/>
  <c r="F451" i="1"/>
  <c r="E451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I445" i="1" s="1"/>
  <c r="G444" i="1"/>
  <c r="F444" i="1"/>
  <c r="E444" i="1"/>
  <c r="G443" i="1"/>
  <c r="F443" i="1"/>
  <c r="E443" i="1"/>
  <c r="G442" i="1"/>
  <c r="F442" i="1"/>
  <c r="E442" i="1"/>
  <c r="I442" i="1" s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I434" i="1" s="1"/>
  <c r="G433" i="1"/>
  <c r="F433" i="1"/>
  <c r="E433" i="1"/>
  <c r="I432" i="1"/>
  <c r="G431" i="1"/>
  <c r="F431" i="1"/>
  <c r="E431" i="1"/>
  <c r="G430" i="1"/>
  <c r="F430" i="1"/>
  <c r="E430" i="1"/>
  <c r="G429" i="1"/>
  <c r="F429" i="1"/>
  <c r="I429" i="1" s="1"/>
  <c r="E429" i="1"/>
  <c r="G428" i="1"/>
  <c r="F428" i="1"/>
  <c r="E428" i="1"/>
  <c r="I428" i="1" s="1"/>
  <c r="G427" i="1"/>
  <c r="F427" i="1"/>
  <c r="E427" i="1"/>
  <c r="G426" i="1"/>
  <c r="F426" i="1"/>
  <c r="E426" i="1"/>
  <c r="G425" i="1"/>
  <c r="F425" i="1"/>
  <c r="E425" i="1"/>
  <c r="G424" i="1"/>
  <c r="F424" i="1"/>
  <c r="E424" i="1"/>
  <c r="I424" i="1" s="1"/>
  <c r="G423" i="1"/>
  <c r="F423" i="1"/>
  <c r="E423" i="1"/>
  <c r="G422" i="1"/>
  <c r="F422" i="1"/>
  <c r="E422" i="1"/>
  <c r="G421" i="1"/>
  <c r="F421" i="1"/>
  <c r="E421" i="1"/>
  <c r="I420" i="1"/>
  <c r="G419" i="1"/>
  <c r="F419" i="1"/>
  <c r="I419" i="1" s="1"/>
  <c r="E419" i="1"/>
  <c r="G418" i="1"/>
  <c r="F418" i="1"/>
  <c r="E418" i="1"/>
  <c r="G417" i="1"/>
  <c r="F417" i="1"/>
  <c r="E417" i="1"/>
  <c r="I416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I412" i="1" s="1"/>
  <c r="G411" i="1"/>
  <c r="F411" i="1"/>
  <c r="E411" i="1"/>
  <c r="G410" i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I404" i="1" s="1"/>
  <c r="G403" i="1"/>
  <c r="F403" i="1"/>
  <c r="E403" i="1"/>
  <c r="G402" i="1"/>
  <c r="F402" i="1"/>
  <c r="E402" i="1"/>
  <c r="G401" i="1"/>
  <c r="F401" i="1"/>
  <c r="E401" i="1"/>
  <c r="G400" i="1"/>
  <c r="F400" i="1"/>
  <c r="E400" i="1"/>
  <c r="I400" i="1" s="1"/>
  <c r="G399" i="1"/>
  <c r="F399" i="1"/>
  <c r="E399" i="1"/>
  <c r="G398" i="1"/>
  <c r="F398" i="1"/>
  <c r="E398" i="1"/>
  <c r="G397" i="1"/>
  <c r="F397" i="1"/>
  <c r="E397" i="1"/>
  <c r="I396" i="1"/>
  <c r="I395" i="1"/>
  <c r="I394" i="1"/>
  <c r="I393" i="1"/>
  <c r="I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I384" i="1"/>
  <c r="I383" i="1"/>
  <c r="I382" i="1"/>
  <c r="I381" i="1"/>
  <c r="I380" i="1"/>
  <c r="I379" i="1"/>
  <c r="I378" i="1"/>
  <c r="I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I369" i="1"/>
  <c r="I368" i="1"/>
  <c r="I367" i="1"/>
  <c r="I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8" i="1"/>
  <c r="F358" i="1"/>
  <c r="E358" i="1"/>
  <c r="G357" i="1"/>
  <c r="F357" i="1"/>
  <c r="E357" i="1"/>
  <c r="G356" i="1"/>
  <c r="F356" i="1"/>
  <c r="E356" i="1"/>
  <c r="G355" i="1"/>
  <c r="F355" i="1"/>
  <c r="D355" i="1"/>
  <c r="G354" i="1"/>
  <c r="F354" i="1"/>
  <c r="D354" i="1"/>
  <c r="G353" i="1"/>
  <c r="F353" i="1"/>
  <c r="D353" i="1"/>
  <c r="G352" i="1"/>
  <c r="F352" i="1"/>
  <c r="E352" i="1"/>
  <c r="G351" i="1"/>
  <c r="F351" i="1"/>
  <c r="D351" i="1"/>
  <c r="H350" i="1"/>
  <c r="H349" i="1"/>
  <c r="G348" i="1"/>
  <c r="F348" i="1"/>
  <c r="D348" i="1"/>
  <c r="G347" i="1"/>
  <c r="F347" i="1"/>
  <c r="D347" i="1"/>
  <c r="G346" i="1"/>
  <c r="F346" i="1"/>
  <c r="D346" i="1"/>
  <c r="G345" i="1"/>
  <c r="F345" i="1"/>
  <c r="D345" i="1"/>
  <c r="G344" i="1"/>
  <c r="F344" i="1"/>
  <c r="D344" i="1"/>
  <c r="G343" i="1"/>
  <c r="F343" i="1"/>
  <c r="D343" i="1"/>
  <c r="G342" i="1"/>
  <c r="F342" i="1"/>
  <c r="D342" i="1"/>
  <c r="G341" i="1"/>
  <c r="F341" i="1"/>
  <c r="D341" i="1"/>
  <c r="G340" i="1"/>
  <c r="F340" i="1"/>
  <c r="D340" i="1"/>
  <c r="G339" i="1"/>
  <c r="F339" i="1"/>
  <c r="D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G304" i="1"/>
  <c r="F304" i="1"/>
  <c r="D304" i="1"/>
  <c r="G303" i="1"/>
  <c r="F303" i="1"/>
  <c r="D303" i="1"/>
  <c r="G302" i="1"/>
  <c r="F302" i="1"/>
  <c r="D302" i="1"/>
  <c r="G301" i="1"/>
  <c r="F301" i="1"/>
  <c r="D301" i="1"/>
  <c r="G300" i="1"/>
  <c r="F300" i="1"/>
  <c r="D300" i="1"/>
  <c r="G299" i="1"/>
  <c r="F299" i="1"/>
  <c r="D299" i="1"/>
  <c r="G298" i="1"/>
  <c r="F298" i="1"/>
  <c r="D298" i="1"/>
  <c r="G297" i="1"/>
  <c r="F297" i="1"/>
  <c r="D297" i="1"/>
  <c r="G296" i="1"/>
  <c r="F296" i="1"/>
  <c r="D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G279" i="1"/>
  <c r="F279" i="1"/>
  <c r="D279" i="1"/>
  <c r="G278" i="1"/>
  <c r="F278" i="1"/>
  <c r="D278" i="1"/>
  <c r="G277" i="1"/>
  <c r="F277" i="1"/>
  <c r="D277" i="1"/>
  <c r="G276" i="1"/>
  <c r="F276" i="1"/>
  <c r="D276" i="1"/>
  <c r="G275" i="1"/>
  <c r="F275" i="1"/>
  <c r="D275" i="1"/>
  <c r="G274" i="1"/>
  <c r="F274" i="1"/>
  <c r="D274" i="1"/>
  <c r="G273" i="1"/>
  <c r="F273" i="1"/>
  <c r="D273" i="1"/>
  <c r="G272" i="1"/>
  <c r="F272" i="1"/>
  <c r="D272" i="1"/>
  <c r="H271" i="1"/>
  <c r="G270" i="1"/>
  <c r="F270" i="1"/>
  <c r="D270" i="1"/>
  <c r="G269" i="1"/>
  <c r="F269" i="1"/>
  <c r="H269" i="1" s="1"/>
  <c r="D269" i="1"/>
  <c r="G268" i="1"/>
  <c r="F268" i="1"/>
  <c r="D268" i="1"/>
  <c r="G267" i="1"/>
  <c r="F267" i="1"/>
  <c r="D267" i="1"/>
  <c r="H266" i="1"/>
  <c r="G266" i="1"/>
  <c r="F266" i="1"/>
  <c r="D266" i="1"/>
  <c r="G265" i="1"/>
  <c r="F265" i="1"/>
  <c r="D265" i="1"/>
  <c r="G264" i="1"/>
  <c r="F264" i="1"/>
  <c r="H264" i="1" s="1"/>
  <c r="D264" i="1"/>
  <c r="G263" i="1"/>
  <c r="F263" i="1"/>
  <c r="D263" i="1"/>
  <c r="G262" i="1"/>
  <c r="F262" i="1"/>
  <c r="D262" i="1"/>
  <c r="H262" i="1" s="1"/>
  <c r="G261" i="1"/>
  <c r="F261" i="1"/>
  <c r="D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G241" i="1"/>
  <c r="F241" i="1"/>
  <c r="D241" i="1"/>
  <c r="G240" i="1"/>
  <c r="F240" i="1"/>
  <c r="D240" i="1"/>
  <c r="H240" i="1" s="1"/>
  <c r="G239" i="1"/>
  <c r="F239" i="1"/>
  <c r="D239" i="1"/>
  <c r="G238" i="1"/>
  <c r="F238" i="1"/>
  <c r="D238" i="1"/>
  <c r="G237" i="1"/>
  <c r="F237" i="1"/>
  <c r="D237" i="1"/>
  <c r="G236" i="1"/>
  <c r="F236" i="1"/>
  <c r="D236" i="1"/>
  <c r="H236" i="1" s="1"/>
  <c r="G235" i="1"/>
  <c r="F235" i="1"/>
  <c r="D235" i="1"/>
  <c r="G234" i="1"/>
  <c r="F234" i="1"/>
  <c r="D234" i="1"/>
  <c r="G233" i="1"/>
  <c r="F233" i="1"/>
  <c r="D233" i="1"/>
  <c r="G232" i="1"/>
  <c r="F232" i="1"/>
  <c r="D232" i="1"/>
  <c r="H232" i="1" s="1"/>
  <c r="H231" i="1"/>
  <c r="H230" i="1"/>
  <c r="H229" i="1"/>
  <c r="G228" i="1"/>
  <c r="H228" i="1" s="1"/>
  <c r="F228" i="1"/>
  <c r="D228" i="1"/>
  <c r="G227" i="1"/>
  <c r="H227" i="1" s="1"/>
  <c r="F227" i="1"/>
  <c r="D227" i="1"/>
  <c r="G226" i="1"/>
  <c r="F226" i="1"/>
  <c r="D226" i="1"/>
  <c r="G225" i="1"/>
  <c r="F225" i="1"/>
  <c r="D225" i="1"/>
  <c r="H225" i="1" s="1"/>
  <c r="G224" i="1"/>
  <c r="F224" i="1"/>
  <c r="D224" i="1"/>
  <c r="H224" i="1" s="1"/>
  <c r="G223" i="1"/>
  <c r="F223" i="1"/>
  <c r="D223" i="1"/>
  <c r="G222" i="1"/>
  <c r="F222" i="1"/>
  <c r="H222" i="1" s="1"/>
  <c r="D222" i="1"/>
  <c r="G221" i="1"/>
  <c r="F221" i="1"/>
  <c r="D221" i="1"/>
  <c r="G220" i="1"/>
  <c r="F220" i="1"/>
  <c r="D220" i="1"/>
  <c r="G219" i="1"/>
  <c r="F219" i="1"/>
  <c r="D219" i="1"/>
  <c r="G218" i="1"/>
  <c r="F218" i="1"/>
  <c r="D218" i="1"/>
  <c r="G217" i="1"/>
  <c r="F217" i="1"/>
  <c r="D217" i="1"/>
  <c r="H217" i="1" s="1"/>
  <c r="G216" i="1"/>
  <c r="F216" i="1"/>
  <c r="D216" i="1"/>
  <c r="H216" i="1" s="1"/>
  <c r="G215" i="1"/>
  <c r="F215" i="1"/>
  <c r="D215" i="1"/>
  <c r="G214" i="1"/>
  <c r="F214" i="1"/>
  <c r="D214" i="1"/>
  <c r="H213" i="1"/>
  <c r="H212" i="1"/>
  <c r="H211" i="1"/>
  <c r="H210" i="1"/>
  <c r="H209" i="1"/>
  <c r="H208" i="1"/>
  <c r="H207" i="1"/>
  <c r="G206" i="1"/>
  <c r="F206" i="1"/>
  <c r="D206" i="1"/>
  <c r="G205" i="1"/>
  <c r="F205" i="1"/>
  <c r="D205" i="1"/>
  <c r="G204" i="1"/>
  <c r="F204" i="1"/>
  <c r="D204" i="1"/>
  <c r="G203" i="1"/>
  <c r="F203" i="1"/>
  <c r="D203" i="1"/>
  <c r="G202" i="1"/>
  <c r="F202" i="1"/>
  <c r="D202" i="1"/>
  <c r="G201" i="1"/>
  <c r="F201" i="1"/>
  <c r="D201" i="1"/>
  <c r="G200" i="1"/>
  <c r="F200" i="1"/>
  <c r="D200" i="1"/>
  <c r="G199" i="1"/>
  <c r="F199" i="1"/>
  <c r="D199" i="1"/>
  <c r="G198" i="1"/>
  <c r="F198" i="1"/>
  <c r="D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G169" i="1"/>
  <c r="F169" i="1"/>
  <c r="D169" i="1"/>
  <c r="G168" i="1"/>
  <c r="F168" i="1"/>
  <c r="D168" i="1"/>
  <c r="G167" i="1"/>
  <c r="F167" i="1"/>
  <c r="D167" i="1"/>
  <c r="G166" i="1"/>
  <c r="F166" i="1"/>
  <c r="D166" i="1"/>
  <c r="G165" i="1"/>
  <c r="F165" i="1"/>
  <c r="D165" i="1"/>
  <c r="G164" i="1"/>
  <c r="F164" i="1"/>
  <c r="D164" i="1"/>
  <c r="G163" i="1"/>
  <c r="F163" i="1"/>
  <c r="D163" i="1"/>
  <c r="G162" i="1"/>
  <c r="F162" i="1"/>
  <c r="D162" i="1"/>
  <c r="G161" i="1"/>
  <c r="F161" i="1"/>
  <c r="D161" i="1"/>
  <c r="G160" i="1"/>
  <c r="F160" i="1"/>
  <c r="D160" i="1"/>
  <c r="G159" i="1"/>
  <c r="F159" i="1"/>
  <c r="D159" i="1"/>
  <c r="G158" i="1"/>
  <c r="F158" i="1"/>
  <c r="D158" i="1"/>
  <c r="G157" i="1"/>
  <c r="F157" i="1"/>
  <c r="D157" i="1"/>
  <c r="G156" i="1"/>
  <c r="F156" i="1"/>
  <c r="D156" i="1"/>
  <c r="G155" i="1"/>
  <c r="F155" i="1"/>
  <c r="D155" i="1"/>
  <c r="H154" i="1"/>
  <c r="H153" i="1"/>
  <c r="G152" i="1"/>
  <c r="F152" i="1"/>
  <c r="D152" i="1"/>
  <c r="G151" i="1"/>
  <c r="F151" i="1"/>
  <c r="D151" i="1"/>
  <c r="G150" i="1"/>
  <c r="F150" i="1"/>
  <c r="D150" i="1"/>
  <c r="G149" i="1"/>
  <c r="F149" i="1"/>
  <c r="D149" i="1"/>
  <c r="G148" i="1"/>
  <c r="F148" i="1"/>
  <c r="D148" i="1"/>
  <c r="G147" i="1"/>
  <c r="F147" i="1"/>
  <c r="D147" i="1"/>
  <c r="G146" i="1"/>
  <c r="F146" i="1"/>
  <c r="D146" i="1"/>
  <c r="G145" i="1"/>
  <c r="F145" i="1"/>
  <c r="D145" i="1"/>
  <c r="G144" i="1"/>
  <c r="F144" i="1"/>
  <c r="D144" i="1"/>
  <c r="H143" i="1"/>
  <c r="H142" i="1"/>
  <c r="G141" i="1"/>
  <c r="F141" i="1"/>
  <c r="D141" i="1"/>
  <c r="G140" i="1"/>
  <c r="F140" i="1"/>
  <c r="D140" i="1"/>
  <c r="G139" i="1"/>
  <c r="F139" i="1"/>
  <c r="D139" i="1"/>
  <c r="G138" i="1"/>
  <c r="F138" i="1"/>
  <c r="D138" i="1"/>
  <c r="G137" i="1"/>
  <c r="F137" i="1"/>
  <c r="D137" i="1"/>
  <c r="G136" i="1"/>
  <c r="F136" i="1"/>
  <c r="D136" i="1"/>
  <c r="G135" i="1"/>
  <c r="F135" i="1"/>
  <c r="D135" i="1"/>
  <c r="G134" i="1"/>
  <c r="F134" i="1"/>
  <c r="D134" i="1"/>
  <c r="G133" i="1"/>
  <c r="F133" i="1"/>
  <c r="D133" i="1"/>
  <c r="H132" i="1"/>
  <c r="G131" i="1"/>
  <c r="F131" i="1"/>
  <c r="D131" i="1"/>
  <c r="G130" i="1"/>
  <c r="F130" i="1"/>
  <c r="D130" i="1"/>
  <c r="G129" i="1"/>
  <c r="F129" i="1"/>
  <c r="D129" i="1"/>
  <c r="H129" i="1" s="1"/>
  <c r="G128" i="1"/>
  <c r="F128" i="1"/>
  <c r="D128" i="1"/>
  <c r="H127" i="1"/>
  <c r="G127" i="1"/>
  <c r="F127" i="1"/>
  <c r="D127" i="1"/>
  <c r="G126" i="1"/>
  <c r="F126" i="1"/>
  <c r="D126" i="1"/>
  <c r="G125" i="1"/>
  <c r="F125" i="1"/>
  <c r="D125" i="1"/>
  <c r="G124" i="1"/>
  <c r="F124" i="1"/>
  <c r="D124" i="1"/>
  <c r="G123" i="1"/>
  <c r="F123" i="1"/>
  <c r="D123" i="1"/>
  <c r="G122" i="1"/>
  <c r="F122" i="1"/>
  <c r="D122" i="1"/>
  <c r="G121" i="1"/>
  <c r="F121" i="1"/>
  <c r="D121" i="1"/>
  <c r="G120" i="1"/>
  <c r="F120" i="1"/>
  <c r="D120" i="1"/>
  <c r="G119" i="1"/>
  <c r="F119" i="1"/>
  <c r="D119" i="1"/>
  <c r="G118" i="1"/>
  <c r="F118" i="1"/>
  <c r="D118" i="1"/>
  <c r="G117" i="1"/>
  <c r="F117" i="1"/>
  <c r="D117" i="1"/>
  <c r="H116" i="1"/>
  <c r="H115" i="1"/>
  <c r="H114" i="1"/>
  <c r="H113" i="1"/>
  <c r="H112" i="1"/>
  <c r="H111" i="1"/>
  <c r="H110" i="1"/>
  <c r="G109" i="1"/>
  <c r="F109" i="1"/>
  <c r="D109" i="1"/>
  <c r="G108" i="1"/>
  <c r="F108" i="1"/>
  <c r="D108" i="1"/>
  <c r="G107" i="1"/>
  <c r="F107" i="1"/>
  <c r="D107" i="1"/>
  <c r="G106" i="1"/>
  <c r="F106" i="1"/>
  <c r="D106" i="1"/>
  <c r="G105" i="1"/>
  <c r="F105" i="1"/>
  <c r="D105" i="1"/>
  <c r="G104" i="1"/>
  <c r="F104" i="1"/>
  <c r="D104" i="1"/>
  <c r="G103" i="1"/>
  <c r="F103" i="1"/>
  <c r="D103" i="1"/>
  <c r="G102" i="1"/>
  <c r="F102" i="1"/>
  <c r="D102" i="1"/>
  <c r="G101" i="1"/>
  <c r="F101" i="1"/>
  <c r="D101" i="1"/>
  <c r="H100" i="1"/>
  <c r="G99" i="1"/>
  <c r="F99" i="1"/>
  <c r="D99" i="1"/>
  <c r="G98" i="1"/>
  <c r="F98" i="1"/>
  <c r="D98" i="1"/>
  <c r="G97" i="1"/>
  <c r="F97" i="1"/>
  <c r="D97" i="1"/>
  <c r="G96" i="1"/>
  <c r="F96" i="1"/>
  <c r="D96" i="1"/>
  <c r="G95" i="1"/>
  <c r="F95" i="1"/>
  <c r="D95" i="1"/>
  <c r="G94" i="1"/>
  <c r="F94" i="1"/>
  <c r="D94" i="1"/>
  <c r="G93" i="1"/>
  <c r="F93" i="1"/>
  <c r="D93" i="1"/>
  <c r="G92" i="1"/>
  <c r="F92" i="1"/>
  <c r="D92" i="1"/>
  <c r="G91" i="1"/>
  <c r="F91" i="1"/>
  <c r="D91" i="1"/>
  <c r="H90" i="1"/>
  <c r="H89" i="1"/>
  <c r="H88" i="1"/>
  <c r="G87" i="1"/>
  <c r="F87" i="1"/>
  <c r="D87" i="1"/>
  <c r="G86" i="1"/>
  <c r="F86" i="1"/>
  <c r="D86" i="1"/>
  <c r="G85" i="1"/>
  <c r="F85" i="1"/>
  <c r="D85" i="1"/>
  <c r="G84" i="1"/>
  <c r="F84" i="1"/>
  <c r="D84" i="1"/>
  <c r="G83" i="1"/>
  <c r="F83" i="1"/>
  <c r="D83" i="1"/>
  <c r="G82" i="1"/>
  <c r="F82" i="1"/>
  <c r="D82" i="1"/>
  <c r="G81" i="1"/>
  <c r="F81" i="1"/>
  <c r="D81" i="1"/>
  <c r="G80" i="1"/>
  <c r="F80" i="1"/>
  <c r="D80" i="1"/>
  <c r="G79" i="1"/>
  <c r="F79" i="1"/>
  <c r="D79" i="1"/>
  <c r="G78" i="1"/>
  <c r="F78" i="1"/>
  <c r="D78" i="1"/>
  <c r="G77" i="1"/>
  <c r="F77" i="1"/>
  <c r="D77" i="1"/>
  <c r="G76" i="1"/>
  <c r="F76" i="1"/>
  <c r="D76" i="1"/>
  <c r="G75" i="1"/>
  <c r="F75" i="1"/>
  <c r="D75" i="1"/>
  <c r="G74" i="1"/>
  <c r="F74" i="1"/>
  <c r="D74" i="1"/>
  <c r="G73" i="1"/>
  <c r="F73" i="1"/>
  <c r="D73" i="1"/>
  <c r="G72" i="1"/>
  <c r="F72" i="1"/>
  <c r="D72" i="1"/>
  <c r="G71" i="1"/>
  <c r="F71" i="1"/>
  <c r="D71" i="1"/>
  <c r="G70" i="1"/>
  <c r="F70" i="1"/>
  <c r="D70" i="1"/>
  <c r="G69" i="1"/>
  <c r="F69" i="1"/>
  <c r="D69" i="1"/>
  <c r="G68" i="1"/>
  <c r="F68" i="1"/>
  <c r="D68" i="1"/>
  <c r="G67" i="1"/>
  <c r="F67" i="1"/>
  <c r="D67" i="1"/>
  <c r="G66" i="1"/>
  <c r="F66" i="1"/>
  <c r="D66" i="1"/>
  <c r="G65" i="1"/>
  <c r="F65" i="1"/>
  <c r="D65" i="1"/>
  <c r="G64" i="1"/>
  <c r="F64" i="1"/>
  <c r="D64" i="1"/>
  <c r="H63" i="1"/>
  <c r="G62" i="1"/>
  <c r="F62" i="1"/>
  <c r="D62" i="1"/>
  <c r="G61" i="1"/>
  <c r="F61" i="1"/>
  <c r="D61" i="1"/>
  <c r="G60" i="1"/>
  <c r="F60" i="1"/>
  <c r="D60" i="1"/>
  <c r="G59" i="1"/>
  <c r="F59" i="1"/>
  <c r="D59" i="1"/>
  <c r="G58" i="1"/>
  <c r="F58" i="1"/>
  <c r="D58" i="1"/>
  <c r="G57" i="1"/>
  <c r="F57" i="1"/>
  <c r="D57" i="1"/>
  <c r="G56" i="1"/>
  <c r="F56" i="1"/>
  <c r="D56" i="1"/>
  <c r="G55" i="1"/>
  <c r="F55" i="1"/>
  <c r="D55" i="1"/>
  <c r="G54" i="1"/>
  <c r="F54" i="1"/>
  <c r="D54" i="1"/>
  <c r="H53" i="1"/>
  <c r="G52" i="1"/>
  <c r="F52" i="1"/>
  <c r="D52" i="1"/>
  <c r="G51" i="1"/>
  <c r="F51" i="1"/>
  <c r="D51" i="1"/>
  <c r="G50" i="1"/>
  <c r="F50" i="1"/>
  <c r="D50" i="1"/>
  <c r="G49" i="1"/>
  <c r="F49" i="1"/>
  <c r="D49" i="1"/>
  <c r="G48" i="1"/>
  <c r="F48" i="1"/>
  <c r="D48" i="1"/>
  <c r="G47" i="1"/>
  <c r="F47" i="1"/>
  <c r="D47" i="1"/>
  <c r="G46" i="1"/>
  <c r="F46" i="1"/>
  <c r="D46" i="1"/>
  <c r="G45" i="1"/>
  <c r="F45" i="1"/>
  <c r="D45" i="1"/>
  <c r="H44" i="1"/>
  <c r="G43" i="1"/>
  <c r="F43" i="1"/>
  <c r="D43" i="1"/>
  <c r="G42" i="1"/>
  <c r="H42" i="1" s="1"/>
  <c r="F42" i="1"/>
  <c r="D42" i="1"/>
  <c r="G41" i="1"/>
  <c r="F41" i="1"/>
  <c r="D41" i="1"/>
  <c r="G40" i="1"/>
  <c r="F40" i="1"/>
  <c r="D40" i="1"/>
  <c r="H40" i="1" s="1"/>
  <c r="G39" i="1"/>
  <c r="F39" i="1"/>
  <c r="D39" i="1"/>
  <c r="H39" i="1" s="1"/>
  <c r="G38" i="1"/>
  <c r="F38" i="1"/>
  <c r="D38" i="1"/>
  <c r="G37" i="1"/>
  <c r="F37" i="1"/>
  <c r="D37" i="1"/>
  <c r="G36" i="1"/>
  <c r="F36" i="1"/>
  <c r="D36" i="1"/>
  <c r="H36" i="1" s="1"/>
  <c r="H35" i="1"/>
  <c r="G34" i="1"/>
  <c r="F34" i="1"/>
  <c r="D34" i="1"/>
  <c r="G33" i="1"/>
  <c r="F33" i="1"/>
  <c r="D33" i="1"/>
  <c r="G32" i="1"/>
  <c r="F32" i="1"/>
  <c r="D32" i="1"/>
  <c r="G31" i="1"/>
  <c r="F31" i="1"/>
  <c r="D31" i="1"/>
  <c r="G30" i="1"/>
  <c r="F30" i="1"/>
  <c r="D30" i="1"/>
  <c r="G29" i="1"/>
  <c r="F29" i="1"/>
  <c r="D29" i="1"/>
  <c r="G28" i="1"/>
  <c r="F28" i="1"/>
  <c r="D28" i="1"/>
  <c r="G27" i="1"/>
  <c r="F27" i="1"/>
  <c r="D27" i="1"/>
  <c r="G26" i="1"/>
  <c r="F26" i="1"/>
  <c r="D26" i="1"/>
  <c r="H25" i="1"/>
  <c r="H24" i="1"/>
  <c r="H23" i="1"/>
  <c r="H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H17" i="1" s="1"/>
  <c r="G16" i="1"/>
  <c r="F16" i="1"/>
  <c r="D16" i="1"/>
  <c r="G15" i="1"/>
  <c r="F15" i="1"/>
  <c r="D15" i="1"/>
  <c r="G14" i="1"/>
  <c r="F14" i="1"/>
  <c r="D14" i="1"/>
  <c r="G13" i="1"/>
  <c r="F13" i="1"/>
  <c r="D13" i="1"/>
  <c r="H13" i="1" s="1"/>
  <c r="G12" i="1"/>
  <c r="F12" i="1"/>
  <c r="D12" i="1"/>
  <c r="G11" i="1"/>
  <c r="F11" i="1"/>
  <c r="D11" i="1"/>
  <c r="H41" i="1" l="1"/>
  <c r="H124" i="1"/>
  <c r="H125" i="1"/>
  <c r="H221" i="1"/>
  <c r="I374" i="1"/>
  <c r="I386" i="1"/>
  <c r="I390" i="1"/>
  <c r="I446" i="1"/>
  <c r="I454" i="1"/>
  <c r="I486" i="1"/>
  <c r="H566" i="1"/>
  <c r="H12" i="1"/>
  <c r="H16" i="1"/>
  <c r="H20" i="1"/>
  <c r="H28" i="1"/>
  <c r="H32" i="1"/>
  <c r="H38" i="1"/>
  <c r="H48" i="1"/>
  <c r="H52" i="1"/>
  <c r="H55" i="1"/>
  <c r="H59" i="1"/>
  <c r="H64" i="1"/>
  <c r="H68" i="1"/>
  <c r="H72" i="1"/>
  <c r="H76" i="1"/>
  <c r="H80" i="1"/>
  <c r="H84" i="1"/>
  <c r="H91" i="1"/>
  <c r="H95" i="1"/>
  <c r="H99" i="1"/>
  <c r="H104" i="1"/>
  <c r="H108" i="1"/>
  <c r="H119" i="1"/>
  <c r="H123" i="1"/>
  <c r="H133" i="1"/>
  <c r="H137" i="1"/>
  <c r="H141" i="1"/>
  <c r="H145" i="1"/>
  <c r="H149" i="1"/>
  <c r="H157" i="1"/>
  <c r="H161" i="1"/>
  <c r="H165" i="1"/>
  <c r="H167" i="1"/>
  <c r="H169" i="1"/>
  <c r="H199" i="1"/>
  <c r="H201" i="1"/>
  <c r="H203" i="1"/>
  <c r="H205" i="1"/>
  <c r="H215" i="1"/>
  <c r="H220" i="1"/>
  <c r="H223" i="1"/>
  <c r="H235" i="1"/>
  <c r="H239" i="1"/>
  <c r="H267" i="1"/>
  <c r="H270" i="1"/>
  <c r="I405" i="1"/>
  <c r="I407" i="1"/>
  <c r="I408" i="1"/>
  <c r="I423" i="1"/>
  <c r="I427" i="1"/>
  <c r="I431" i="1"/>
  <c r="I436" i="1"/>
  <c r="I444" i="1"/>
  <c r="I452" i="1"/>
  <c r="I460" i="1"/>
  <c r="H493" i="1"/>
  <c r="H494" i="1"/>
  <c r="H498" i="1"/>
  <c r="H502" i="1"/>
  <c r="H506" i="1"/>
  <c r="H510" i="1"/>
  <c r="H528" i="1"/>
  <c r="H542" i="1"/>
  <c r="H543" i="1"/>
  <c r="I599" i="1"/>
  <c r="H603" i="1"/>
  <c r="I612" i="1"/>
  <c r="I620" i="1"/>
  <c r="H37" i="1"/>
  <c r="H43" i="1"/>
  <c r="H47" i="1"/>
  <c r="H51" i="1"/>
  <c r="H67" i="1"/>
  <c r="H71" i="1"/>
  <c r="H75" i="1"/>
  <c r="H79" i="1"/>
  <c r="H83" i="1"/>
  <c r="H87" i="1"/>
  <c r="H103" i="1"/>
  <c r="H107" i="1"/>
  <c r="H131" i="1"/>
  <c r="H136" i="1"/>
  <c r="H140" i="1"/>
  <c r="H144" i="1"/>
  <c r="H148" i="1"/>
  <c r="H152" i="1"/>
  <c r="H156" i="1"/>
  <c r="H160" i="1"/>
  <c r="H164" i="1"/>
  <c r="H168" i="1"/>
  <c r="H219" i="1"/>
  <c r="H275" i="1"/>
  <c r="H279" i="1"/>
  <c r="H299" i="1"/>
  <c r="H303" i="1"/>
  <c r="H339" i="1"/>
  <c r="H340" i="1"/>
  <c r="H344" i="1"/>
  <c r="H348" i="1"/>
  <c r="H351" i="1"/>
  <c r="H355" i="1"/>
  <c r="I359" i="1"/>
  <c r="I363" i="1"/>
  <c r="I371" i="1"/>
  <c r="I373" i="1"/>
  <c r="I375" i="1"/>
  <c r="I388" i="1"/>
  <c r="I397" i="1"/>
  <c r="I402" i="1"/>
  <c r="I411" i="1"/>
  <c r="I439" i="1"/>
  <c r="I440" i="1"/>
  <c r="I447" i="1"/>
  <c r="I448" i="1"/>
  <c r="I455" i="1"/>
  <c r="I456" i="1"/>
  <c r="I465" i="1"/>
  <c r="I469" i="1"/>
  <c r="I482" i="1"/>
  <c r="I487" i="1"/>
  <c r="H496" i="1"/>
  <c r="H500" i="1"/>
  <c r="H504" i="1"/>
  <c r="H508" i="1"/>
  <c r="H512" i="1"/>
  <c r="H532" i="1"/>
  <c r="H533" i="1"/>
  <c r="H571" i="1"/>
  <c r="H575" i="1"/>
  <c r="H589" i="1"/>
  <c r="I594" i="1"/>
  <c r="H14" i="1"/>
  <c r="H18" i="1"/>
  <c r="H633" i="1"/>
  <c r="H26" i="1"/>
  <c r="H30" i="1"/>
  <c r="H34" i="1"/>
  <c r="H46" i="1"/>
  <c r="H50" i="1"/>
  <c r="H57" i="1"/>
  <c r="H61" i="1"/>
  <c r="H66" i="1"/>
  <c r="H70" i="1"/>
  <c r="H74" i="1"/>
  <c r="H78" i="1"/>
  <c r="H82" i="1"/>
  <c r="H86" i="1"/>
  <c r="H93" i="1"/>
  <c r="H97" i="1"/>
  <c r="H102" i="1"/>
  <c r="H106" i="1"/>
  <c r="H117" i="1"/>
  <c r="H121" i="1"/>
  <c r="H128" i="1"/>
  <c r="H135" i="1"/>
  <c r="H139" i="1"/>
  <c r="H147" i="1"/>
  <c r="H151" i="1"/>
  <c r="H21" i="1"/>
  <c r="H29" i="1"/>
  <c r="H33" i="1"/>
  <c r="H45" i="1"/>
  <c r="H49" i="1"/>
  <c r="H56" i="1"/>
  <c r="H60" i="1"/>
  <c r="H65" i="1"/>
  <c r="H69" i="1"/>
  <c r="H73" i="1"/>
  <c r="H77" i="1"/>
  <c r="H81" i="1"/>
  <c r="H85" i="1"/>
  <c r="H92" i="1"/>
  <c r="H96" i="1"/>
  <c r="H101" i="1"/>
  <c r="H105" i="1"/>
  <c r="H109" i="1"/>
  <c r="H120" i="1"/>
  <c r="H126" i="1"/>
  <c r="H134" i="1"/>
  <c r="H138" i="1"/>
  <c r="H11" i="1"/>
  <c r="H15" i="1"/>
  <c r="H19" i="1"/>
  <c r="H27" i="1"/>
  <c r="H31" i="1"/>
  <c r="H54" i="1"/>
  <c r="H58" i="1"/>
  <c r="H62" i="1"/>
  <c r="H94" i="1"/>
  <c r="H98" i="1"/>
  <c r="H118" i="1"/>
  <c r="H122" i="1"/>
  <c r="H130" i="1"/>
  <c r="H146" i="1"/>
  <c r="H150" i="1"/>
  <c r="H158" i="1"/>
  <c r="H162" i="1"/>
  <c r="H166" i="1"/>
  <c r="H198" i="1"/>
  <c r="H200" i="1"/>
  <c r="H202" i="1"/>
  <c r="H204" i="1"/>
  <c r="H206" i="1"/>
  <c r="H226" i="1"/>
  <c r="H233" i="1"/>
  <c r="H237" i="1"/>
  <c r="H241" i="1"/>
  <c r="H272" i="1"/>
  <c r="H276" i="1"/>
  <c r="H296" i="1"/>
  <c r="H300" i="1"/>
  <c r="H304" i="1"/>
  <c r="H342" i="1"/>
  <c r="H346" i="1"/>
  <c r="I352" i="1"/>
  <c r="I356" i="1"/>
  <c r="I360" i="1"/>
  <c r="I362" i="1"/>
  <c r="I364" i="1"/>
  <c r="I372" i="1"/>
  <c r="I376" i="1"/>
  <c r="I398" i="1"/>
  <c r="I403" i="1"/>
  <c r="I414" i="1"/>
  <c r="I415" i="1"/>
  <c r="I417" i="1"/>
  <c r="I421" i="1"/>
  <c r="I422" i="1"/>
  <c r="I425" i="1"/>
  <c r="I426" i="1"/>
  <c r="I430" i="1"/>
  <c r="I435" i="1"/>
  <c r="I441" i="1"/>
  <c r="I451" i="1"/>
  <c r="I457" i="1"/>
  <c r="I458" i="1"/>
  <c r="I464" i="1"/>
  <c r="I468" i="1"/>
  <c r="I472" i="1"/>
  <c r="I476" i="1"/>
  <c r="I480" i="1"/>
  <c r="H516" i="1"/>
  <c r="H520" i="1"/>
  <c r="H524" i="1"/>
  <c r="H530" i="1"/>
  <c r="H536" i="1"/>
  <c r="H537" i="1"/>
  <c r="H548" i="1"/>
  <c r="H552" i="1"/>
  <c r="H556" i="1"/>
  <c r="H560" i="1"/>
  <c r="H569" i="1"/>
  <c r="H580" i="1"/>
  <c r="I583" i="1"/>
  <c r="H584" i="1"/>
  <c r="I587" i="1"/>
  <c r="H593" i="1"/>
  <c r="H598" i="1"/>
  <c r="H609" i="1"/>
  <c r="H614" i="1"/>
  <c r="I463" i="1"/>
  <c r="I467" i="1"/>
  <c r="I471" i="1"/>
  <c r="I473" i="1"/>
  <c r="I475" i="1"/>
  <c r="I477" i="1"/>
  <c r="I479" i="1"/>
  <c r="I481" i="1"/>
  <c r="I483" i="1"/>
  <c r="I485" i="1"/>
  <c r="I488" i="1"/>
  <c r="H501" i="1"/>
  <c r="H509" i="1"/>
  <c r="H515" i="1"/>
  <c r="H519" i="1"/>
  <c r="H523" i="1"/>
  <c r="H527" i="1"/>
  <c r="H534" i="1"/>
  <c r="H540" i="1"/>
  <c r="H547" i="1"/>
  <c r="H551" i="1"/>
  <c r="H555" i="1"/>
  <c r="H559" i="1"/>
  <c r="H563" i="1"/>
  <c r="H572" i="1"/>
  <c r="H582" i="1"/>
  <c r="H586" i="1"/>
  <c r="H591" i="1"/>
  <c r="I597" i="1"/>
  <c r="H602" i="1"/>
  <c r="I607" i="1"/>
  <c r="H613" i="1"/>
  <c r="H218" i="1"/>
  <c r="H261" i="1"/>
  <c r="H263" i="1"/>
  <c r="H268" i="1"/>
  <c r="H274" i="1"/>
  <c r="H278" i="1"/>
  <c r="H298" i="1"/>
  <c r="H302" i="1"/>
  <c r="H354" i="1"/>
  <c r="I358" i="1"/>
  <c r="I633" i="1"/>
  <c r="I370" i="1"/>
  <c r="I401" i="1"/>
  <c r="I406" i="1"/>
  <c r="I409" i="1"/>
  <c r="I433" i="1"/>
  <c r="I438" i="1"/>
  <c r="I443" i="1"/>
  <c r="I449" i="1"/>
  <c r="I450" i="1"/>
  <c r="I459" i="1"/>
  <c r="I466" i="1"/>
  <c r="I470" i="1"/>
  <c r="I474" i="1"/>
  <c r="I478" i="1"/>
  <c r="I489" i="1"/>
  <c r="I490" i="1"/>
  <c r="H492" i="1"/>
  <c r="H514" i="1"/>
  <c r="H518" i="1"/>
  <c r="H522" i="1"/>
  <c r="H526" i="1"/>
  <c r="H538" i="1"/>
  <c r="H544" i="1"/>
  <c r="H545" i="1"/>
  <c r="H550" i="1"/>
  <c r="H554" i="1"/>
  <c r="H558" i="1"/>
  <c r="H562" i="1"/>
  <c r="H564" i="1"/>
  <c r="H567" i="1"/>
  <c r="H573" i="1"/>
  <c r="H581" i="1"/>
  <c r="I585" i="1"/>
  <c r="I590" i="1"/>
  <c r="H595" i="1"/>
  <c r="I601" i="1"/>
  <c r="H606" i="1"/>
  <c r="H611" i="1"/>
  <c r="H628" i="1"/>
  <c r="H155" i="1"/>
  <c r="H159" i="1"/>
  <c r="H163" i="1"/>
  <c r="H214" i="1"/>
  <c r="H234" i="1"/>
  <c r="H238" i="1"/>
  <c r="H265" i="1"/>
  <c r="H273" i="1"/>
  <c r="H277" i="1"/>
  <c r="H297" i="1"/>
  <c r="H301" i="1"/>
  <c r="H341" i="1"/>
  <c r="H343" i="1"/>
  <c r="H345" i="1"/>
  <c r="H347" i="1"/>
  <c r="H353" i="1"/>
  <c r="I357" i="1"/>
  <c r="I361" i="1"/>
  <c r="I365" i="1"/>
  <c r="I385" i="1"/>
  <c r="I387" i="1"/>
  <c r="I389" i="1"/>
  <c r="I391" i="1"/>
  <c r="I399" i="1"/>
  <c r="I410" i="1"/>
  <c r="I413" i="1"/>
  <c r="I418" i="1"/>
  <c r="I437" i="1"/>
  <c r="I453" i="1"/>
  <c r="B635" i="1" l="1"/>
</calcChain>
</file>

<file path=xl/sharedStrings.xml><?xml version="1.0" encoding="utf-8"?>
<sst xmlns="http://schemas.openxmlformats.org/spreadsheetml/2006/main" count="1881" uniqueCount="985">
  <si>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</si>
  <si>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</si>
  <si>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</si>
  <si>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</si>
  <si>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</si>
  <si>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</si>
  <si>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</si>
  <si>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</si>
  <si>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</si>
  <si>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OBRA PUBLICA</t>
  </si>
  <si>
    <t>AL 1 DE ENERO DE 2024</t>
  </si>
  <si>
    <t>ENERO - SEPTIEMBRE 2024</t>
  </si>
  <si>
    <t>AL 30 DE SEPTIEMBRE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</si>
  <si>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</si>
  <si>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</si>
  <si>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</si>
  <si>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</si>
  <si>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</si>
  <si>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</si>
  <si>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</si>
  <si>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</si>
  <si>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</si>
  <si>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</si>
  <si>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</si>
  <si>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</si>
  <si>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</si>
  <si>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</si>
  <si>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</si>
  <si>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</si>
  <si>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</si>
  <si>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</si>
  <si>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00002</t>
  </si>
  <si>
    <t>FONDO DE APORTACIONES P/ LA INFRAESTRUCTURA SOCIAL MPAL</t>
  </si>
  <si>
    <t>1 1 1 2 1 12 31111 6 M78 00002 002</t>
  </si>
  <si>
    <t>ADMINISTRACION 2018-2021</t>
  </si>
  <si>
    <t>1 1 1 2 1 12 31111 6 M78 00002 002 008</t>
  </si>
  <si>
    <t>BANAMEX CTA 7012 5803782-6 FAISM 2022</t>
  </si>
  <si>
    <t>0</t>
  </si>
  <si>
    <t>1 1 1 2 1 12 31111 6 M78 00002 002 009</t>
  </si>
  <si>
    <t>BANAMEX CTA EJE 490/9935920303 CUENTA EJE INVERSION EMPRESARIAL 2022 FAISM</t>
  </si>
  <si>
    <t>1 1 1 2 1 12 31111 6 M78 00002 002 010</t>
  </si>
  <si>
    <t>BANAMEX CTA 7014 4640088 3 FAISM 2023</t>
  </si>
  <si>
    <t>1 1 1 2 1 12 31111 6 M78 00002 002 011</t>
  </si>
  <si>
    <t>BANAMEX CTA 7014 4640096  FAISM 2024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</si>
  <si>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</si>
  <si>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</si>
  <si>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</si>
  <si>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</si>
  <si>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</si>
  <si>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</si>
  <si>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</si>
  <si>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</si>
  <si>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</si>
  <si>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</si>
  <si>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00002</t>
  </si>
  <si>
    <t>1 1 2 2 5 12 31111 6 M78 00002 002</t>
  </si>
  <si>
    <t>1 1 2 2 5 12 31111 6 M78 00002 002 001</t>
  </si>
  <si>
    <t>FONDO DE APORTACIONES PARA LA INFRAESTRUCTURA SOCIAL MUNICIPAL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</si>
  <si>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</si>
  <si>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</si>
  <si>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</si>
  <si>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</si>
  <si>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</si>
  <si>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</si>
  <si>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</si>
  <si>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</si>
  <si>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00002</t>
  </si>
  <si>
    <t>1 1 2 3 1 12 31111 6 M78 00002 002</t>
  </si>
  <si>
    <t>ADMINISTRACION 2018 - 2021</t>
  </si>
  <si>
    <t>1 1 2 3 1 12 31111 6 M78 00002 002 003</t>
  </si>
  <si>
    <t>ALBERTO CASTRO FLORES</t>
  </si>
  <si>
    <t>1 1 2 4</t>
  </si>
  <si>
    <t>INGRESOS POR RECUPERAR A CORTO PLAZO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</si>
  <si>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</si>
  <si>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</si>
  <si>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</si>
  <si>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</si>
  <si>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</si>
  <si>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</si>
  <si>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00002</t>
  </si>
  <si>
    <t>1 1 2 4 4 12 31111 6 M78 00002 002</t>
  </si>
  <si>
    <t>ADMINISTRACION 2015 - 2018</t>
  </si>
  <si>
    <t>1 1 2 4 4 12 31111 6 M78 00002 002 001</t>
  </si>
  <si>
    <t>INTERESES GANADOS</t>
  </si>
  <si>
    <t>1 1 3</t>
  </si>
  <si>
    <t>DERECHOS A RECIBIR BIENES O SERVICIOS</t>
  </si>
  <si>
    <t>1 1 3 4</t>
  </si>
  <si>
    <t>ANTICIPO A CONTRATISTAS POR OBRAS PÚBLICAS A CORTO PLAZO</t>
  </si>
  <si>
    <t>1 1 3 4 1</t>
  </si>
  <si>
    <t>ANTICIPO A CONTRATISTAS POR OBRAS PÚBLICAS EN BIENES DE DOMINIO PÚBLICO A CP</t>
  </si>
  <si>
    <t>1 1 3 4 1 12</t>
  </si>
  <si>
    <t>1 1 3 4 1 12 31111</t>
  </si>
  <si>
    <t>1 1 3 4 1 12 31111 6</t>
  </si>
  <si>
    <t>1 1 3 4 1 12 31111 6 M78</t>
  </si>
  <si>
    <t>1 1 3 4 1 12 31111 6 M78 00002</t>
  </si>
  <si>
    <t>1 1 3 4 1 12 31111 6 M78 00002 002</t>
  </si>
  <si>
    <t>1 1 3 4 1 12 31111 6 M78 00002 002 008</t>
  </si>
  <si>
    <t>JUAN CARLOS MORALES MENESES</t>
  </si>
  <si>
    <t>1 1 4</t>
  </si>
  <si>
    <t>INVENTARIOS</t>
  </si>
  <si>
    <t>1 1 5</t>
  </si>
  <si>
    <t>ALMACENES</t>
  </si>
  <si>
    <t>1 1 6</t>
  </si>
  <si>
    <t>ESTIMACIÓN POR PÉRDIDA O DETERIORO DE ACTIVOS CIRCULANTES</t>
  </si>
  <si>
    <t>1 1 9</t>
  </si>
  <si>
    <t>OTROS ACTIVOS CIRCULANTES</t>
  </si>
  <si>
    <t>1 2</t>
  </si>
  <si>
    <t>ACTIVO NO CIRCULANTE</t>
  </si>
  <si>
    <t>1 2 1</t>
  </si>
  <si>
    <t>INVERSIONES FINANCIERAS A LARGO PLAZO</t>
  </si>
  <si>
    <t>1 2 2</t>
  </si>
  <si>
    <t>DERECHOS A RECIBIR EFECTIVO O EQUIVALENTES A LARGO PLAZO</t>
  </si>
  <si>
    <t>1 2 3</t>
  </si>
  <si>
    <t>BIENES INMUEBLES, INFRAESTRUCTURA Y CONSTRUCCIONES EN PROCESO</t>
  </si>
  <si>
    <t>1 2 3 5</t>
  </si>
  <si>
    <t>CONSTRUCCIONES EN PROCESO EN BIENES DE DOMINIO PÚBLICO</t>
  </si>
  <si>
    <t>1 2 3 5 2</t>
  </si>
  <si>
    <t>EDIFICACIÓN NO HABITACIONAL EN PROCESO</t>
  </si>
  <si>
    <t>1 2 3 5 2 12</t>
  </si>
  <si>
    <t>1 2 3 5 2 12 31111</t>
  </si>
  <si>
    <t>1 2 3 5 2 12 31111 6</t>
  </si>
  <si>
    <t>1 2 3 5 2 12 31111 6 M78</t>
  </si>
  <si>
    <t>JOSE JOAQUIN DE HERRERA</t>
  </si>
  <si>
    <t>1 2 3 5 2 12 31111 6 M78 10000</t>
  </si>
  <si>
    <t>DIRECCION DE OBRAS PUBLICAS Y DESARROLLO URBANO</t>
  </si>
  <si>
    <t>1 2 3 5 2 12 31111 6 M78 10000 222</t>
  </si>
  <si>
    <t>DESARROLLO COMUNITARIO</t>
  </si>
  <si>
    <t>1 2 3 5 2 12 31111 6 M78 10000 222 00I</t>
  </si>
  <si>
    <t>GASTO FEDERALIZADO</t>
  </si>
  <si>
    <t>1 2 3 5 2 12 31111 6 M78 10000 222 00I 002</t>
  </si>
  <si>
    <t>GASTO DE CAPITAL</t>
  </si>
  <si>
    <t>1 2 3 5 2 12 31111 6 M78 10000 222 00I 002 61200</t>
  </si>
  <si>
    <t>EDIFICACION NO HABITACIONAL.</t>
  </si>
  <si>
    <t>1 2 3 5 2 12 31111 6 M78 10000 222 00I 002 61200 025</t>
  </si>
  <si>
    <t>25 - RECURSOS FEDERALES</t>
  </si>
  <si>
    <t>1 2 3 5 2 12 31111 6 M78 10000 222 00I 002 61200 025 2210000</t>
  </si>
  <si>
    <t>CONSTRUCCIONES EN PROCESO</t>
  </si>
  <si>
    <t>1 2 3 5 2 12 31111 6 M78 10000 222 00I 002 61200 025 2210000 2024</t>
  </si>
  <si>
    <t>EJERCICIO 2024</t>
  </si>
  <si>
    <t>1 2 3 5 2 12 31111 6 M78 10000 222 00I 002 61200 025 2210000 2024 00000000</t>
  </si>
  <si>
    <t>SIN PRIORIDAD</t>
  </si>
  <si>
    <t>1 2 3 5 2 12 31111 6 M78 10000 222 00I 002 61200 025 2210000 2024 00000000 002</t>
  </si>
  <si>
    <t>1 2 3 5 2 12 31111 6 M78 10000 222 00I 002 61200 025 2210000 2024 00000000 002 040</t>
  </si>
  <si>
    <t>CONSTRUCCION DE COMEDOR PUBLICO EN LA LOCALIDAD DE ZACATEPEC 2024</t>
  </si>
  <si>
    <t>1 2 3 5 2 12 31111 6 M78 10000 222 00I 002 61200 025 2210000 2024 00000000 002 041</t>
  </si>
  <si>
    <t>CONSTRUCCION DE COMEDOR PUBLICO EN LA LOCALIDAD DE TLACHICHULI  2024</t>
  </si>
  <si>
    <t>1 2 3 5 2 12 31111 6 M78 10000 222 00I 002 61200 025 2210000 2024 00000000 002 043</t>
  </si>
  <si>
    <t>CONSTRUCCION DE COMEDOR COMUNITARIO EN LA LOCALIDAD DE ZOMPANTITLAN</t>
  </si>
  <si>
    <t>1 2 3 5 2 12 31111 6 M78 10000 241</t>
  </si>
  <si>
    <t>DEPORTE Y RECREACIÓN</t>
  </si>
  <si>
    <t>1 2 3 5 2 12 31111 6 M78 10000 241 00I</t>
  </si>
  <si>
    <t>1 2 3 5 2 12 31111 6 M78 10000 241 00I 002</t>
  </si>
  <si>
    <t>1 2 3 5 2 12 31111 6 M78 10000 241 00I 002 61200</t>
  </si>
  <si>
    <t>1 2 3 5 2 12 31111 6 M78 10000 241 00I 002 61200 025</t>
  </si>
  <si>
    <t>1 2 3 5 2 12 31111 6 M78 10000 241 00I 002 61200 025 2210000</t>
  </si>
  <si>
    <t>1 2 3 5 2 12 31111 6 M78 10000 241 00I 002 61200 025 2210000 2024</t>
  </si>
  <si>
    <t>1 2 3 5 2 12 31111 6 M78 10000 241 00I 002 61200 025 2210000 2024 00000000</t>
  </si>
  <si>
    <t>1 2 3 5 2 12 31111 6 M78 10000 241 00I 002 61200 025 2210000 2024 00000000 002</t>
  </si>
  <si>
    <t>1 2 3 5 2 12 31111 6 M78 10000 241 00I 002 61200 025 2210000 2024 00000000 002 035</t>
  </si>
  <si>
    <t>CONSTRUCCION DE TECHADO EN ESPACIO MULTIDEPORTIVO Y BIENES PÚBLICOS EN LA LOCALIDAD DE BUENAVISTA DE LOS AIRES 2024</t>
  </si>
  <si>
    <t>1 2 3 5 2 12 31111 6 M78 10000 251</t>
  </si>
  <si>
    <t>EDUCACIÓN BÁSICA</t>
  </si>
  <si>
    <t>1 2 3 5 2 12 31111 6 M78 10000 251 00I</t>
  </si>
  <si>
    <t>1 2 3 5 2 12 31111 6 M78 10000 251 00I 002</t>
  </si>
  <si>
    <t>1 2 3 5 2 12 31111 6 M78 10000 251 00I 002 61200</t>
  </si>
  <si>
    <t>1 2 3 5 2 12 31111 6 M78 10000 251 00I 002 61200 025</t>
  </si>
  <si>
    <t>1 2 3 5 2 12 31111 6 M78 10000 251 00I 002 61200 025 2210000</t>
  </si>
  <si>
    <t>1 2 3 5 2 12 31111 6 M78 10000 251 00I 002 61200 025 2210000 2024</t>
  </si>
  <si>
    <t>1 2 3 5 2 12 31111 6 M78 10000 251 00I 002 61200 025 2210000 2024 00000000</t>
  </si>
  <si>
    <t>1 2 3 5 2 12 31111 6 M78 10000 251 00I 002 61200 025 2210000 2024 00000000 002</t>
  </si>
  <si>
    <t>1 2 3 5 2 12 31111 6 M78 10000 251 00I 002 61200 025 2210000 2024 00000000 002 020</t>
  </si>
  <si>
    <t>REHABILITACION DE AULAS EN EL PREESCOLAR LAZARO CARDENAS EN LA LOCALIDAD DE HUEYCANTENANGO 2024</t>
  </si>
  <si>
    <t>1 2 3 5 2 12 31111 6 M78 10000 251 00I 002 61200 025 2210000 2024 00000000 002 022</t>
  </si>
  <si>
    <t>CONSTRUCCION DE BARDA PERIMETRAL EN EL COLEGIO DE BACHILLERES EN LA LOCALIDAD DE HUEYCANTENANGO 2024</t>
  </si>
  <si>
    <t>1 2 3 5 2 12 31111 6 M78 10000 251 00I 002 61200 025 2210000 2024 00000000 002 023</t>
  </si>
  <si>
    <t>REHABILITACION DE RED DE ENERGIA ELECTRICA EN  ESCUELA PRIMARIA JUVENCIO SANCHEZ EN LA LOCALIDAD DE HUEYCANTENANGO 2024</t>
  </si>
  <si>
    <t>1 2 3 5 2 12 31111 6 M78 10000 251 00I 002 61200 025 2210000 2024 00000000 002 024</t>
  </si>
  <si>
    <t>CONSTRTUCCION DERE DE GUA POTABLE EN LA ESCUELA SECUNDARIA TECNICA FRIDA KAHLO DE LA LOCALIDAD DE IXCATLA 2024</t>
  </si>
  <si>
    <t>1 2 3 5 2 12 31111 6 M78 10000 251 00I 002 61200 025 2210000 2024 00000000 002 025</t>
  </si>
  <si>
    <t>REHABILITACIÓN DE AULAS EN ESCUELA PRIMARIA TELPOCHCALLI EN LA LOCALIDAD DE HUEYCANTENANGO 2024</t>
  </si>
  <si>
    <t>1 2 3 5 2 12 31111 6 M78 10000 251 00I 002 61200 025 2210000 2024 00000000 002 026</t>
  </si>
  <si>
    <t>REHABILITACIÓN DE AULAS EN EL PREESCOLAR LUIS DONALDO COLOSIO EN LA LOCALIDAD DE HUEYCANTENANGO 2024</t>
  </si>
  <si>
    <t>1 2 3 5 2 12 31111 6 M78 10000 251 00I 002 61200 025 2210000 2024 00000000 002 028</t>
  </si>
  <si>
    <t>REHABILITACION DE AULAS EN ESCUELA SECUNDARIA TECNICA CUAUHTEMOC, EN LA LOCALIDAD DE HUEYCANTENANGO, MUNICIPIO DE JOSE JOAQUÍN DE HERRERA</t>
  </si>
  <si>
    <t>1 2 3 5 3</t>
  </si>
  <si>
    <t>CONSTRUCCIÓN DE OBRAS PARA EL ABASTECIMIENTO DE AGUA, PETRÓLEO, GAS, ELECTRICIDAD Y TELECOMUNICACIONES EN PROCESO</t>
  </si>
  <si>
    <t>1 2 3 5 3 12</t>
  </si>
  <si>
    <t>1 2 3 5 3 12 31111</t>
  </si>
  <si>
    <t>1 2 3 5 3 12 31111 6</t>
  </si>
  <si>
    <t>1 2 3 5 3 12 31111 6 M78</t>
  </si>
  <si>
    <t>1 2 3 5 3 12 31111 6 M78 10000</t>
  </si>
  <si>
    <t>1 2 3 5 3 12 31111 6 M78 10000 213</t>
  </si>
  <si>
    <t>ORDENACIÓN DE AGUAS RESIDUALES, DRENAJE Y ALCANTARILLADO</t>
  </si>
  <si>
    <t>1 2 3 5 3 12 31111 6 M78 10000 213 00I</t>
  </si>
  <si>
    <t>1 2 3 5 3 12 31111 6 M78 10000 213 00I 002</t>
  </si>
  <si>
    <t>1 2 3 5 3 12 31111 6 M78 10000 213 00I 002 61300</t>
  </si>
  <si>
    <t>CONSTRUCCION DE OBRAS PARA EL ABASTECIMIENTO DE AGUA, PETROLEO, GAS, ELECTRICIDAD Y TELECOMUNICACIONES.</t>
  </si>
  <si>
    <t>1 2 3 5 3 12 31111 6 M78 10000 213 00I 002 61300 025</t>
  </si>
  <si>
    <t>1 2 3 5 3 12 31111 6 M78 10000 213 00I 002 61300 025 2210000</t>
  </si>
  <si>
    <t>1 2 3 5 3 12 31111 6 M78 10000 213 00I 002 61300 025 2210000 2024</t>
  </si>
  <si>
    <t>1 2 3 5 3 12 31111 6 M78 10000 213 00I 002 61300 025 2210000 2024 00000000</t>
  </si>
  <si>
    <t>1 2 3 5 3 12 31111 6 M78 10000 213 00I 002 61300 025 2210000 2024 00000000 002</t>
  </si>
  <si>
    <t>1 2 3 5 3 12 31111 6 M78 10000 213 00I 002 61300 025 2210000 2024 00000000 002 038</t>
  </si>
  <si>
    <t>CONSTRUCCION DE DRENAJE SANITARIO EN COLONIA XAMIQUELCO EN LOCALIDAD DE HUEYCANTENANGO 2024</t>
  </si>
  <si>
    <t>1 2 3 5 3 12 31111 6 M78 10000 223</t>
  </si>
  <si>
    <t>ABASTECIMIENTO DE AGUA</t>
  </si>
  <si>
    <t>1 2 3 5 3 12 31111 6 M78 10000 223 00I</t>
  </si>
  <si>
    <t>1 2 3 5 3 12 31111 6 M78 10000 223 00I 002</t>
  </si>
  <si>
    <t>1 2 3 5 3 12 31111 6 M78 10000 223 00I 002 61300</t>
  </si>
  <si>
    <t>1 2 3 5 3 12 31111 6 M78 10000 223 00I 002 61300 025</t>
  </si>
  <si>
    <t>1 2 3 5 3 12 31111 6 M78 10000 223 00I 002 61300 025 2210000</t>
  </si>
  <si>
    <t>1 2 3 5 3 12 31111 6 M78 10000 223 00I 002 61300 025 2210000 2024</t>
  </si>
  <si>
    <t>1 2 3 5 3 12 31111 6 M78 10000 223 00I 002 61300 025 2210000 2024 00000000</t>
  </si>
  <si>
    <t>1 2 3 5 3 12 31111 6 M78 10000 223 00I 002 61300 025 2210000 2024 00000000 002</t>
  </si>
  <si>
    <t>1 2 3 5 3 12 31111 6 M78 10000 223 00I 002 61300 025 2210000 2024 00000000 002 036</t>
  </si>
  <si>
    <t>REHABILITACION DE RED DE AGUA ENTUBADA EN LA COLONIA XAMIQUELCO, EN LA LOCALIDAD DE HUEYCANTENANGO 2024</t>
  </si>
  <si>
    <t>1 2 3 5 3 12 31111 6 M78 10000 223 00I 002 61300 025 2210000 2024 00000000 002 037</t>
  </si>
  <si>
    <t>CONSTRUCCION DE TANQUE PÚBLICO DE AGUA POTABLE EN LA COLONIA LOS PINOS, EN LA LOCALIDAD DE AJACAYAN 2024</t>
  </si>
  <si>
    <t>1 2 3 5 3 12 31111 6 M78 10000 335</t>
  </si>
  <si>
    <t>ELECTRICIDAD</t>
  </si>
  <si>
    <t>1 2 3 5 3 12 31111 6 M78 10000 335 00I</t>
  </si>
  <si>
    <t>1 2 3 5 3 12 31111 6 M78 10000 335 00I 002</t>
  </si>
  <si>
    <t>1 2 3 5 3 12 31111 6 M78 10000 335 00I 002 61300</t>
  </si>
  <si>
    <t>1 2 3 5 3 12 31111 6 M78 10000 335 00I 002 61300 025</t>
  </si>
  <si>
    <t>1 2 3 5 3 12 31111 6 M78 10000 335 00I 002 61300 025 2210000</t>
  </si>
  <si>
    <t>1 2 3 5 3 12 31111 6 M78 10000 335 00I 002 61300 025 2210000 2024</t>
  </si>
  <si>
    <t>1 2 3 5 3 12 31111 6 M78 10000 335 00I 002 61300 025 2210000 2024 00000000</t>
  </si>
  <si>
    <t>1 2 3 5 3 12 31111 6 M78 10000 335 00I 002 61300 025 2210000 2024 00000000 002</t>
  </si>
  <si>
    <t>1 2 3 5 3 12 31111 6 M78 10000 335 00I 002 61300 025 2210000 2024 00000000 002 031</t>
  </si>
  <si>
    <t>AMPLIACION DE ELECTRIFICACION EN LA COLONIA PIEDRA COLORADA EN LA LOCALIDAD DE HUEYCANTENANGO 2024</t>
  </si>
  <si>
    <t>1 2 3 5 3 12 31111 6 M78 10000 335 00I 002 61300 025 2210000 2024 00000000 002 033</t>
  </si>
  <si>
    <t>REHABILITACION DE ALUMBRADO PUBLICO EN LA COMUNIDAD DE MAZAZONTECOMAC</t>
  </si>
  <si>
    <t>1 2 3 5 4</t>
  </si>
  <si>
    <t>DIVISIÓN DE TERRENOS Y CONSTRUCCIÓN DE OBRAS DE URBANIZACIÓN EN PROCESO</t>
  </si>
  <si>
    <t>1 2 3 5 4 12</t>
  </si>
  <si>
    <t>1 2 3 5 4 12 31111</t>
  </si>
  <si>
    <t>1 2 3 5 4 12 31111 6</t>
  </si>
  <si>
    <t>1 2 3 5 4 12 31111 6 M78</t>
  </si>
  <si>
    <t>1 2 3 5 4 12 31111 6 M78 10000</t>
  </si>
  <si>
    <t>1 2 3 5 4 12 31111 6 M78 10000 221</t>
  </si>
  <si>
    <t>URBANIZACIÓN</t>
  </si>
  <si>
    <t>1 2 3 5 4 12 31111 6 M78 10000 221 00I</t>
  </si>
  <si>
    <t>1 2 3 5 4 12 31111 6 M78 10000 221 00I 002</t>
  </si>
  <si>
    <t>1 2 3 5 4 12 31111 6 M78 10000 221 00I 002 61400</t>
  </si>
  <si>
    <t>DIVISION DE TERRENOS Y CONSTRUCCION DE OBRAS DE URBANIZACION.</t>
  </si>
  <si>
    <t>1 2 3 5 4 12 31111 6 M78 10000 221 00I 002 61400 025</t>
  </si>
  <si>
    <t>1 2 3 5 4 12 31111 6 M78 10000 221 00I 002 61400 025 2210000</t>
  </si>
  <si>
    <t>1 2 3 5 4 12 31111 6 M78 10000 221 00I 002 61400 025 2210000 2024</t>
  </si>
  <si>
    <t>1 2 3 5 4 12 31111 6 M78 10000 221 00I 002 61400 025 2210000 2024 00000000</t>
  </si>
  <si>
    <t>1 2 3 5 4 12 31111 6 M78 10000 221 00I 002 61400 025 2210000 2024 00000000 002</t>
  </si>
  <si>
    <t>1 2 3 5 4 12 31111 6 M78 10000 221 00I 002 61400 025 2210000 2024 00000000 002 090</t>
  </si>
  <si>
    <t>CONSTRUCCION DE PAVIMENTACIÓN CON CONCRETO HIDRAULICO EN CALLE PRINCIPAL EN LA LOCALIDAD DE TEQUIXCA 2024</t>
  </si>
  <si>
    <t>1 2 3 5 4 12 31111 6 M78 10000 221 00I 002 61400 025 2210000 2024 00000000 002 091</t>
  </si>
  <si>
    <t>CONSTRUCCION DE PAVIMENTACIÓN CON CONCRETO HIDRAULICO EN COLONIA LA LAGUNA EN LA LOCALIDAD DE HUEYCANTENANGO 2024</t>
  </si>
  <si>
    <t>1 2 3 5 4 12 31111 6 M78 10000 221 00I 002 61400 025 2210000 2024 00000000 002 094</t>
  </si>
  <si>
    <t>CONSTRUCCION DE PAVIMENTACIÓN CON CONCRETO HIDRAULICO EN  LA LOCALIDAD DE TEPETLAZALCO  2024</t>
  </si>
  <si>
    <t>1 2 3 5 4 12 31111 6 M78 10000 221 00I 002 61400 025 2210000 2024 00000000 002 095</t>
  </si>
  <si>
    <t>CONSTRUCCION DE PAVIMENTACIÓN CON CONCRETO HIDRAULICO EN  LA LOCALIDAD DE ACALCO  2024</t>
  </si>
  <si>
    <t>1 2 3 5 4 12 31111 6 M78 10000 221 00I 002 61400 025 2210000 2024 00000000 002 096</t>
  </si>
  <si>
    <t>CONSTRUCCION DE PAVIMENTACIÓN CON CONCRETO HIDRAULICO EN  LACOLONIA SAN JUDITAS, LOCALIDAD DE PUENTE DE IXTLA 2024</t>
  </si>
  <si>
    <t>1 2 3 5 4 12 31111 6 M78 10000 221 00I 002 61400 025 2210000 2024 00000000 002 097</t>
  </si>
  <si>
    <t>CONSTRUCCION DE PAVIMENTACIÓN CON CONCRETO HIDRAULICO EN LIBRAMIENTO EN LOCALIDAD DE HUEYCANTENANGO 2024</t>
  </si>
  <si>
    <t>1 2 3 5 4 12 31111 6 M78 10000 221 00I 002 61400 025 2210000 2024 00000000 002 098</t>
  </si>
  <si>
    <t>CONSTRUCCION DE PAVIMENTACIÓN CON CONCRETO HIDRAULICO EN  LOCALIDAD DE AXOLOAPA 2024</t>
  </si>
  <si>
    <t>1 2 3 5 4 12 31111 6 M78 10000 221 00I 002 61400 025 2210000 2024 00000000 002 099</t>
  </si>
  <si>
    <t>CONSTRUCCION DE PAVIMENTACIÓN CON CONCRETO HIDRAULICO EN  LOCALIDAD DE EL CARACOL 2024</t>
  </si>
  <si>
    <t>1 2 3 5 4 12 31111 6 M78 10000 221 00I 002 61400 025 2210000 2024 00000000 002 100</t>
  </si>
  <si>
    <t>CONSTRUCCION DE PAVIMENTACIÓN CON CONCRETO HIDRAULICO EN  LOCALIDAD DE TLAYOLAPA 2024</t>
  </si>
  <si>
    <t>1 2 3 5 4 12 31111 6 M78 10000 221 00I 002 61400 025 2210000 2024 00000000 002 101</t>
  </si>
  <si>
    <t>CONSTRUCCION DE PAVIMENTACIÓN CON CONCRETO HIDRAULICO EN  LOCALIDAD DE TOCTEPEC 2024</t>
  </si>
  <si>
    <t>1 2 3 5 4 12 31111 6 M78 10000 221 00I 002 61400 025 2210000 2024 00000000 002 102</t>
  </si>
  <si>
    <t>CONSTRUCCION DE PAVIMENTACIÓN CON CONCRETO HIDRAULICO EN  LOCALIDAD DE DOS PAÑOS 2024</t>
  </si>
  <si>
    <t>1 2 3 5 4 12 31111 6 M78 10000 221 00I 002 61400 025 2210000 2024 00000000 002 103</t>
  </si>
  <si>
    <t>CONSTRUCCION DE PAVIMENTACIÓN CON CONCRETO HIDRAULICO EN  LOCALIDAD DE TEOCALIXTLAHUAC 2024</t>
  </si>
  <si>
    <t>1 2 3 5 4 12 31111 6 M78 10000 221 00I 002 61400 025 2210000 2024 00000000 002 105</t>
  </si>
  <si>
    <t>CONSTRUCCION DE PAVIMENTACIÓN CON CONCRETO HIDRAULICO EN  LOCALIDAD DE OXTOTITLAN 2024</t>
  </si>
  <si>
    <t>1 2 3 5 4 12 31111 6 M78 10000 221 00I 002 61400 025 2210000 2024 00000000 002 106</t>
  </si>
  <si>
    <t>CONSTRUCCION DE PAVIMENTACIÓN CON CONCRETO HIDRAULICO EN  LOCALIDAD DE BUGAMBILIA 2024</t>
  </si>
  <si>
    <t>1 2 3 5 4 12 31111 6 M78 10000 221 00I 002 61400 025 2210000 2024 00000000 002 107</t>
  </si>
  <si>
    <t>CONSTRUCCION DE PAVIMENTACIÓN CON CONCRETO HIDRAULICO EN LA CALLE PANTEON, LOCALIDAD HUEYCANTENANGO</t>
  </si>
  <si>
    <t>1 2 3 5 4 12 31111 6 M78 10000 221 00I 002 61400 025 2210000 2024 00000000 002 108</t>
  </si>
  <si>
    <t>CONSTRUCCION DE PAVIMENTACIÓN CON CONCRETO HIDRAULICO EN LA  LOCALIDAD DE IXTLAHUAC 2024</t>
  </si>
  <si>
    <t>1 2 3 5 4 12 31111 6 M78 10000 221 00I 002 61400 025 2210000 2024 00000000 002 110</t>
  </si>
  <si>
    <t>CONSTRUCCION DE PAVIMENTACIÓN CON CONCRETO HIDRAULICO EN LA LOCALIDAD DE TLACHIMALTEPEC 2024</t>
  </si>
  <si>
    <t>1 2 3 5 4 12 31111 6 M78 10000 221 00I 002 61400 025 2210000 2024 00000000 002 113</t>
  </si>
  <si>
    <t>CONSTRUCCION DE PAVIMENTACIÓN CON CONCRETO HIDRAULICO EN CALLE PRINCIPAL, EN LA LOCALIDAD DE IXCATLA 2024</t>
  </si>
  <si>
    <t>1 2 3 5 4 12 31111 6 M78 10000 221 00I 002 61400 025 2210000 2024 00000000 002 115</t>
  </si>
  <si>
    <t>CONSTRUCCION DE DE MURO DE CONTENCION EN LA LOCALIDAD DE LA LAGUNA 2024</t>
  </si>
  <si>
    <t>1 2 3 5 4 12 31111 6 M78 10000 221 00I 002 61400 025 2210000 2024 00000000 002 116</t>
  </si>
  <si>
    <t>CONSTRUCCION DE DE MURO DE CONTENCION EN LA LOCALIDAD DE LA TLAIXCOATIPAN 2024</t>
  </si>
  <si>
    <t>1 2 3 5 4 12 31111 6 M78 10000 221 00I 002 61400 025 2210000 2024 00000000 002 117</t>
  </si>
  <si>
    <t>CONSTRUCCION DE DE MURO DE CONTENCION EN EL CAMINO ZOMPANTITLAN-TEPETLAZALCO EN LA LOCALIDAD DE TEPETLAZALCO 2024</t>
  </si>
  <si>
    <t>1 2 3 5 4 12 31111 6 M78 10000 221 00I 002 61400 025 2210000 2024 00000000 002 119</t>
  </si>
  <si>
    <t>CONSTRUCCION DE PAVIMENTACIÓN CON CONCRETO HIDRUALICO EN CALLE MIGUEL HIDALGO, ULTIMA ETAPA, EN LOCALIDAD DE HUEYCANTENANGO</t>
  </si>
  <si>
    <t>1 2 3 5 4 12 31111 6 M78 10000 221 00I 002 61400 025 2210000 2024 00000000 002 120</t>
  </si>
  <si>
    <t>CONSTRUCCION DE PAVIMENTACIÓN CON CONCRETO HIDRUALICO EN CALLE ACCESO CENTRO DE SALUD EN LA LOCALIDAD DE TOMACTILICAN 2024</t>
  </si>
  <si>
    <t>1 2 3 5 4 12 31111 6 M78 10000 221 00I 002 61400 025 2210000 2024 00000000 002 121</t>
  </si>
  <si>
    <t>CONSTRUCCION DE PAVIMENTACION CON CONCRETO HIDRAULICO EN LA LOCALIDAD DE APANGUITO 2024</t>
  </si>
  <si>
    <t>1 2 3 5 4 12 31111 6 M78 10000 221 00I 002 61400 025 2210000 2024 00000000 002 122</t>
  </si>
  <si>
    <t>CONSTRUCCION DE PAVIMENTACION CON CONCRETO HIDRAULICO EN LA CALLE MELCHOR OCAMPO DE LA COLONIA AGUA ZARCA EN LA LOCALIDAD DE HUEYCANTENANGO 2024</t>
  </si>
  <si>
    <t>1 2 3 5 4 12 31111 6 M78 10000 221 00I 002 61400 025 2210000 2024 00000000 002 123</t>
  </si>
  <si>
    <t>CONSTRUCCION DE PAVIMENTACION CON CONCRETO HIDRAULICO EN ACCESO TLATLAJQUITEPEC EN LA LOCALIDAD DE TLATLALJQUITEPEC 2024</t>
  </si>
  <si>
    <t>1 2 3 5 4 12 31111 6 M78 10000 221 00I 002 61400 025 2210000 2024 00000000 002 125</t>
  </si>
  <si>
    <t>CONSTRUCCION DE MURO DE CONTENCION EN EL CAMINO ACCESO A LA LOCALIDAD DE ZOMPANTITLAN</t>
  </si>
  <si>
    <t>1 2 3 5 4 12 31111 6 M78 10000 221 00I 002 61400 025 2210000 2024 00000000 002 126</t>
  </si>
  <si>
    <t>REHABILITACION DE PAVIMENTO CON CONCRETO HIDRAULICO (BACHEO) EN LA LOCALIDAD DE HUEYCANTENANGO</t>
  </si>
  <si>
    <t>1 2 3 5 4 12 31111 6 M78 10000 351</t>
  </si>
  <si>
    <t>TRANSPORTE POR CARRETERA</t>
  </si>
  <si>
    <t>1 2 3 5 4 12 31111 6 M78 10000 351 00I</t>
  </si>
  <si>
    <t>1 2 3 5 4 12 31111 6 M78 10000 351 00I 002</t>
  </si>
  <si>
    <t>1 2 3 5 4 12 31111 6 M78 10000 351 00I 002 61400</t>
  </si>
  <si>
    <t>1 2 3 5 4 12 31111 6 M78 10000 351 00I 002 61400 025</t>
  </si>
  <si>
    <t>1 2 3 5 4 12 31111 6 M78 10000 351 00I 002 61400 025 2210000</t>
  </si>
  <si>
    <t>1 2 3 5 4 12 31111 6 M78 10000 351 00I 002 61400 025 2210000 2024</t>
  </si>
  <si>
    <t>1 2 3 5 4 12 31111 6 M78 10000 351 00I 002 61400 025 2210000 2024 00000000</t>
  </si>
  <si>
    <t>1 2 3 5 4 12 31111 6 M78 10000 351 00I 002 61400 025 2210000 2024 00000000 002</t>
  </si>
  <si>
    <t>1 2 3 5 4 12 31111 6 M78 10000 351 00I 002 61400 025 2210000 2024 00000000 002 050</t>
  </si>
  <si>
    <t>REHABILITACION DE CAMINS RURALES EN LA REGION SUR EN EL MUNICIPIO DE JOSE JOAQUIN DE HERRERA 2024</t>
  </si>
  <si>
    <t>1 2 3 5 4 12 31111 6 M78 10000 351 00I 002 61400 025 2210000 2024 00000000 002 051</t>
  </si>
  <si>
    <t>REHABILITACION DE CAMINS RURALES EN LA REGION NORTE  EN EL MUNICIPIO DE JOSE JOAQUIN DE HERRERA 2024</t>
  </si>
  <si>
    <t>1 2 3 5 4 12 31111 6 M78 10000 351 00I 002 61400 025 2210000 2024 00000000 002 052</t>
  </si>
  <si>
    <t>REHABILITACION DE CAMINOS RURALES RAMALES SECUNDARIOS  EN EL MUNICIPIO DE JOSE JOAQUIN DE HERRERA 2024</t>
  </si>
  <si>
    <t>1 2 3 5 4 12 31111 6 M78 10000 351 00I 002 61400 025 2210000 2024 00000000 002 053</t>
  </si>
  <si>
    <t>REHABILITACION DE CAMINOS RURALES EN LA ZONA CENTRO EN EL MUNICIPIO DE JOSE JOAQUIN DE HERRERA 2024</t>
  </si>
  <si>
    <t>1 2 3 5 4 12 31111 6 M78 10000 351 00I 002 61400 025 2210000 2024 00000000 002 058</t>
  </si>
  <si>
    <t>REHABILITACION DE CAMINOS RURALES EN LA LOCALIDAD DE CACALOTEPEC</t>
  </si>
  <si>
    <t>1 2 3 5 4 12 31111 6 M78 10000 351 00I 002 61400 025 2210000 2024 00000000 002 059</t>
  </si>
  <si>
    <t>REHABILITACION DE CAMINO AHUACOSIJTIC-PANTEON-TLACHICHILTIPAN</t>
  </si>
  <si>
    <t>1 2 3 5 4 12 31111 6 M78 10000 351 00I 002 61400 025 2210000 2024 00000000 002 060</t>
  </si>
  <si>
    <t>REHABILITACION DE CAMINO TEOYETLAN-ZACATEPEC</t>
  </si>
  <si>
    <t>1 2 3 5 5</t>
  </si>
  <si>
    <t>CONSTRUCCIÓN DE VÍAS DE COMUNICACIÓN EN PROCESO</t>
  </si>
  <si>
    <t>1 2 3 5 5 12</t>
  </si>
  <si>
    <t>1 2 3 5 5 12 31111</t>
  </si>
  <si>
    <t>1 2 3 5 5 12 31111 6</t>
  </si>
  <si>
    <t>SECTOR PÚBLICO MUNICIPAL</t>
  </si>
  <si>
    <t>1 2 3 5 5 12 31111 6 M78</t>
  </si>
  <si>
    <t>JOSE JOAQUÍN DE HERRERA</t>
  </si>
  <si>
    <t>1 2 3 5 5 12 31111 6 M78 10000</t>
  </si>
  <si>
    <t>1 2 3 5 5 12 31111 6 M78 10000 226</t>
  </si>
  <si>
    <t>SERVICIOS COMUNALES</t>
  </si>
  <si>
    <t>1 2 3 5 5 12 31111 6 M78 10000 226 00I</t>
  </si>
  <si>
    <t>1 2 3 5 5 12 31111 6 M78 10000 226 00I 002</t>
  </si>
  <si>
    <t>1 2 3 5 5 12 31111 6 M78 10000 226 00I 002 61500</t>
  </si>
  <si>
    <t>CONSTRUCCION DE VIAS DE COMUNICACION.</t>
  </si>
  <si>
    <t>1 2 3 5 5 12 31111 6 M78 10000 226 00I 002 61500 025</t>
  </si>
  <si>
    <t>1 2 3 5 5 12 31111 6 M78 10000 226 00I 002 61500 025 2210000</t>
  </si>
  <si>
    <t>1 2 3 5 5 12 31111 6 M78 10000 226 00I 002 61500 025 2210000 2024</t>
  </si>
  <si>
    <t>1 2 3 5 5 12 31111 6 M78 10000 226 00I 002 61500 025 2210000 2024 00000000</t>
  </si>
  <si>
    <t>1 2 3 5 5 12 31111 6 M78 10000 226 00I 002 61500 025 2210000 2024 00000000 002</t>
  </si>
  <si>
    <t>1 2 3 5 5 12 31111 6 M78 10000 226 00I 002 61500 025 2210000 2024 00000000 002 061</t>
  </si>
  <si>
    <t>CONSTRUCCION DE CAMINO SACACOSECHAS LOBOTEPEC-BUENAVISTA DE LOS AIRES 2024</t>
  </si>
  <si>
    <t>1 2 3 5 5 12 31111 6 M78 10000 226 00I 002 61500 025 2210000 2024 00000000 002 062</t>
  </si>
  <si>
    <t>CONSTRUCCION DE CAMINO SACACOSECHAS QUETZALAPA-VILLA DE GUADALUPE (SEGUNDA ETAPA) 2024</t>
  </si>
  <si>
    <t>1 2 3 5 5 12 31111 6 M78 10000 226 00I 002 61500 025 2210000 2024 00000000 002 064</t>
  </si>
  <si>
    <t>CONSTRUCCION DE CAMINO SACACOSECHAS EN LA LOCALIDAD DE CACAHUATEPEC. SEGUNDA ETAPA 2024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</si>
  <si>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</si>
  <si>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</si>
  <si>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</si>
  <si>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</si>
  <si>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</si>
  <si>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</si>
  <si>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</si>
  <si>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</si>
  <si>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</si>
  <si>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</si>
  <si>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</si>
  <si>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</si>
  <si>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002</t>
  </si>
  <si>
    <t>1 2 4 1 1 12 31111 6 M78 00000 002 001</t>
  </si>
  <si>
    <t>ADMINISTRACION ANTERIOR</t>
  </si>
  <si>
    <t>1 2 4 1 1 12 31111 6 M78 00000 002 001 001</t>
  </si>
  <si>
    <t>ARCHIVEROS DE 4 GAVETAS COLOR BEIGE</t>
  </si>
  <si>
    <t>1 2 4 1 1 12 31111 6 M78 00000 002 001 002</t>
  </si>
  <si>
    <t>1 2 4 1 1 12 31111 6 M78 00000 002 001 003</t>
  </si>
  <si>
    <t>ESCRITORIO SECRETARIAL DE 2 GAVETAS MEDERA Y METALICO</t>
  </si>
  <si>
    <t>1 2 4 1 1 12 31111 6 M78 00000 002 001 004</t>
  </si>
  <si>
    <t>1 2 4 1 1 12 31111 6 M78 00000 002 001 005</t>
  </si>
  <si>
    <t>1 2 4 1 1 12 31111 6 M78 00000 002 001 006</t>
  </si>
  <si>
    <t>ARCHIVERO VERTICAL METALICO 4 GAVETAS</t>
  </si>
  <si>
    <t>1 2 4 1 1 12 31111 6 M78 00000 002 001 007</t>
  </si>
  <si>
    <t>1 2 4 1 1 12 31111 6 M78 00000 002 001 008</t>
  </si>
  <si>
    <t>1 2 4 1 1 12 31111 6 M78 00000 002 001 009</t>
  </si>
  <si>
    <t>1 2 4 1 1 12 31111 6 M78 00000 002 001 010</t>
  </si>
  <si>
    <t>MESA PARA LECTURA RECTANGULAR, 2.40X1.20 X0.75 M PEDESTAL EN "H" CON NIVELADORES</t>
  </si>
  <si>
    <t>1 2 4 1 1 12 31111 6 M78 00000 002 001 011</t>
  </si>
  <si>
    <t>1 2 4 1 1 12 31111 6 M78 00000 002 001 012</t>
  </si>
  <si>
    <t>1 2 4 1 1 12 31111 6 M78 00000 002 001 013</t>
  </si>
  <si>
    <t>1 2 4 1 1 12 31111 6 M78 00000 002 001 014</t>
  </si>
  <si>
    <t>1 2 4 1 1 12 31111 6 M78 00000 002 001 015</t>
  </si>
  <si>
    <t>1 2 4 1 1 12 31111 6 M78 00000 002 001 016</t>
  </si>
  <si>
    <t>1 2 4 1 1 12 31111 6 M78 00000 002 001 017</t>
  </si>
  <si>
    <t>1 2 4 1 1 12 31111 6 M78 00000 002 001 018</t>
  </si>
  <si>
    <t>SILLA EJECUTIVA CON RESPALDO ALTO TAPIZADO CON PIEL NEGRA MODELO OHE-65</t>
  </si>
  <si>
    <t>1 2 4 1 1 12 31111 6 M78 00000 002 001 019</t>
  </si>
  <si>
    <t>24 PIEZAS MUEBLE PARA COMPUTADORA CON DIVISIONES DE MADERA DE PINO ACABADO CON BARNIZ</t>
  </si>
  <si>
    <t>1 2 4 1 1 12 31111 6 M78 10000</t>
  </si>
  <si>
    <t>1 2 4 1 1 12 31111 6 M78 10000 152</t>
  </si>
  <si>
    <t>ASUNTOS HACENDARIOS</t>
  </si>
  <si>
    <t>1 2 4 1 1 12 31111 6 M78 10000 152 00I</t>
  </si>
  <si>
    <t>1 2 4 1 1 12 31111 6 M78 10000 152 00I 002</t>
  </si>
  <si>
    <t>1 2 4 1 1 12 31111 6 M78 10000 152 00I 002 51101</t>
  </si>
  <si>
    <t>MOBILIARIO.</t>
  </si>
  <si>
    <t>1 2 4 1 1 12 31111 6 M78 10000 152 00I 002 51101 025</t>
  </si>
  <si>
    <t>1 2 4 1 1 12 31111 6 M78 10000 152 00I 002 51101 025 2112000</t>
  </si>
  <si>
    <t>COMPRA DE BIENES Y SERVICIOS</t>
  </si>
  <si>
    <t>1 2 4 1 1 12 31111 6 M78 10000 152 00I 002 51101 025 2112000 2024</t>
  </si>
  <si>
    <t>1 2 4 1 1 12 31111 6 M78 10000 152 00I 002 51101 025 2112000 2024 00000000</t>
  </si>
  <si>
    <t>1 2 4 1 1 12 31111 6 M78 10000 152 00I 002 51101 025 2112000 2024 00000000 002</t>
  </si>
  <si>
    <t>OBRA PUBLICA (PRODIM)</t>
  </si>
  <si>
    <t>1 2 4 1 1 12 31111 6 M78 10000 152 00I 002 51101 025 2112000 2024 00000000 002 004</t>
  </si>
  <si>
    <t>ORGANIZADOR SAUDER SELEC, CEREZO, MELAMINA, 6 ENTREPAÑOS.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</si>
  <si>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</si>
  <si>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</si>
  <si>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</si>
  <si>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</si>
  <si>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</si>
  <si>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</si>
  <si>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</si>
  <si>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002</t>
  </si>
  <si>
    <t>FONDO DE APORTACIONES PARA LA INFRAESTRUCTURA SOCIAL  MUNICIPAL</t>
  </si>
  <si>
    <t>1 2 4 1 3 12 31111 6 M78 00000 002 001</t>
  </si>
  <si>
    <t>1 2 4 1 3 12 31111 6 M78 00000 002 001 001</t>
  </si>
  <si>
    <t>EQUIPO DE COMPUTO DE ESCRITORIO HP (CPU, MONITOR, TECLADO, MOUSE)</t>
  </si>
  <si>
    <t>1 2 4 1 3 12 31111 6 M78 00000 002 001 002</t>
  </si>
  <si>
    <t>1 2 4 1 3 12 31111 6 M78 00000 002 001 003</t>
  </si>
  <si>
    <t>1 2 4 1 3 12 31111 6 M78 00000 002 001 004</t>
  </si>
  <si>
    <t>1 2 4 1 3 12 31111 6 M78 00000 002 001 005</t>
  </si>
  <si>
    <t>1 2 4 1 3 12 31111 6 M78 00000 002 001 006</t>
  </si>
  <si>
    <t>1 2 4 1 3 12 31111 6 M78 00000 002 001 007</t>
  </si>
  <si>
    <t>1 2 4 1 3 12 31111 6 M78 00000 002 001 008</t>
  </si>
  <si>
    <t>1 2 4 1 3 12 31111 6 M78 00000 002 001 009</t>
  </si>
  <si>
    <t>IMPRESORA EPSON L210</t>
  </si>
  <si>
    <t>1 2 4 1 3 12 31111 6 M78 00000 002 001 010</t>
  </si>
  <si>
    <t>1 2 4 1 3 12 31111 6 M78 00000 002 001 011</t>
  </si>
  <si>
    <t>1 2 4 1 3 12 31111 6 M78 00000 002 001 012</t>
  </si>
  <si>
    <t>1 2 4 1 3 12 31111 6 M78 00000 002 001 013</t>
  </si>
  <si>
    <t>1 2 4 1 3 12 31111 6 M78 00000 002 001 014</t>
  </si>
  <si>
    <t>1 2 4 1 3 12 31111 6 M78 00000 002 001 015</t>
  </si>
  <si>
    <t>1 2 4 1 3 12 31111 6 M78 00000 002 001 016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</si>
  <si>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</si>
  <si>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</si>
  <si>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</si>
  <si>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</si>
  <si>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</si>
  <si>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</si>
  <si>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00000</t>
  </si>
  <si>
    <t>1 2 4 1 9 12 31111 6 M78 00000 002</t>
  </si>
  <si>
    <t>1 2 4 1 9 12 31111 6 M78 00000 002 001</t>
  </si>
  <si>
    <t>U8 PROGRAMA DE DESARROLLO INSTITUCIONAL MUNICIPAL.</t>
  </si>
  <si>
    <t>1 2 4 1 9 12 31111 6 M78 00000 002 001 001</t>
  </si>
  <si>
    <t>PRODIM, ADQUISICION DE EQUIPAMIENTO Y MOBILIARIO BASICO.</t>
  </si>
  <si>
    <t>1 2 4 1 9 12 31111 6 M78 00000 002 001 001 00001</t>
  </si>
  <si>
    <t>EQUIPO DE COMPUTO CON PROCESADOR INTEL DUAL CORE´S A 30 (6GHZ DISCO DURO 3.5 SATA SEAGATE 500GB LECTOR DE MEMORIAS 5-1 INT. 3.5" MONITOR LOD 18.5" MEMORIA RAM DOR 34GB TECLADO Y MOUSE</t>
  </si>
  <si>
    <t>1 2 4 1 9 12 31111 6 M78 00000 002 001 001 00002</t>
  </si>
  <si>
    <t>1 2 4 1 9 12 31111 6 M78 00000 002 001 001 00003</t>
  </si>
  <si>
    <t>1 2 4 1 9 12 31111 6 M78 00000 002 001 001 00004</t>
  </si>
  <si>
    <t>1 2 4 1 9 12 31111 6 M78 00000 002 001 001 00005</t>
  </si>
  <si>
    <t>1 2 4 1 9 12 31111 6 M78 00000 002 001 001 00006</t>
  </si>
  <si>
    <t>1 2 4 1 9 12 31111 6 M78 00000 002 001 001 00007</t>
  </si>
  <si>
    <t>1 2 4 1 9 12 31111 6 M78 00000 002 001 001 00008</t>
  </si>
  <si>
    <t>1 2 4 1 9 12 31111 6 M78 00000 002 001 001 00009</t>
  </si>
  <si>
    <t>1 2 4 1 9 12 31111 6 M78 00000 002 001 001 00010</t>
  </si>
  <si>
    <t>1 2 4 1 9 12 31111 6 M78 00000 002 001 001 00011</t>
  </si>
  <si>
    <t>1 2 4 1 9 12 31111 6 M78 00000 002 001 001 00012</t>
  </si>
  <si>
    <t>1 2 4 1 9 12 31111 6 M78 00000 002 001 001 00013</t>
  </si>
  <si>
    <t>1 2 4 1 9 12 31111 6 M78 00000 002 001 001 00014</t>
  </si>
  <si>
    <t>1 2 4 1 9 12 31111 6 M78 00000 002 001 001 00015</t>
  </si>
  <si>
    <t>1 2 4 1 9 12 31111 6 M78 00000 002 001 001 00016</t>
  </si>
  <si>
    <t>1 2 4 1 9 12 31111 6 M78 00000 002 001 001 00017</t>
  </si>
  <si>
    <t>1 2 4 1 9 12 31111 6 M78 00000 002 001 001 00018</t>
  </si>
  <si>
    <t>1 2 4 1 9 12 31111 6 M78 00000 002 001 001 00019</t>
  </si>
  <si>
    <t>1 2 4 1 9 12 31111 6 M78 00000 002 001 001 00020</t>
  </si>
  <si>
    <t>1 2 4 1 9 12 31111 6 M78 00000 002 001 001 00021</t>
  </si>
  <si>
    <t>1 2 4 1 9 12 31111 6 M78 00000 002 001 001 00022</t>
  </si>
  <si>
    <t>1 2 4 1 9 12 31111 6 M78 00000 002 001 001 00023</t>
  </si>
  <si>
    <t>1 2 4 1 9 12 31111 6 M78 00000 002 001 001 00024</t>
  </si>
  <si>
    <t>1 2 4 1 9 12 31111 6 M78 00000 002 001 001 00025</t>
  </si>
  <si>
    <t>1 2 4 1 9 12 31111 6 M78 00000 002 001 001 00026</t>
  </si>
  <si>
    <t>COMPUTADORA DE ESCRITORIO PROCESADOR INTEL CORE I3 MEMORIA RAM DE 4CG DD 500GB MONITOR LED 19" TECLADO Y MOUSE CCA</t>
  </si>
  <si>
    <t>1 2 4 1 9 12 31111 6 M78 00000 002 001 001 00027</t>
  </si>
  <si>
    <t>1 2 4 1 9 12 31111 6 M78 00000 002 001 001 00028</t>
  </si>
  <si>
    <t>1 2 4 1 9 12 31111 6 M78 00000 002 001 001 00029</t>
  </si>
  <si>
    <t>1 2 4 1 9 12 31111 6 M78 00000 002 001 001 00030</t>
  </si>
  <si>
    <t>5 ESCRITORIOS C/FALDON Y CAJONERAS 1200X600MMX750MM DE ALTURA</t>
  </si>
  <si>
    <t>1 2 4 1 9 12 31111 6 M78 00000 002 001 001 00031</t>
  </si>
  <si>
    <t>10 SILLÓN EJEC GIRAT DE 600X710X1130 MM C/ BRAZOS. RECLINABLE</t>
  </si>
  <si>
    <t>1 2 4 1 9 12 31111 6 M78 00000 002 001 001 00032</t>
  </si>
  <si>
    <t>6 IMPRESORA BROTHER T800 C/SISTEMA DE TINTA CONTINUA INALAMBRICA MULTIFULCIONAL</t>
  </si>
  <si>
    <t>1 2 4 1 9 12 31111 6 M78 00000 002 001 001 00033</t>
  </si>
  <si>
    <t>5 MINITOR AOC ULTRASUM 24" S/N</t>
  </si>
  <si>
    <t>1 2 4 1 9 12 31111 6 M78 00000 002 001 001 00034</t>
  </si>
  <si>
    <t>4 EQUIPOS DE COMPUTADORAS INTEL INSIDE CORE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</si>
  <si>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</si>
  <si>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</si>
  <si>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</si>
  <si>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</si>
  <si>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</si>
  <si>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</si>
  <si>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</si>
  <si>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</si>
  <si>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</si>
  <si>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002</t>
  </si>
  <si>
    <t>VEHICULOS Y EQUIPO TERRESTRE</t>
  </si>
  <si>
    <t>1 2 4 4 1 12 31111 6 M78 00000 002 002</t>
  </si>
  <si>
    <t>1 2 4 4 1 12 31111 6 M78 00000 002 002 001</t>
  </si>
  <si>
    <t>OBRAS PUBLICAS</t>
  </si>
  <si>
    <t>1 2 4 4 1 12 31111 6 M78 00000 002 002 001 00001</t>
  </si>
  <si>
    <t>CAMIONETA DOBLE CABINA COLOR PLATA 2014</t>
  </si>
  <si>
    <t>1 2 4 4 1 12 31111 6 M78 00000 002 002 001 00002</t>
  </si>
  <si>
    <t>CAMIONETA LOBO XLT4X4</t>
  </si>
  <si>
    <t>1 2 5</t>
  </si>
  <si>
    <t>ACTIVOS INTANGIBLES</t>
  </si>
  <si>
    <t>1 2 6</t>
  </si>
  <si>
    <t>DEPRECIACIÓN, DETERIORO Y AMORTIZACIÓN ACUMULADA DE BIENES</t>
  </si>
  <si>
    <t>1 2 7</t>
  </si>
  <si>
    <t>ACTIVOS DIFERIDOS</t>
  </si>
  <si>
    <t>1 2 8</t>
  </si>
  <si>
    <t>ESTIMACIÓN POR PÉRDIDA O DETERIORO DE ACTIVOS NO CIRCULANTES</t>
  </si>
  <si>
    <t>1 2 9</t>
  </si>
  <si>
    <t>OTROS ACTIVOS NO CIRCULANTES</t>
  </si>
  <si>
    <t>2</t>
  </si>
  <si>
    <t>PASIVO</t>
  </si>
  <si>
    <t>2 1</t>
  </si>
  <si>
    <t>PASIVO CIRCULANTE</t>
  </si>
  <si>
    <t>2 1 1</t>
  </si>
  <si>
    <t>CUENTAS POR PAGAR A CORTO PLAZO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</si>
  <si>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</si>
  <si>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</si>
  <si>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</si>
  <si>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</si>
  <si>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</si>
  <si>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</si>
  <si>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</si>
  <si>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</si>
  <si>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00002</t>
  </si>
  <si>
    <t>OBRA PÚBLICA</t>
  </si>
  <si>
    <t>2 1 1 2 1 12 31111 6 M78 00002 004</t>
  </si>
  <si>
    <t>2 1 1 2 1 12 31111 6 M78 00002 023</t>
  </si>
  <si>
    <t>ESMERALDA GARCIA PINEDA</t>
  </si>
  <si>
    <t>2 1 1 2 1 12 31111 6 M78 00002 024</t>
  </si>
  <si>
    <t>RAUL ALEMAN JARAMILLO</t>
  </si>
  <si>
    <t>2 1 1 2 1 12 31111 6 M78 00002 025</t>
  </si>
  <si>
    <t>CHRISTIAN GREGORIO ADAME TEOFILO</t>
  </si>
  <si>
    <t>2 1 1 3</t>
  </si>
  <si>
    <t>CONTRATISTAS POR OBRAS PÚBLICAS POR PAGAR A CORTO PLAZO</t>
  </si>
  <si>
    <t>2 1 1 3 1</t>
  </si>
  <si>
    <t>CONTRATISTAS POR OBRAS PÚBLICAS EN BIENES DE DOMINIO PÚBLICO POR PAGAR A CP</t>
  </si>
  <si>
    <t>2 1 1 3 1 12</t>
  </si>
  <si>
    <t>2 1 1 3 1 12 31111</t>
  </si>
  <si>
    <t>2 1 1 3 1 12 31111 6</t>
  </si>
  <si>
    <t>2 1 1 3 1 12 31111 6 M78</t>
  </si>
  <si>
    <t>2 1 1 3 1 12 31111 6 M78 00002</t>
  </si>
  <si>
    <t>FONDO DE APORTACIONES PARA INFRAESTRUCTURA SOCIAL MUNICIPAL</t>
  </si>
  <si>
    <t>2 1 1 3 1 12 31111 6 M78 00002 003</t>
  </si>
  <si>
    <t>INGENIERIA RESPONSABLE S.A. DE C.V.</t>
  </si>
  <si>
    <t>2 1 1 3 1 12 31111 6 M78 00002 004</t>
  </si>
  <si>
    <t>FI CONSTRUCCIONES S.A. DE C.V.</t>
  </si>
  <si>
    <t>2 1 1 3 1 12 31111 6 M78 00002 008</t>
  </si>
  <si>
    <t>LUZAJO DISEÑO Y CONSTRUCCION SA DE CV</t>
  </si>
  <si>
    <t>2 1 1 3 1 12 31111 6 M78 00002 009</t>
  </si>
  <si>
    <t>PROYECCIONES GEOMETRICAS Y CONSTRUCCIONES GAR HER SA CV</t>
  </si>
  <si>
    <t>2 1 1 3 1 12 31111 6 M78 00002 010</t>
  </si>
  <si>
    <t>INPRO MATCO SA DE CV</t>
  </si>
  <si>
    <t>2 1 1 3 1 12 31111 6 M78 00002 013</t>
  </si>
  <si>
    <t>LUIS  ALBERTO MARTINEZ VAZQUEZ</t>
  </si>
  <si>
    <t>2 1 1 3 1 12 31111 6 M78 00002 015</t>
  </si>
  <si>
    <t>CAMINOS Y CONSTRUCCIONES JHODAR, S.A. DE C.V.</t>
  </si>
  <si>
    <t>2 1 1 3 1 12 31111 6 M78 00002 018</t>
  </si>
  <si>
    <t>JORGE NERI MARTINEZ VAZQUEZ</t>
  </si>
  <si>
    <t>2 1 1 7</t>
  </si>
  <si>
    <t>RETENCIONES Y CONTRIBUCIONES POR PAGAR A CORTO PLAZO</t>
  </si>
  <si>
    <t>2 1 1 7 5</t>
  </si>
  <si>
    <t>IMPUESTOS SOBRE NÓMINA Y OTROS QUE DERIVEN DE UNA RELACIÓN LABORAL POR PAGAR A CP</t>
  </si>
  <si>
    <t>2 1 1 7 5 12</t>
  </si>
  <si>
    <t>2 1 1 7 5 12 31111</t>
  </si>
  <si>
    <t>2 1 1 7 5 12 31111 6</t>
  </si>
  <si>
    <t>2 1 1 7 5 12 31111 6 M78</t>
  </si>
  <si>
    <t>2 1 1 7 5 12 31111 6 M78 00002</t>
  </si>
  <si>
    <t>FONDO DE APORTACIONES PARA LA INFRAESRUCTURA SOCIAL MUNICIPAL</t>
  </si>
  <si>
    <t>2 1 1 7 5 12 31111 6 M78 00002 003</t>
  </si>
  <si>
    <t>5% AL MILLAR 2020</t>
  </si>
  <si>
    <t>2 1 1 7 5 12 31111 6 M78 00002 004</t>
  </si>
  <si>
    <t>5% AL MILLAR 2021</t>
  </si>
  <si>
    <t>2 1 1 7 5 12 31111 6 M78 00002 005</t>
  </si>
  <si>
    <t>5% AL MILLAR 2022</t>
  </si>
  <si>
    <t>2 1 1 7 5 12 31111 6 M78 00002 006</t>
  </si>
  <si>
    <t>5% AL MILLAR 2023</t>
  </si>
  <si>
    <t>2 1 1 7 5 12 31111 6 M78 00002 007</t>
  </si>
  <si>
    <t>5% AL MILLAR 2024</t>
  </si>
  <si>
    <t>2 1 2</t>
  </si>
  <si>
    <t>DOCUMENTOS POR PAGAR A CORTO PLAZO</t>
  </si>
  <si>
    <t>2 1 3</t>
  </si>
  <si>
    <t>PORCIÓN A CORTO PLAZO DE LA DEUDA PÚBLICA A LARGO PLAZO</t>
  </si>
  <si>
    <t>2 1 4</t>
  </si>
  <si>
    <t>TÍTULOS Y VALORES A CORTO PLAZO</t>
  </si>
  <si>
    <t>2 1 5</t>
  </si>
  <si>
    <t>PASIVOS DIFERIDOS A CORTO PLAZO</t>
  </si>
  <si>
    <t>2 1 6</t>
  </si>
  <si>
    <t>FONDOS Y BIENES DE TERCEROS EN GARANTÍA Y/O ADMINISTRACIÓN A CORTO PLAZO</t>
  </si>
  <si>
    <t>2 1 7</t>
  </si>
  <si>
    <t>PROVISIONES A CORTO PLAZO</t>
  </si>
  <si>
    <t>2 1 9</t>
  </si>
  <si>
    <t>OTROS PASIVOS A CORTO PLAZO</t>
  </si>
  <si>
    <t>2 2</t>
  </si>
  <si>
    <t>PASIVO NO CIRCULANTE</t>
  </si>
  <si>
    <t>2 2 1</t>
  </si>
  <si>
    <t>CUENTAS POR PAGAR A LARGO PLAZO</t>
  </si>
  <si>
    <t>2 2 2</t>
  </si>
  <si>
    <t>DOCUMENTOS POR PAGAR A LARGO PLAZO</t>
  </si>
  <si>
    <t>2 2 3</t>
  </si>
  <si>
    <t>DEUDA PÚBLICA A LARGO PLAZO</t>
  </si>
  <si>
    <t>2 2 4</t>
  </si>
  <si>
    <t>PASIVOS DIFERIDOS A LARGO PLAZO</t>
  </si>
  <si>
    <t>2 2 5</t>
  </si>
  <si>
    <t>FONDOS Y BIENES DE TERCEROS EN GARANTÍA Y/O EN ADMINISTRACIÓN A LARGO PLAZO</t>
  </si>
  <si>
    <t>2 2 6</t>
  </si>
  <si>
    <t>PROVISIONES A LARGO PLAZO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</si>
  <si>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</si>
  <si>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</si>
  <si>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</si>
  <si>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</si>
  <si>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</si>
  <si>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</si>
  <si>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</si>
  <si>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</si>
  <si>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</si>
  <si>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</si>
  <si>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</si>
  <si>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</si>
  <si>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00002</t>
  </si>
  <si>
    <t>3 1 2</t>
  </si>
  <si>
    <t>DONACIONES DE CAPITAL</t>
  </si>
  <si>
    <t>3 1 3</t>
  </si>
  <si>
    <t>ACTUALIZACIÓN DE LA HACIENDA PÚBLICA/PATRIMONIO</t>
  </si>
  <si>
    <t>3 2</t>
  </si>
  <si>
    <t>HACIENDA PÚBLICA /PATRIMONIO GENERADO</t>
  </si>
  <si>
    <t>3 2 1</t>
  </si>
  <si>
    <t>RESULTADOS DEL EJERCICIO (AHORRO/ DESAHORRO)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</si>
  <si>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</si>
  <si>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</si>
  <si>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</si>
  <si>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</si>
  <si>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</si>
  <si>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</si>
  <si>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</si>
  <si>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</si>
  <si>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</si>
  <si>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00002</t>
  </si>
  <si>
    <t>3 2 3</t>
  </si>
  <si>
    <t>REVALÚOS</t>
  </si>
  <si>
    <t>3 2 4</t>
  </si>
  <si>
    <t>RESERVAS</t>
  </si>
  <si>
    <t>3 2 5</t>
  </si>
  <si>
    <t>RECTIFICACIONES DE RESULTADOS DE EJERCICIOS ANTERIORES</t>
  </si>
  <si>
    <t>3 3</t>
  </si>
  <si>
    <t>EXCESO O INSUFICIENCIA EN LA ACTUALIZACIÓN DE LA HACIENDA PÚBLICA/</t>
  </si>
  <si>
    <t>3 3 1</t>
  </si>
  <si>
    <t>RESULTADO POR POSICIÓN MONETARIA</t>
  </si>
  <si>
    <t>3 3 2</t>
  </si>
  <si>
    <t>RESULTADO POR TENENCIA DE ACTIVOS NO MONETARIOS</t>
  </si>
  <si>
    <t>4</t>
  </si>
  <si>
    <t>INGRESOS Y OTROS BENEFICIOS</t>
  </si>
  <si>
    <t>4 1</t>
  </si>
  <si>
    <t>INGRESOS DE GESTIÓN</t>
  </si>
  <si>
    <t>4 1 1</t>
  </si>
  <si>
    <t>IMPUESTOS</t>
  </si>
  <si>
    <t>4 1 2</t>
  </si>
  <si>
    <t>CUOTAS Y APORTACIONES DE SEGURIDAD SOCIAL</t>
  </si>
  <si>
    <t>4 1 3</t>
  </si>
  <si>
    <t>CONTRIBUCIONES DE MEJORAS</t>
  </si>
  <si>
    <t>4 1 4</t>
  </si>
  <si>
    <t>DERECHOS</t>
  </si>
  <si>
    <t>4 1 5</t>
  </si>
  <si>
    <t>PRODUCTOS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</si>
  <si>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</si>
  <si>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</si>
  <si>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</si>
  <si>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</si>
  <si>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</si>
  <si>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</si>
  <si>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</si>
  <si>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10000</t>
  </si>
  <si>
    <t>4 1 5 1 1 12 31111 6 M78 10000 222</t>
  </si>
  <si>
    <t>4 1 5 1 1 12 31111 6 M78 10000 222 00I</t>
  </si>
  <si>
    <t>4 1 5 1 1 12 31111 6 M78 10000 222 00I 001</t>
  </si>
  <si>
    <t>GASTO CORRIENTE</t>
  </si>
  <si>
    <t>4 1 5 1 1 12 31111 6 M78 10000 222 00I 001 00051</t>
  </si>
  <si>
    <t>4 1 5 1 1 12 31111 6 M78 10000 222 00I 001 00051 025</t>
  </si>
  <si>
    <t>4 1 5 1 1 12 31111 6 M78 10000 222 00I 001 00051 025 1151100</t>
  </si>
  <si>
    <t>INTERNOS</t>
  </si>
  <si>
    <t>4 1 5 1 1 12 31111 6 M78 10000 222 00I 001 00051 025 1151100 2024</t>
  </si>
  <si>
    <t>4 1 5 1 1 12 31111 6 M78 10000 222 00I 001 00051 025 1151100 2024 00000000</t>
  </si>
  <si>
    <t>4 1 5 1 1 12 31111 6 M78 10000 222 00I 001 00051 025 1151100 2024 00000000 002</t>
  </si>
  <si>
    <t>4 1 5 1 1 12 31111 6 M78 10000 222 00I 001 00051 025 1151100 2024 00000000 002 001</t>
  </si>
  <si>
    <t>INTERESES POR PRODUCTOS FINANCIEROS</t>
  </si>
  <si>
    <t>4 1 6</t>
  </si>
  <si>
    <t>APROVECHAMIENTOS</t>
  </si>
  <si>
    <t>4 1 7</t>
  </si>
  <si>
    <t>INGRESOS POR VENTA DE BIENES Y PRESTACION DE SERVICIOS</t>
  </si>
  <si>
    <t>4 1 9</t>
  </si>
  <si>
    <t>PARTIDA DEROGADA (20180927) INGRESOS NO 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</si>
  <si>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</si>
  <si>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</si>
  <si>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</si>
  <si>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</si>
  <si>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4 2 1 2</t>
  </si>
  <si>
    <t>4 2 1 2 1</t>
  </si>
  <si>
    <t>4 2 1 2 1 12</t>
  </si>
  <si>
    <t>4 2 1 2 1 12 31111</t>
  </si>
  <si>
    <t>4 2 1 2 1 12 31111 6</t>
  </si>
  <si>
    <t>4 2 1 2 1 12 31111 6 M78</t>
  </si>
  <si>
    <t>4 2 1 2 1 12 31111 6 M78 10000</t>
  </si>
  <si>
    <t>4 2 1 2 1 12 31111 6 M78 10000 222</t>
  </si>
  <si>
    <t>4 2 1 2 1 12 31111 6 M78 10000 222 00I</t>
  </si>
  <si>
    <t>4 2 1 2 1 12 31111 6 M78 10000 222 00I 001</t>
  </si>
  <si>
    <t>4 2 1 2 1 12 31111 6 M78 10000 222 00I 001 00082</t>
  </si>
  <si>
    <t>4 2 1 2 1 12 31111 6 M78 10000 222 00I 001 00082 025</t>
  </si>
  <si>
    <t>4 2 1 2 1 12 31111 6 M78 10000 222 00I 001 00082 025 1182200</t>
  </si>
  <si>
    <t>DE ENTIDADES FEDERATIVAS</t>
  </si>
  <si>
    <t>4 2 1 2 1 12 31111 6 M78 10000 222 00I 001 00082 025 1182200 2024</t>
  </si>
  <si>
    <t>4 2 1 2 1 12 31111 6 M78 10000 222 00I 001 00082 025 1182200 2024 00000000</t>
  </si>
  <si>
    <t>XXX ACTIVIDAD INSTITUCIONAL XXX</t>
  </si>
  <si>
    <t>4 2 1 2 1 12 31111 6 M78 10000 222 00I 001 00082 025 1182200 2024 00000000 002</t>
  </si>
  <si>
    <t>OBRAPUBLICA</t>
  </si>
  <si>
    <t>4 2 1 2 1 12 31111 6 M78 10000 222 00I 001 00082 025 1182200 2024 00000000 002 001</t>
  </si>
  <si>
    <t>APORTACIONES P/INFRA SOC MPAL</t>
  </si>
  <si>
    <t>4 2 2</t>
  </si>
  <si>
    <t>TRANSFERENCIAS, ASIGNACIONES, SUBSIDIOS Y SUBVENCIONES, Y PENSIONES Y JUBILACIONES</t>
  </si>
  <si>
    <t>4 3</t>
  </si>
  <si>
    <t>OTROS INGRESOS  Y BENEFICIOS</t>
  </si>
  <si>
    <t>4 3 1</t>
  </si>
  <si>
    <t>INGRESOS FINANCIEROS</t>
  </si>
  <si>
    <t>4 3 2</t>
  </si>
  <si>
    <t>INCREMENTO POR VARIACIÓN DE INVENTARIOS</t>
  </si>
  <si>
    <t>4 3 3</t>
  </si>
  <si>
    <t>DISMINUCIÓN DEL EXCESO DE ESTIMACIONES POR PÉRDIDA O DETERIORO U OBSOLESCENCIA</t>
  </si>
  <si>
    <t>4 3 4</t>
  </si>
  <si>
    <t>DISMINUCIÓN DEL EXCESO DE PROVISIONES</t>
  </si>
  <si>
    <t>4 3 9</t>
  </si>
  <si>
    <t>OTROS INGRESOS Y BENEFICIOS VARIOS</t>
  </si>
  <si>
    <t>5</t>
  </si>
  <si>
    <t>GASTOS Y OTRAS PÉRDIDAS</t>
  </si>
  <si>
    <t>5 1</t>
  </si>
  <si>
    <t>GASTOS DE FUNCIONAMIENTO</t>
  </si>
  <si>
    <t>5 1 1</t>
  </si>
  <si>
    <t>SERVICIOS PERSONALES</t>
  </si>
  <si>
    <t>5 1 2</t>
  </si>
  <si>
    <t>MATERIALES Y SUMINISTROS</t>
  </si>
  <si>
    <t>5 1 3</t>
  </si>
  <si>
    <t>SERVICIOS GENERALES</t>
  </si>
  <si>
    <t>5 1 3 2</t>
  </si>
  <si>
    <t>SERVICIOS DE ARRENDAMIENTO</t>
  </si>
  <si>
    <t>5 1 3 2 5</t>
  </si>
  <si>
    <t>ARRENDAMIENTO DE EQUIPO DE TRANSPORTE</t>
  </si>
  <si>
    <t>5 1 3 2 5 12</t>
  </si>
  <si>
    <t>5 1 3 2 5 12 31111</t>
  </si>
  <si>
    <t>5 1 3 2 5 12 31111 6</t>
  </si>
  <si>
    <t>5 1 3 2 5 12 31111 6 M78</t>
  </si>
  <si>
    <t>XXX CAMBIO DE ETIQUETA PRESUPUESTAL XXX</t>
  </si>
  <si>
    <t>5 1 3 2 5 12 31111 6 M78 10000</t>
  </si>
  <si>
    <t>5 1 3 2 5 12 31111 6 M78 10000 151</t>
  </si>
  <si>
    <t>ASUNTOS FINANCIEROS</t>
  </si>
  <si>
    <t>5 1 3 2 5 12 31111 6 M78 10000 151 00I</t>
  </si>
  <si>
    <t>5 1 3 2 5 12 31111 6 M78 10000 151 00I 001</t>
  </si>
  <si>
    <t>5 1 3 2 5 12 31111 6 M78 10000 151 00I 001 32503</t>
  </si>
  <si>
    <t>ARRENDAMIENTO DE VEHICULOS TERRESTRES, AEREOS, MARITIMOS, LACUSTRES Y FLUVIALES PARA SERVICIOS ADMINISTRATIVOS.</t>
  </si>
  <si>
    <t>5 1 3 2 5 12 31111 6 M78 10000 151 00I 001 32503 025</t>
  </si>
  <si>
    <t>5 1 3 2 5 12 31111 6 M78 10000 151 00I 001 32503 025 2112000</t>
  </si>
  <si>
    <t>5 1 3 2 5 12 31111 6 M78 10000 151 00I 001 32503 025 2112000 2024</t>
  </si>
  <si>
    <t>5 1 3 2 5 12 31111 6 M78 10000 151 00I 001 32503 025 2112000 2024 00000000</t>
  </si>
  <si>
    <t>5 1 3 2 5 12 31111 6 M78 10000 151 00I 001 32503 025 2112000 2024 00000000 003</t>
  </si>
  <si>
    <t>5 1 3 2 5 12 31111 6 M78 10000 151 00I 001 32503 025 2112000 2024 00000000 003 001</t>
  </si>
  <si>
    <t>ARRENDAMIENTO DE EQUIPO DE TRANSPORTE.</t>
  </si>
  <si>
    <t>5 1 3 3</t>
  </si>
  <si>
    <t>SERVICIOS PROFESIONALES, CIENTÍFICOS Y TÉCNICOS Y OTROS SERVICIOS</t>
  </si>
  <si>
    <t>5 1 3 3 2</t>
  </si>
  <si>
    <t>SERVICIOS DE DISEÑO, ARQUITECTURA, INGENIERÍA Y ACTIVIDADES RELACIONADAS</t>
  </si>
  <si>
    <t>5 1 3 3 2 12</t>
  </si>
  <si>
    <t>5 1 3 3 2 12 31111</t>
  </si>
  <si>
    <t>5 1 3 3 2 12 31111 6</t>
  </si>
  <si>
    <t>5 1 3 3 2 12 31111 6 M78</t>
  </si>
  <si>
    <t>5 1 3 3 2 12 31111 6 M78 10000</t>
  </si>
  <si>
    <t>5 1 3 3 2 12 31111 6 M78 10000 151</t>
  </si>
  <si>
    <t>5 1 3 3 2 12 31111 6 M78 10000 151 00I</t>
  </si>
  <si>
    <t>5 1 3 3 2 12 31111 6 M78 10000 151 00I 001</t>
  </si>
  <si>
    <t>5 1 3 3 2 12 31111 6 M78 10000 151 00I 001 33201</t>
  </si>
  <si>
    <t>SERVICIOS DE DISEÑO, ARQUITECTURA, INGENIERIA Y ACTIVIDADES RELACIONADAS.</t>
  </si>
  <si>
    <t>5 1 3 3 2 12 31111 6 M78 10000 151 00I 001 33201 025</t>
  </si>
  <si>
    <t>5 1 3 3 2 12 31111 6 M78 10000 151 00I 001 33201 025 2112000</t>
  </si>
  <si>
    <t>5 1 3 3 2 12 31111 6 M78 10000 151 00I 001 33201 025 2112000 2024</t>
  </si>
  <si>
    <t>5 1 3 3 2 12 31111 6 M78 10000 151 00I 001 33201 025 2112000 2024 00000000</t>
  </si>
  <si>
    <t>5 1 3 3 2 12 31111 6 M78 10000 151 00I 001 33201 025 2112000 2024 00000000 002</t>
  </si>
  <si>
    <t>SERVICIOS PROFESIONALES, CIENTIFICOS Y TECNICOS INTEGRALES</t>
  </si>
  <si>
    <t>5 1 3 5</t>
  </si>
  <si>
    <t>SERVICIOS DE INSTALACIÓN, REPARACIÓN, MANTENIMIENTO Y CONSERVACIÓN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</si>
  <si>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</si>
  <si>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</si>
  <si>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</si>
  <si>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</si>
  <si>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</si>
  <si>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</si>
  <si>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10000</t>
  </si>
  <si>
    <t>5 1 3 5 5 12 31111 6 M78 10000 151</t>
  </si>
  <si>
    <t>5 1 3 5 5 12 31111 6 M78 10000 151 00I</t>
  </si>
  <si>
    <t>5 1 3 5 5 12 31111 6 M78 10000 151 00I 001</t>
  </si>
  <si>
    <t>5 1 3 5 5 12 31111 6 M78 10000 151 00I 001 35501</t>
  </si>
  <si>
    <t>MANTENIMIENTO Y CONSERVACION DE VEHICULOS TERRESTRES, AEREOS, MARITIMOS, LACUSTRES Y FLUVIALES.</t>
  </si>
  <si>
    <t>5 1 3 5 5 12 31111 6 M78 10000 151 00I 001 35501 025</t>
  </si>
  <si>
    <t>5 1 3 5 5 12 31111 6 M78 10000 151 00I 001 35501 025 2112000</t>
  </si>
  <si>
    <t>5 1 3 5 5 12 31111 6 M78 10000 151 00I 001 35501 025 2112000 2024</t>
  </si>
  <si>
    <t>5 1 3 5 5 12 31111 6 M78 10000 151 00I 001 35501 025 2112000 2024 00000000</t>
  </si>
  <si>
    <t>5 1 3 5 5 12 31111 6 M78 10000 151 00I 001 35501 025 2112000 2024 00000000 002</t>
  </si>
  <si>
    <t>5 1 3 5 5 12 31111 6 M78 10000 151 00I 001 35501 025 2112000 2024 00000000 002 001</t>
  </si>
  <si>
    <t>REPARACIÒN Y MANTENIMIENTO DE EQUIPO DE TRANSPORTE</t>
  </si>
  <si>
    <t>5 2</t>
  </si>
  <si>
    <t>TRANSFERENCIAS, ASIGNACIONES, SUBSIDIOS Y OTRAS AYUDAS</t>
  </si>
  <si>
    <t>5 2 1</t>
  </si>
  <si>
    <t>TRANSFERENCIAS INTERNAS Y ASIGNACIONES AL SECTOR PÚBLICO</t>
  </si>
  <si>
    <t>5 2 2</t>
  </si>
  <si>
    <t>TRANSFERENCIAS AL RESTO DEL SECTOR PÚBLICO</t>
  </si>
  <si>
    <t>5 2 3</t>
  </si>
  <si>
    <t>SUBSIDIOS Y SUBVENCIONES</t>
  </si>
  <si>
    <t>5 2 4</t>
  </si>
  <si>
    <t>AYUDAS SOCIALES</t>
  </si>
  <si>
    <t>5 2 5</t>
  </si>
  <si>
    <t>PENSIONES Y JUBILACIONES</t>
  </si>
  <si>
    <t>5 2 6</t>
  </si>
  <si>
    <t>TRANSFERENCIAS A FIDEICOMISOS, MANDATOS Y CONTRATOS ANÁLOGOS</t>
  </si>
  <si>
    <t>5 2 7</t>
  </si>
  <si>
    <t>TRANSFERENCIAS A LA SEGURIDAD SOCIAL</t>
  </si>
  <si>
    <t>5 2 8</t>
  </si>
  <si>
    <t>DONATIVOS</t>
  </si>
  <si>
    <t>5 2 9</t>
  </si>
  <si>
    <t>TRANSFERENCIAS AL EXTERIOR</t>
  </si>
  <si>
    <t>5 3</t>
  </si>
  <si>
    <t>PARTICIPACIONES Y APORTACIONES</t>
  </si>
  <si>
    <t>5 3 1</t>
  </si>
  <si>
    <t>PARTICIPACIONES</t>
  </si>
  <si>
    <t>5 3 2</t>
  </si>
  <si>
    <t>5 3 3</t>
  </si>
  <si>
    <t>CONVENIOS</t>
  </si>
  <si>
    <t>5 4</t>
  </si>
  <si>
    <t>INTERESES, COMISIONES Y OTROS GASTOS DE LA DEUDA PÚBLICA</t>
  </si>
  <si>
    <t>5 4 1</t>
  </si>
  <si>
    <t>INTERESES DE LA DEUDA PÚBLICA</t>
  </si>
  <si>
    <t>5 4 2</t>
  </si>
  <si>
    <t>COMISIONES DE LA DEUDA PÚBLICA</t>
  </si>
  <si>
    <t>5 4 3</t>
  </si>
  <si>
    <t>GASTOS DE LA DEUDA PÚBLICA</t>
  </si>
  <si>
    <t>5 4 4</t>
  </si>
  <si>
    <t>COSTO POR COBERTURAS</t>
  </si>
  <si>
    <t>5 4 5</t>
  </si>
  <si>
    <t>APOYOS FINANCIEROS</t>
  </si>
  <si>
    <t>5 5</t>
  </si>
  <si>
    <t>OTROS GASTOS Y PÉRDIDAS EXTRAORDINARIAS</t>
  </si>
  <si>
    <t>5 5 1</t>
  </si>
  <si>
    <t>ESTIMACIONES, DEPRECIACIONES, DETERIOROS, OBSOLESCENCIA Y AMORTIZACIONES</t>
  </si>
  <si>
    <t>5 5 2</t>
  </si>
  <si>
    <t>PROVISIONES</t>
  </si>
  <si>
    <t>5 5 3</t>
  </si>
  <si>
    <t>DISMINUCIÓN DE INVENTARIOS</t>
  </si>
  <si>
    <t>5 5 4</t>
  </si>
  <si>
    <t>AUMENTO POR INSUFICIENCIA DE ESTIMACIONES POR PÉRDIDA O DETERIORO U OBSOLESCENCIA</t>
  </si>
  <si>
    <t>5 5 5</t>
  </si>
  <si>
    <t>AUMENTO POR INSUFICIENCIA DE PROVISIONES</t>
  </si>
  <si>
    <t>5 5 9</t>
  </si>
  <si>
    <t>OTROS GASTOS</t>
  </si>
  <si>
    <t>5 6</t>
  </si>
  <si>
    <t>INVERSION PUBLICA</t>
  </si>
  <si>
    <t>5 6 1</t>
  </si>
  <si>
    <t>INVERSION PUBLICA NO CAPITALIZABLE</t>
  </si>
  <si>
    <t>6</t>
  </si>
  <si>
    <t>CUENTAS DE CIERRE CONTABLE</t>
  </si>
  <si>
    <t>6 1</t>
  </si>
  <si>
    <t>RESUMEN DE INGRESOS Y GASTOS</t>
  </si>
  <si>
    <t>6 2</t>
  </si>
  <si>
    <t>AHORRO DE LA GESTIÓN</t>
  </si>
  <si>
    <t>6 3</t>
  </si>
  <si>
    <t>DESAHORRO DE LA GESTIÓN</t>
  </si>
  <si>
    <t>7</t>
  </si>
  <si>
    <t>CUENTAS DE ORDEN CONTABLES</t>
  </si>
  <si>
    <t>7 1</t>
  </si>
  <si>
    <t>VALORES</t>
  </si>
  <si>
    <t>7 1 1</t>
  </si>
  <si>
    <t>VALORES EN CUSTODIA</t>
  </si>
  <si>
    <t>7 1 2</t>
  </si>
  <si>
    <t>CUSTODIA DE VALORES</t>
  </si>
  <si>
    <t>7 1 3</t>
  </si>
  <si>
    <t>INSTRUMENTOS DE CRÉDITO PRESTADOS A FORMADORES DE MERCADO</t>
  </si>
  <si>
    <t>7 1 4</t>
  </si>
  <si>
    <t>PRÉSTAMO DE INSTRUMENTOS DE CRÉDITO A FORMADORES DE MERCADO Y SU GARANTÍA</t>
  </si>
  <si>
    <t>7 1 5</t>
  </si>
  <si>
    <t>INSTRUMENTOS DE CRÉDITO RECIBIDOS EN GARANTÍA DE LOS FORMADORES DE MERCADO</t>
  </si>
  <si>
    <t>7 1 6</t>
  </si>
  <si>
    <t>GARANTÍA DE CRÉDITOS RECIBIDOS DE LOS FORMADORES DE MERCADO</t>
  </si>
  <si>
    <t>7 2</t>
  </si>
  <si>
    <t>EMISION DE OBLIGACIONES</t>
  </si>
  <si>
    <t>7 2 1</t>
  </si>
  <si>
    <t>AUTORIZACIÓN PARA LA EMISIÓN DE BONOS, TÍTULOS Y VALORES DE LA DEUDA PÚBLICA INTERNA</t>
  </si>
  <si>
    <t>7 2 2</t>
  </si>
  <si>
    <t>AUTORIZACIÓN PARA LA EMISIÓN DE BONOS, TÍTULOS Y VALORES DE LA DEUDA PÚBLICA EXTERNA</t>
  </si>
  <si>
    <t>7 2 3</t>
  </si>
  <si>
    <t>EMISIONES AUTORIZADAS DE LA DEUDA PÚBLICA INTERNA Y EXTERNA</t>
  </si>
  <si>
    <t>7 2 4</t>
  </si>
  <si>
    <t>SUSCRIPCIÓN DE CONTRATOS DE PRÉSTAMOS Y OTRAS OBLIGACIONES DE LA DEUDA PÚBLICA INTERNA</t>
  </si>
  <si>
    <t>7 2 5</t>
  </si>
  <si>
    <t>SUSCRIPCIÓN DE CONTRATOS DE PRÉSTAMOS Y OTRAS OBLIGACIONES DE LA DEUDA PÚBLICA EXTERNA</t>
  </si>
  <si>
    <t>7 2 6</t>
  </si>
  <si>
    <t>CONTRATOS DE PRÉSTAMOS Y OTRAS OBLIGACIONES DE LA DEUDA PÚBLICA INTERNA Y EXTERNA</t>
  </si>
  <si>
    <t>7 3</t>
  </si>
  <si>
    <t>AVALES Y GARANTÍAS</t>
  </si>
  <si>
    <t>7 3 1</t>
  </si>
  <si>
    <t>AVALES AUTORIZADOS</t>
  </si>
  <si>
    <t>7 3 2</t>
  </si>
  <si>
    <t>AVALES FIRMADOS</t>
  </si>
  <si>
    <t>7 3 3</t>
  </si>
  <si>
    <t>FIANZAS Y GARANTÍAS RECIBIDAS POR DEUDAS A COBRAR</t>
  </si>
  <si>
    <t>7 3 4</t>
  </si>
  <si>
    <t>FIANZAS Y GARANTÍAS RECIBIDAS</t>
  </si>
  <si>
    <t>7 3 5</t>
  </si>
  <si>
    <t>FIANZAS OTORGADAS PARA RESPALDAR OBLIGACIONES NO FISCALES DEL GOBIERNO</t>
  </si>
  <si>
    <t>7 3 6</t>
  </si>
  <si>
    <t>FIANZAS OTORGADAS DEL GOBIERNO  PARA RESPALDAR OBLIGACIONES NO FISCALES</t>
  </si>
  <si>
    <t>7 4</t>
  </si>
  <si>
    <t>JUICIOS</t>
  </si>
  <si>
    <t>7 4 1</t>
  </si>
  <si>
    <t>DEMANDAS JUDICIAL EN PROCESO DE RESOLUCIÓN</t>
  </si>
  <si>
    <t>7 4 2</t>
  </si>
  <si>
    <t>RESOLUCIÓN DE DEMANDAS EN PROCESO JUDICIAL</t>
  </si>
  <si>
    <t>7 5</t>
  </si>
  <si>
    <t>INVERSIÓN PÚBLICA</t>
  </si>
  <si>
    <t>7 5 1</t>
  </si>
  <si>
    <t>CONTRATOS PARA INVERSIÓN PÚBLICA</t>
  </si>
  <si>
    <t>7 5 2</t>
  </si>
  <si>
    <t>INVERSIÓN PÚBLICA CONTRATADA</t>
  </si>
  <si>
    <t>7 6</t>
  </si>
  <si>
    <t>BIENES EN CONCESIONADOS O EN COMODATO</t>
  </si>
  <si>
    <t>7 6 1</t>
  </si>
  <si>
    <t>BIENES BAJO CONTRATO EN CONCESIÓN</t>
  </si>
  <si>
    <t>7 6 2</t>
  </si>
  <si>
    <t>CONTRATO DE CONCESIÓN POR BIENES</t>
  </si>
  <si>
    <t>7 6 3</t>
  </si>
  <si>
    <t>BIENES BAJO CONTRATO EN COMODATO</t>
  </si>
  <si>
    <t>7 6 4</t>
  </si>
  <si>
    <t>CONTRATO DE COMODATO POR BIENES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</si>
  <si>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</si>
  <si>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</si>
  <si>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</si>
  <si>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</si>
  <si>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</si>
  <si>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</si>
  <si>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</si>
  <si>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</si>
  <si>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</si>
  <si>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</si>
  <si>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</si>
  <si>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</si>
  <si>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</si>
  <si>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</si>
  <si>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</si>
  <si>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</si>
  <si>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</si>
  <si>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</si>
  <si>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</si>
  <si>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</si>
  <si>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</si>
  <si>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</si>
  <si>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</si>
  <si>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</si>
  <si>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</si>
  <si>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</si>
  <si>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</si>
  <si>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</si>
  <si>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</si>
  <si>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</si>
  <si>
    <t>9</t>
  </si>
  <si>
    <t>CUENTAS DE CIERRE PRESUPUESTARIO</t>
  </si>
  <si>
    <t>9 1</t>
  </si>
  <si>
    <t>SUPERÁVIT FINANCIERO</t>
  </si>
  <si>
    <t>9 2</t>
  </si>
  <si>
    <t>DÉFICIT FINANCIERO</t>
  </si>
  <si>
    <t>9 3</t>
  </si>
  <si>
    <t>ADEUDOS DE EJERCICIOS FISCALES ANTERIORES</t>
  </si>
  <si>
    <t xml:space="preserve">BALANZA DE COMPROBACIÓN 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</si>
</sst>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E2E2E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6" fillId="3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0</xdr:colOff>
      <xdr:row>4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6</xdr:col>
      <xdr:colOff>439614</xdr:colOff>
      <xdr:row>634</xdr:row>
      <xdr:rowOff>115136</xdr:rowOff>
    </xdr:from>
    <xdr:to>
      <xdr:col>8</xdr:col>
      <xdr:colOff>595049</xdr:colOff>
      <xdr:row>640</xdr:row>
      <xdr:rowOff>115136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00521" y="116581812"/>
          <a:ext cx="2049968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
__________________________________
L.C. ERICK JOSUE RIOS GARCIA
TITULAR DEL ÓRGANO INTERNO DE CONTROL</a:t>
          </a:r>
        </a:p>
      </xdr:txBody>
    </xdr:sp>
    <xdr:clientData/>
  </xdr:twoCellAnchor>
  <xdr:twoCellAnchor>
    <xdr:from>
      <xdr:col>2</xdr:col>
      <xdr:colOff>3977473</xdr:colOff>
      <xdr:row>634</xdr:row>
      <xdr:rowOff>73269</xdr:rowOff>
    </xdr:from>
    <xdr:to>
      <xdr:col>5</xdr:col>
      <xdr:colOff>249744</xdr:colOff>
      <xdr:row>640</xdr:row>
      <xdr:rowOff>73269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03407" y="116539945"/>
          <a:ext cx="2102408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
__________________________________
LIC. ALBERTO CASTRO FLORES
TESORERO MUNICIPAL</a:t>
          </a:r>
        </a:p>
      </xdr:txBody>
    </xdr:sp>
    <xdr:clientData/>
  </xdr:twoCellAnchor>
  <xdr:twoCellAnchor>
    <xdr:from>
      <xdr:col>1</xdr:col>
      <xdr:colOff>103206</xdr:colOff>
      <xdr:row>634</xdr:row>
      <xdr:rowOff>41868</xdr:rowOff>
    </xdr:from>
    <xdr:to>
      <xdr:col>2</xdr:col>
      <xdr:colOff>124140</xdr:colOff>
      <xdr:row>640</xdr:row>
      <xdr:rowOff>41868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5541" y="116508544"/>
          <a:ext cx="1894533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
__________________________________
LIC. ORQUÍDIA HERNÁNDEZ MENDOZA
PRESIDENTA MUNICIPAL</a:t>
          </a:r>
        </a:p>
      </xdr:txBody>
    </xdr:sp>
    <xdr:clientData/>
  </xdr:twoCellAnchor>
  <xdr:twoCellAnchor>
    <xdr:from>
      <xdr:col>2</xdr:col>
      <xdr:colOff>794029</xdr:colOff>
      <xdr:row>634</xdr:row>
      <xdr:rowOff>52335</xdr:rowOff>
    </xdr:from>
    <xdr:to>
      <xdr:col>2</xdr:col>
      <xdr:colOff>2679561</xdr:colOff>
      <xdr:row>640</xdr:row>
      <xdr:rowOff>52336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719963" y="116519011"/>
          <a:ext cx="1885532" cy="879232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
ING. SALVADOR FLORES CASTILLO
SÍNDICO PROCURADOR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5"/>
  <sheetViews>
    <sheetView tabSelected="1" view="pageBreakPreview" zoomScale="91" zoomScaleNormal="100" zoomScaleSheetLayoutView="91" workbookViewId="0">
      <selection activeCell="B5" sqref="B5:I5"/>
    </sheetView>
  </sheetViews>
  <sheetFormatPr baseColWidth="10" defaultColWidth="9.1640625" defaultRowHeight="11" x14ac:dyDescent="0.15"/>
  <cols>
    <col min="1" max="1" width="0.6640625" style="2" customWidth="1" collapsed="1"/>
    <col min="2" max="2" width="28.1640625" style="2" customWidth="1" collapsed="1"/>
    <col min="3" max="3" width="60.6640625" style="5" customWidth="1" collapsed="1"/>
    <col min="4" max="5" width="13.33203125" style="4" customWidth="1" collapsed="1"/>
    <col min="6" max="6" width="15.1640625" style="4" customWidth="1" collapsed="1"/>
    <col min="7" max="7" width="15.16406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34" t="s">
        <v>7</v>
      </c>
      <c r="C2" s="34"/>
      <c r="D2" s="34"/>
      <c r="E2" s="34"/>
      <c r="F2" s="34"/>
      <c r="G2" s="34"/>
      <c r="H2" s="34"/>
      <c r="I2" s="34"/>
      <c r="J2" s="24"/>
    </row>
    <row r="3" spans="1:11" s="1" customFormat="1" ht="13.5" customHeight="1" x14ac:dyDescent="0.15">
      <c r="A3" s="25"/>
      <c r="B3" s="35" t="s">
        <v>8</v>
      </c>
      <c r="C3" s="35"/>
      <c r="D3" s="35"/>
      <c r="E3" s="35"/>
      <c r="F3" s="35"/>
      <c r="G3" s="35"/>
      <c r="H3" s="35"/>
      <c r="I3" s="35"/>
      <c r="J3" s="25"/>
    </row>
    <row r="4" spans="1:11" s="1" customFormat="1" ht="13.5" customHeight="1" x14ac:dyDescent="0.15">
      <c r="A4" s="25"/>
      <c r="B4" s="33" t="s">
        <v>9</v>
      </c>
      <c r="C4" s="33"/>
      <c r="D4" s="33"/>
      <c r="E4" s="33"/>
      <c r="F4" s="33"/>
      <c r="G4" s="33"/>
      <c r="H4" s="33"/>
      <c r="I4" s="33"/>
      <c r="J4" s="25"/>
    </row>
    <row r="5" spans="1:11" customFormat="1" ht="13.5" customHeight="1" x14ac:dyDescent="0.15">
      <c r="A5" s="24"/>
      <c r="B5" s="36" t="s">
        <v>984</v>
      </c>
      <c r="C5" s="36"/>
      <c r="D5" s="36"/>
      <c r="E5" s="36"/>
      <c r="F5" s="36"/>
      <c r="G5" s="36"/>
      <c r="H5" s="36"/>
      <c r="I5" s="36"/>
      <c r="J5" s="24"/>
    </row>
    <row r="6" spans="1:11" customFormat="1" ht="13.5" customHeight="1" x14ac:dyDescent="0.15">
      <c r="A6" s="24"/>
      <c r="B6" s="33"/>
      <c r="C6" s="33"/>
      <c r="D6" s="33"/>
      <c r="E6" s="33"/>
      <c r="F6" s="33"/>
      <c r="G6" s="33"/>
      <c r="H6" s="33"/>
      <c r="I6" s="33"/>
      <c r="J6" s="24"/>
    </row>
    <row r="7" spans="1:11" customFormat="1" ht="8.25" customHeight="1" x14ac:dyDescent="0.15">
      <c r="B7" s="6"/>
      <c r="C7" s="6"/>
      <c r="D7" s="6"/>
      <c r="E7" s="6"/>
      <c r="F7" s="6"/>
      <c r="G7" s="6"/>
      <c r="H7" s="6"/>
      <c r="I7" s="6"/>
    </row>
    <row r="8" spans="1:11" customFormat="1" ht="13" x14ac:dyDescent="0.15">
      <c r="A8" s="7"/>
      <c r="B8" s="13"/>
      <c r="C8" s="13"/>
      <c r="D8" s="40" t="s">
        <v>6</v>
      </c>
      <c r="E8" s="41"/>
      <c r="F8" s="40" t="s">
        <v>5</v>
      </c>
      <c r="G8" s="41"/>
      <c r="H8" s="42" t="s">
        <v>4</v>
      </c>
      <c r="I8" s="42"/>
      <c r="J8" s="10"/>
    </row>
    <row r="9" spans="1:11" customFormat="1" ht="13" x14ac:dyDescent="0.15">
      <c r="A9" s="8"/>
      <c r="B9" s="14" t="s">
        <v>2</v>
      </c>
      <c r="C9" s="26" t="s">
        <v>3</v>
      </c>
      <c r="D9" s="37" t="s">
        <v>10</v>
      </c>
      <c r="E9" s="38"/>
      <c r="F9" s="37" t="s">
        <v>11</v>
      </c>
      <c r="G9" s="38"/>
      <c r="H9" s="39" t="s">
        <v>12</v>
      </c>
      <c r="I9" s="39"/>
      <c r="J9" s="12"/>
    </row>
    <row r="10" spans="1:11" x14ac:dyDescent="0.15">
      <c r="A10" s="9"/>
      <c r="B10" s="15"/>
      <c r="C10" s="16"/>
      <c r="D10" s="17" t="s">
        <v>0</v>
      </c>
      <c r="E10" s="18" t="s">
        <v>1</v>
      </c>
      <c r="F10" s="17" t="s">
        <v>0</v>
      </c>
      <c r="G10" s="18" t="s">
        <v>1</v>
      </c>
      <c r="H10" s="19" t="s">
        <v>0</v>
      </c>
      <c r="I10" s="19" t="s">
        <v>1</v>
      </c>
      <c r="J10" s="11"/>
    </row>
    <row r="11" spans="1:11" ht="13" x14ac:dyDescent="0.15">
      <c r="B11" s="29" t="s">
        <v>13</v>
      </c>
      <c r="C11" s="29" t="s">
        <v>14</v>
      </c>
      <c r="D11" s="31">
        <f>SUMIFS(D12:D631,K12:K631,"0",B12:B631,"1*")-SUMIFS(E12:E631,K12:K631,"0",B12:B631,"1*")</f>
        <v>1685038.5999999992</v>
      </c>
      <c r="E11"/>
      <c r="F11" s="31">
        <f>SUMIFS(F12:F631,K12:K631,"0",B12:B631,"1*")</f>
        <v>275276714.08999997</v>
      </c>
      <c r="G11" s="31">
        <f>SUMIFS(G12:G631,K12:K631,"0",B12:B631,"1*")</f>
        <v>207579336.86000001</v>
      </c>
      <c r="H11" s="31">
        <f t="shared" ref="H11:H74" si="0">D11 + F11 - G11</f>
        <v>69382415.829999983</v>
      </c>
      <c r="I11" s="31"/>
      <c r="K11" t="s">
        <v>13</v>
      </c>
    </row>
    <row r="12" spans="1:11" ht="13" x14ac:dyDescent="0.15">
      <c r="B12" s="29" t="s">
        <v>15</v>
      </c>
      <c r="C12" s="29" t="s">
        <v>16</v>
      </c>
      <c r="D12" s="31">
        <f>SUMIFS(D13:D631,K13:K631,"0",B13:B631,"1 1*")-SUMIFS(E13:E631,K13:K631,"0",B13:B631,"1 1*")</f>
        <v>47978.73</v>
      </c>
      <c r="E12"/>
      <c r="F12" s="31">
        <f>SUMIFS(F13:F631,K13:K631,"0",B13:B631,"1 1*")</f>
        <v>207097283</v>
      </c>
      <c r="G12" s="31">
        <f>SUMIFS(G13:G631,K13:K631,"0",B13:B631,"1 1*")</f>
        <v>207096380.65999997</v>
      </c>
      <c r="H12" s="31">
        <f t="shared" si="0"/>
        <v>48881.07000002265</v>
      </c>
      <c r="I12" s="31"/>
      <c r="K12" t="s">
        <v>13</v>
      </c>
    </row>
    <row r="13" spans="1:11" ht="13" x14ac:dyDescent="0.15">
      <c r="B13" s="29" t="s">
        <v>17</v>
      </c>
      <c r="C13" s="29" t="s">
        <v>18</v>
      </c>
      <c r="D13" s="31">
        <f>SUMIFS(D14:D631,K14:K631,"0",B14:B631,"1 1 1*")-SUMIFS(E14:E631,K14:K631,"0",B14:B631,"1 1 1*")</f>
        <v>45468.91</v>
      </c>
      <c r="E13"/>
      <c r="F13" s="31">
        <f>SUMIFS(F14:F631,K14:K631,"0",B14:B631,"1 1 1*")</f>
        <v>135771487.80000001</v>
      </c>
      <c r="G13" s="31">
        <f>SUMIFS(G14:G631,K14:K631,"0",B14:B631,"1 1 1*")</f>
        <v>135771114.57999998</v>
      </c>
      <c r="H13" s="31">
        <f t="shared" si="0"/>
        <v>45842.130000025034</v>
      </c>
      <c r="I13" s="31"/>
      <c r="K13" t="s">
        <v>13</v>
      </c>
    </row>
    <row r="14" spans="1:11" ht="13" x14ac:dyDescent="0.15">
      <c r="B14" s="29" t="s">
        <v>19</v>
      </c>
      <c r="C14" s="29" t="s">
        <v>20</v>
      </c>
      <c r="D14" s="31">
        <f>SUMIFS(D15:D631,K15:K631,"0",B15:B631,"1 1 1 2*")-SUMIFS(E15:E631,K15:K631,"0",B15:B631,"1 1 1 2*")</f>
        <v>45468.91</v>
      </c>
      <c r="E14"/>
      <c r="F14" s="31">
        <f>SUMIFS(F15:F631,K15:K631,"0",B15:B631,"1 1 1 2*")</f>
        <v>135771487.80000001</v>
      </c>
      <c r="G14" s="31">
        <f>SUMIFS(G15:G631,K15:K631,"0",B15:B631,"1 1 1 2*")</f>
        <v>135771114.57999998</v>
      </c>
      <c r="H14" s="31">
        <f t="shared" si="0"/>
        <v>45842.130000025034</v>
      </c>
      <c r="I14" s="31"/>
      <c r="K14" t="s">
        <v>13</v>
      </c>
    </row>
    <row r="15" spans="1:11" ht="13" x14ac:dyDescent="0.15">
      <c r="B15" s="29" t="s">
        <v>21</v>
      </c>
      <c r="C15" s="29" t="s">
        <v>22</v>
      </c>
      <c r="D15" s="31">
        <f>SUMIFS(D16:D631,K16:K631,"0",B16:B631,"1 1 1 2 1*")-SUMIFS(E16:E631,K16:K631,"0",B16:B631,"1 1 1 2 1*")</f>
        <v>45468.91</v>
      </c>
      <c r="E15"/>
      <c r="F15" s="31">
        <f>SUMIFS(F16:F631,K16:K631,"0",B16:B631,"1 1 1 2 1*")</f>
        <v>135771487.80000001</v>
      </c>
      <c r="G15" s="31">
        <f>SUMIFS(G16:G631,K16:K631,"0",B16:B631,"1 1 1 2 1*")</f>
        <v>135771114.57999998</v>
      </c>
      <c r="H15" s="31">
        <f t="shared" si="0"/>
        <v>45842.130000025034</v>
      </c>
      <c r="I15" s="31"/>
      <c r="K15" t="s">
        <v>13</v>
      </c>
    </row>
    <row r="16" spans="1:11" ht="13" x14ac:dyDescent="0.15">
      <c r="B16" s="29" t="s">
        <v>23</v>
      </c>
      <c r="C16" s="29" t="s">
        <v>24</v>
      </c>
      <c r="D16" s="31">
        <f>SUMIFS(D17:D631,K17:K631,"0",B17:B631,"1 1 1 2 1 12*")-SUMIFS(E17:E631,K17:K631,"0",B17:B631,"1 1 1 2 1 12*")</f>
        <v>45468.91</v>
      </c>
      <c r="E16"/>
      <c r="F16" s="31">
        <f>SUMIFS(F17:F631,K17:K631,"0",B17:B631,"1 1 1 2 1 12*")</f>
        <v>135771487.80000001</v>
      </c>
      <c r="G16" s="31">
        <f>SUMIFS(G17:G631,K17:K631,"0",B17:B631,"1 1 1 2 1 12*")</f>
        <v>135771114.57999998</v>
      </c>
      <c r="H16" s="31">
        <f t="shared" si="0"/>
        <v>45842.130000025034</v>
      </c>
      <c r="I16" s="31"/>
      <c r="K16" t="s">
        <v>13</v>
      </c>
    </row>
    <row r="17" spans="2:11" ht="13" x14ac:dyDescent="0.15">
      <c r="B17" s="29" t="s">
        <v>25</v>
      </c>
      <c r="C17" s="29" t="s">
        <v>26</v>
      </c>
      <c r="D17" s="31">
        <f>SUMIFS(D18:D631,K18:K631,"0",B18:B631,"1 1 1 2 1 12 31111*")-SUMIFS(E18:E631,K18:K631,"0",B18:B631,"1 1 1 2 1 12 31111*")</f>
        <v>45468.91</v>
      </c>
      <c r="E17"/>
      <c r="F17" s="31">
        <f>SUMIFS(F18:F631,K18:K631,"0",B18:B631,"1 1 1 2 1 12 31111*")</f>
        <v>135771487.80000001</v>
      </c>
      <c r="G17" s="31">
        <f>SUMIFS(G18:G631,K18:K631,"0",B18:B631,"1 1 1 2 1 12 31111*")</f>
        <v>135771114.57999998</v>
      </c>
      <c r="H17" s="31">
        <f t="shared" si="0"/>
        <v>45842.130000025034</v>
      </c>
      <c r="I17" s="31"/>
      <c r="K17" t="s">
        <v>13</v>
      </c>
    </row>
    <row r="18" spans="2:11" ht="13" x14ac:dyDescent="0.15">
      <c r="B18" s="29" t="s">
        <v>27</v>
      </c>
      <c r="C18" s="29" t="s">
        <v>28</v>
      </c>
      <c r="D18" s="31">
        <f>SUMIFS(D19:D631,K19:K631,"0",B19:B631,"1 1 1 2 1 12 31111 6*")-SUMIFS(E19:E631,K19:K631,"0",B19:B631,"1 1 1 2 1 12 31111 6*")</f>
        <v>45468.91</v>
      </c>
      <c r="E18"/>
      <c r="F18" s="31">
        <f>SUMIFS(F19:F631,K19:K631,"0",B19:B631,"1 1 1 2 1 12 31111 6*")</f>
        <v>135771487.80000001</v>
      </c>
      <c r="G18" s="31">
        <f>SUMIFS(G19:G631,K19:K631,"0",B19:B631,"1 1 1 2 1 12 31111 6*")</f>
        <v>135771114.57999998</v>
      </c>
      <c r="H18" s="31">
        <f t="shared" si="0"/>
        <v>45842.130000025034</v>
      </c>
      <c r="I18" s="31"/>
      <c r="K18" t="s">
        <v>13</v>
      </c>
    </row>
    <row r="19" spans="2:11" ht="13" x14ac:dyDescent="0.15">
      <c r="B19" s="29" t="s">
        <v>29</v>
      </c>
      <c r="C19" s="29" t="s">
        <v>30</v>
      </c>
      <c r="D19" s="31">
        <f>SUMIFS(D20:D631,K20:K631,"0",B20:B631,"1 1 1 2 1 12 31111 6 M78*")-SUMIFS(E20:E631,K20:K631,"0",B20:B631,"1 1 1 2 1 12 31111 6 M78*")</f>
        <v>45468.91</v>
      </c>
      <c r="E19"/>
      <c r="F19" s="31">
        <f>SUMIFS(F20:F631,K20:K631,"0",B20:B631,"1 1 1 2 1 12 31111 6 M78*")</f>
        <v>135771487.80000001</v>
      </c>
      <c r="G19" s="31">
        <f>SUMIFS(G20:G631,K20:K631,"0",B20:B631,"1 1 1 2 1 12 31111 6 M78*")</f>
        <v>135771114.57999998</v>
      </c>
      <c r="H19" s="31">
        <f t="shared" si="0"/>
        <v>45842.130000025034</v>
      </c>
      <c r="I19" s="31"/>
      <c r="K19" t="s">
        <v>13</v>
      </c>
    </row>
    <row r="20" spans="2:11" ht="13" x14ac:dyDescent="0.15">
      <c r="B20" s="29" t="s">
        <v>31</v>
      </c>
      <c r="C20" s="29" t="s">
        <v>32</v>
      </c>
      <c r="D20" s="31">
        <f>SUMIFS(D21:D631,K21:K631,"0",B21:B631,"1 1 1 2 1 12 31111 6 M78 00002*")-SUMIFS(E21:E631,K21:K631,"0",B21:B631,"1 1 1 2 1 12 31111 6 M78 00002*")</f>
        <v>45468.91</v>
      </c>
      <c r="E20"/>
      <c r="F20" s="31">
        <f>SUMIFS(F21:F631,K21:K631,"0",B21:B631,"1 1 1 2 1 12 31111 6 M78 00002*")</f>
        <v>135771487.80000001</v>
      </c>
      <c r="G20" s="31">
        <f>SUMIFS(G21:G631,K21:K631,"0",B21:B631,"1 1 1 2 1 12 31111 6 M78 00002*")</f>
        <v>135771114.57999998</v>
      </c>
      <c r="H20" s="31">
        <f t="shared" si="0"/>
        <v>45842.130000025034</v>
      </c>
      <c r="I20" s="31"/>
      <c r="K20" t="s">
        <v>13</v>
      </c>
    </row>
    <row r="21" spans="2:11" ht="13" x14ac:dyDescent="0.15">
      <c r="B21" s="29" t="s">
        <v>33</v>
      </c>
      <c r="C21" s="29" t="s">
        <v>34</v>
      </c>
      <c r="D21" s="31">
        <f>SUMIFS(D22:D631,K22:K631,"0",B22:B631,"1 1 1 2 1 12 31111 6 M78 00002 002*")-SUMIFS(E22:E631,K22:K631,"0",B22:B631,"1 1 1 2 1 12 31111 6 M78 00002 002*")</f>
        <v>45468.91</v>
      </c>
      <c r="E21"/>
      <c r="F21" s="31">
        <f>SUMIFS(F22:F631,K22:K631,"0",B22:B631,"1 1 1 2 1 12 31111 6 M78 00002 002*")</f>
        <v>135771487.80000001</v>
      </c>
      <c r="G21" s="31">
        <f>SUMIFS(G22:G631,K22:K631,"0",B22:B631,"1 1 1 2 1 12 31111 6 M78 00002 002*")</f>
        <v>135771114.57999998</v>
      </c>
      <c r="H21" s="31">
        <f t="shared" si="0"/>
        <v>45842.130000025034</v>
      </c>
      <c r="I21" s="31"/>
      <c r="K21" t="s">
        <v>13</v>
      </c>
    </row>
    <row r="22" spans="2:11" ht="13" x14ac:dyDescent="0.15">
      <c r="B22" s="27" t="s">
        <v>35</v>
      </c>
      <c r="C22" s="27" t="s">
        <v>36</v>
      </c>
      <c r="D22" s="30">
        <v>16427.53</v>
      </c>
      <c r="E22" s="30"/>
      <c r="F22" s="30">
        <v>0</v>
      </c>
      <c r="G22" s="30">
        <v>0</v>
      </c>
      <c r="H22" s="30">
        <f t="shared" si="0"/>
        <v>16427.53</v>
      </c>
      <c r="I22" s="30"/>
      <c r="K22" t="s">
        <v>37</v>
      </c>
    </row>
    <row r="23" spans="2:11" ht="13" x14ac:dyDescent="0.15">
      <c r="B23" s="27" t="s">
        <v>38</v>
      </c>
      <c r="C23" s="27" t="s">
        <v>39</v>
      </c>
      <c r="D23" s="30">
        <v>0</v>
      </c>
      <c r="E23" s="30"/>
      <c r="F23" s="30">
        <v>32448732.579999998</v>
      </c>
      <c r="G23" s="30">
        <v>32448732.579999998</v>
      </c>
      <c r="H23" s="30">
        <f t="shared" si="0"/>
        <v>0</v>
      </c>
      <c r="I23" s="30"/>
      <c r="K23" t="s">
        <v>37</v>
      </c>
    </row>
    <row r="24" spans="2:11" ht="13" x14ac:dyDescent="0.15">
      <c r="B24" s="27" t="s">
        <v>40</v>
      </c>
      <c r="C24" s="27" t="s">
        <v>41</v>
      </c>
      <c r="D24" s="30">
        <v>29041.38</v>
      </c>
      <c r="E24" s="30"/>
      <c r="F24" s="30">
        <v>0</v>
      </c>
      <c r="G24" s="30">
        <v>0</v>
      </c>
      <c r="H24" s="30">
        <f t="shared" si="0"/>
        <v>29041.38</v>
      </c>
      <c r="I24" s="30"/>
      <c r="K24" t="s">
        <v>37</v>
      </c>
    </row>
    <row r="25" spans="2:11" ht="13" x14ac:dyDescent="0.15">
      <c r="B25" s="27" t="s">
        <v>42</v>
      </c>
      <c r="C25" s="27" t="s">
        <v>43</v>
      </c>
      <c r="D25" s="30">
        <v>0</v>
      </c>
      <c r="E25" s="30"/>
      <c r="F25" s="30">
        <v>103322755.22</v>
      </c>
      <c r="G25" s="30">
        <v>103322382</v>
      </c>
      <c r="H25" s="30">
        <f t="shared" si="0"/>
        <v>373.21999999880791</v>
      </c>
      <c r="I25" s="30"/>
      <c r="K25" t="s">
        <v>37</v>
      </c>
    </row>
    <row r="26" spans="2:11" ht="13" x14ac:dyDescent="0.15">
      <c r="B26" s="29" t="s">
        <v>44</v>
      </c>
      <c r="C26" s="29" t="s">
        <v>45</v>
      </c>
      <c r="D26" s="31">
        <f>SUMIFS(D27:D631,K27:K631,"0",B27:B631,"1 1 2*")-SUMIFS(E27:E631,K27:K631,"0",B27:B631,"1 1 2*")</f>
        <v>-1.06</v>
      </c>
      <c r="E26"/>
      <c r="F26" s="31">
        <f>SUMIFS(F27:F631,K27:K631,"0",B27:B631,"1 1 2*")</f>
        <v>71325795.200000003</v>
      </c>
      <c r="G26" s="31">
        <f>SUMIFS(G27:G631,K27:K631,"0",B27:B631,"1 1 2*")</f>
        <v>71322755.200000003</v>
      </c>
      <c r="H26" s="31">
        <f t="shared" si="0"/>
        <v>3038.9399999976158</v>
      </c>
      <c r="I26" s="31"/>
      <c r="K26" t="s">
        <v>13</v>
      </c>
    </row>
    <row r="27" spans="2:11" ht="13" x14ac:dyDescent="0.15">
      <c r="B27" s="29" t="s">
        <v>46</v>
      </c>
      <c r="C27" s="29" t="s">
        <v>47</v>
      </c>
      <c r="D27" s="31">
        <f>SUMIFS(D28:D631,K28:K631,"0",B28:B631,"1 1 2 2*")-SUMIFS(E28:E631,K28:K631,"0",B28:B631,"1 1 2 2*")</f>
        <v>0</v>
      </c>
      <c r="E27"/>
      <c r="F27" s="31">
        <f>SUMIFS(F28:F631,K28:K631,"0",B28:B631,"1 1 2 2*")</f>
        <v>69748661.599999994</v>
      </c>
      <c r="G27" s="31">
        <f>SUMIFS(G28:G631,K28:K631,"0",B28:B631,"1 1 2 2*")</f>
        <v>69748661.599999994</v>
      </c>
      <c r="H27" s="31">
        <f t="shared" si="0"/>
        <v>0</v>
      </c>
      <c r="I27" s="31"/>
      <c r="K27" t="s">
        <v>13</v>
      </c>
    </row>
    <row r="28" spans="2:11" ht="13" x14ac:dyDescent="0.15">
      <c r="B28" s="29" t="s">
        <v>48</v>
      </c>
      <c r="C28" s="29" t="s">
        <v>49</v>
      </c>
      <c r="D28" s="31">
        <f>SUMIFS(D29:D631,K29:K631,"0",B29:B631,"1 1 2 2 5*")-SUMIFS(E29:E631,K29:K631,"0",B29:B631,"1 1 2 2 5*")</f>
        <v>0</v>
      </c>
      <c r="E28"/>
      <c r="F28" s="31">
        <f>SUMIFS(F29:F631,K29:K631,"0",B29:B631,"1 1 2 2 5*")</f>
        <v>69748661.599999994</v>
      </c>
      <c r="G28" s="31">
        <f>SUMIFS(G29:G631,K29:K631,"0",B29:B631,"1 1 2 2 5*")</f>
        <v>69748661.599999994</v>
      </c>
      <c r="H28" s="31">
        <f t="shared" si="0"/>
        <v>0</v>
      </c>
      <c r="I28" s="31"/>
      <c r="K28" t="s">
        <v>13</v>
      </c>
    </row>
    <row r="29" spans="2:11" ht="13" x14ac:dyDescent="0.15">
      <c r="B29" s="29" t="s">
        <v>50</v>
      </c>
      <c r="C29" s="29" t="s">
        <v>24</v>
      </c>
      <c r="D29" s="31">
        <f>SUMIFS(D30:D631,K30:K631,"0",B30:B631,"1 1 2 2 5 12*")-SUMIFS(E30:E631,K30:K631,"0",B30:B631,"1 1 2 2 5 12*")</f>
        <v>0</v>
      </c>
      <c r="E29"/>
      <c r="F29" s="31">
        <f>SUMIFS(F30:F631,K30:K631,"0",B30:B631,"1 1 2 2 5 12*")</f>
        <v>69748661.599999994</v>
      </c>
      <c r="G29" s="31">
        <f>SUMIFS(G30:G631,K30:K631,"0",B30:B631,"1 1 2 2 5 12*")</f>
        <v>69748661.599999994</v>
      </c>
      <c r="H29" s="31">
        <f t="shared" si="0"/>
        <v>0</v>
      </c>
      <c r="I29" s="31"/>
      <c r="K29" t="s">
        <v>13</v>
      </c>
    </row>
    <row r="30" spans="2:11" ht="13" x14ac:dyDescent="0.15">
      <c r="B30" s="29" t="s">
        <v>51</v>
      </c>
      <c r="C30" s="29" t="s">
        <v>26</v>
      </c>
      <c r="D30" s="31">
        <f>SUMIFS(D31:D631,K31:K631,"0",B31:B631,"1 1 2 2 5 12 31111*")-SUMIFS(E31:E631,K31:K631,"0",B31:B631,"1 1 2 2 5 12 31111*")</f>
        <v>0</v>
      </c>
      <c r="E30"/>
      <c r="F30" s="31">
        <f>SUMIFS(F31:F631,K31:K631,"0",B31:B631,"1 1 2 2 5 12 31111*")</f>
        <v>69748661.599999994</v>
      </c>
      <c r="G30" s="31">
        <f>SUMIFS(G31:G631,K31:K631,"0",B31:B631,"1 1 2 2 5 12 31111*")</f>
        <v>69748661.599999994</v>
      </c>
      <c r="H30" s="31">
        <f t="shared" si="0"/>
        <v>0</v>
      </c>
      <c r="I30" s="31"/>
      <c r="K30" t="s">
        <v>13</v>
      </c>
    </row>
    <row r="31" spans="2:11" ht="13" x14ac:dyDescent="0.15">
      <c r="B31" s="29" t="s">
        <v>52</v>
      </c>
      <c r="C31" s="29" t="s">
        <v>28</v>
      </c>
      <c r="D31" s="31">
        <f>SUMIFS(D32:D631,K32:K631,"0",B32:B631,"1 1 2 2 5 12 31111 6*")-SUMIFS(E32:E631,K32:K631,"0",B32:B631,"1 1 2 2 5 12 31111 6*")</f>
        <v>0</v>
      </c>
      <c r="E31"/>
      <c r="F31" s="31">
        <f>SUMIFS(F32:F631,K32:K631,"0",B32:B631,"1 1 2 2 5 12 31111 6*")</f>
        <v>69748661.599999994</v>
      </c>
      <c r="G31" s="31">
        <f>SUMIFS(G32:G631,K32:K631,"0",B32:B631,"1 1 2 2 5 12 31111 6*")</f>
        <v>69748661.599999994</v>
      </c>
      <c r="H31" s="31">
        <f t="shared" si="0"/>
        <v>0</v>
      </c>
      <c r="I31" s="31"/>
      <c r="K31" t="s">
        <v>13</v>
      </c>
    </row>
    <row r="32" spans="2:11" ht="13" x14ac:dyDescent="0.15">
      <c r="B32" s="29" t="s">
        <v>53</v>
      </c>
      <c r="C32" s="29" t="s">
        <v>30</v>
      </c>
      <c r="D32" s="31">
        <f>SUMIFS(D33:D631,K33:K631,"0",B33:B631,"1 1 2 2 5 12 31111 6 M78*")-SUMIFS(E33:E631,K33:K631,"0",B33:B631,"1 1 2 2 5 12 31111 6 M78*")</f>
        <v>0</v>
      </c>
      <c r="E32"/>
      <c r="F32" s="31">
        <f>SUMIFS(F33:F631,K33:K631,"0",B33:B631,"1 1 2 2 5 12 31111 6 M78*")</f>
        <v>69748661.599999994</v>
      </c>
      <c r="G32" s="31">
        <f>SUMIFS(G33:G631,K33:K631,"0",B33:B631,"1 1 2 2 5 12 31111 6 M78*")</f>
        <v>69748661.599999994</v>
      </c>
      <c r="H32" s="31">
        <f t="shared" si="0"/>
        <v>0</v>
      </c>
      <c r="I32" s="31"/>
      <c r="K32" t="s">
        <v>13</v>
      </c>
    </row>
    <row r="33" spans="2:11" ht="13" x14ac:dyDescent="0.15">
      <c r="B33" s="29" t="s">
        <v>54</v>
      </c>
      <c r="C33" s="29" t="s">
        <v>32</v>
      </c>
      <c r="D33" s="31">
        <f>SUMIFS(D34:D631,K34:K631,"0",B34:B631,"1 1 2 2 5 12 31111 6 M78 00002*")-SUMIFS(E34:E631,K34:K631,"0",B34:B631,"1 1 2 2 5 12 31111 6 M78 00002*")</f>
        <v>0</v>
      </c>
      <c r="E33"/>
      <c r="F33" s="31">
        <f>SUMIFS(F34:F631,K34:K631,"0",B34:B631,"1 1 2 2 5 12 31111 6 M78 00002*")</f>
        <v>69748661.599999994</v>
      </c>
      <c r="G33" s="31">
        <f>SUMIFS(G34:G631,K34:K631,"0",B34:B631,"1 1 2 2 5 12 31111 6 M78 00002*")</f>
        <v>69748661.599999994</v>
      </c>
      <c r="H33" s="31">
        <f t="shared" si="0"/>
        <v>0</v>
      </c>
      <c r="I33" s="31"/>
      <c r="K33" t="s">
        <v>13</v>
      </c>
    </row>
    <row r="34" spans="2:11" ht="13" x14ac:dyDescent="0.15">
      <c r="B34" s="29" t="s">
        <v>55</v>
      </c>
      <c r="C34" s="29" t="s">
        <v>34</v>
      </c>
      <c r="D34" s="31">
        <f>SUMIFS(D35:D631,K35:K631,"0",B35:B631,"1 1 2 2 5 12 31111 6 M78 00002 002*")-SUMIFS(E35:E631,K35:K631,"0",B35:B631,"1 1 2 2 5 12 31111 6 M78 00002 002*")</f>
        <v>0</v>
      </c>
      <c r="E34"/>
      <c r="F34" s="31">
        <f>SUMIFS(F35:F631,K35:K631,"0",B35:B631,"1 1 2 2 5 12 31111 6 M78 00002 002*")</f>
        <v>69748661.599999994</v>
      </c>
      <c r="G34" s="31">
        <f>SUMIFS(G35:G631,K35:K631,"0",B35:B631,"1 1 2 2 5 12 31111 6 M78 00002 002*")</f>
        <v>69748661.599999994</v>
      </c>
      <c r="H34" s="31">
        <f t="shared" si="0"/>
        <v>0</v>
      </c>
      <c r="I34" s="31"/>
      <c r="K34" t="s">
        <v>13</v>
      </c>
    </row>
    <row r="35" spans="2:11" ht="13" x14ac:dyDescent="0.15">
      <c r="B35" s="27" t="s">
        <v>56</v>
      </c>
      <c r="C35" s="27" t="s">
        <v>57</v>
      </c>
      <c r="D35" s="30">
        <v>0</v>
      </c>
      <c r="E35" s="30"/>
      <c r="F35" s="30">
        <v>69748661.599999994</v>
      </c>
      <c r="G35" s="30">
        <v>69748661.599999994</v>
      </c>
      <c r="H35" s="30">
        <f t="shared" si="0"/>
        <v>0</v>
      </c>
      <c r="I35" s="30"/>
      <c r="K35" t="s">
        <v>37</v>
      </c>
    </row>
    <row r="36" spans="2:11" ht="13" x14ac:dyDescent="0.15">
      <c r="B36" s="29" t="s">
        <v>58</v>
      </c>
      <c r="C36" s="29" t="s">
        <v>59</v>
      </c>
      <c r="D36" s="31">
        <f>SUMIFS(D37:D631,K37:K631,"0",B37:B631,"1 1 2 3*")-SUMIFS(E37:E631,K37:K631,"0",B37:B631,"1 1 2 3*")</f>
        <v>-1.06</v>
      </c>
      <c r="E36"/>
      <c r="F36" s="31">
        <f>SUMIFS(F37:F631,K37:K631,"0",B37:B631,"1 1 2 3*")</f>
        <v>1050849.95</v>
      </c>
      <c r="G36" s="31">
        <f>SUMIFS(G37:G631,K37:K631,"0",B37:B631,"1 1 2 3*")</f>
        <v>1047809.95</v>
      </c>
      <c r="H36" s="31">
        <f t="shared" si="0"/>
        <v>3038.9399999999441</v>
      </c>
      <c r="I36" s="31"/>
      <c r="K36" t="s">
        <v>13</v>
      </c>
    </row>
    <row r="37" spans="2:11" ht="13" x14ac:dyDescent="0.15">
      <c r="B37" s="29" t="s">
        <v>60</v>
      </c>
      <c r="C37" s="29" t="s">
        <v>61</v>
      </c>
      <c r="D37" s="31">
        <f>SUMIFS(D38:D631,K38:K631,"0",B38:B631,"1 1 2 3 1*")-SUMIFS(E38:E631,K38:K631,"0",B38:B631,"1 1 2 3 1*")</f>
        <v>-1.06</v>
      </c>
      <c r="E37"/>
      <c r="F37" s="31">
        <f>SUMIFS(F38:F631,K38:K631,"0",B38:B631,"1 1 2 3 1*")</f>
        <v>1050849.95</v>
      </c>
      <c r="G37" s="31">
        <f>SUMIFS(G38:G631,K38:K631,"0",B38:B631,"1 1 2 3 1*")</f>
        <v>1047809.95</v>
      </c>
      <c r="H37" s="31">
        <f t="shared" si="0"/>
        <v>3038.9399999999441</v>
      </c>
      <c r="I37" s="31"/>
      <c r="K37" t="s">
        <v>13</v>
      </c>
    </row>
    <row r="38" spans="2:11" ht="13" x14ac:dyDescent="0.15">
      <c r="B38" s="29" t="s">
        <v>62</v>
      </c>
      <c r="C38" s="29" t="s">
        <v>24</v>
      </c>
      <c r="D38" s="31">
        <f>SUMIFS(D39:D631,K39:K631,"0",B39:B631,"1 1 2 3 1 12*")-SUMIFS(E39:E631,K39:K631,"0",B39:B631,"1 1 2 3 1 12*")</f>
        <v>-1.06</v>
      </c>
      <c r="E38"/>
      <c r="F38" s="31">
        <f>SUMIFS(F39:F631,K39:K631,"0",B39:B631,"1 1 2 3 1 12*")</f>
        <v>1050849.95</v>
      </c>
      <c r="G38" s="31">
        <f>SUMIFS(G39:G631,K39:K631,"0",B39:B631,"1 1 2 3 1 12*")</f>
        <v>1047809.95</v>
      </c>
      <c r="H38" s="31">
        <f t="shared" si="0"/>
        <v>3038.9399999999441</v>
      </c>
      <c r="I38" s="31"/>
      <c r="K38" t="s">
        <v>13</v>
      </c>
    </row>
    <row r="39" spans="2:11" ht="13" x14ac:dyDescent="0.15">
      <c r="B39" s="29" t="s">
        <v>63</v>
      </c>
      <c r="C39" s="29" t="s">
        <v>26</v>
      </c>
      <c r="D39" s="31">
        <f>SUMIFS(D40:D631,K40:K631,"0",B40:B631,"1 1 2 3 1 12 31111*")-SUMIFS(E40:E631,K40:K631,"0",B40:B631,"1 1 2 3 1 12 31111*")</f>
        <v>-1.06</v>
      </c>
      <c r="E39"/>
      <c r="F39" s="31">
        <f>SUMIFS(F40:F631,K40:K631,"0",B40:B631,"1 1 2 3 1 12 31111*")</f>
        <v>1050849.95</v>
      </c>
      <c r="G39" s="31">
        <f>SUMIFS(G40:G631,K40:K631,"0",B40:B631,"1 1 2 3 1 12 31111*")</f>
        <v>1047809.95</v>
      </c>
      <c r="H39" s="31">
        <f t="shared" si="0"/>
        <v>3038.9399999999441</v>
      </c>
      <c r="I39" s="31"/>
      <c r="K39" t="s">
        <v>13</v>
      </c>
    </row>
    <row r="40" spans="2:11" ht="13" x14ac:dyDescent="0.15">
      <c r="B40" s="29" t="s">
        <v>64</v>
      </c>
      <c r="C40" s="29" t="s">
        <v>28</v>
      </c>
      <c r="D40" s="31">
        <f>SUMIFS(D41:D631,K41:K631,"0",B41:B631,"1 1 2 3 1 12 31111 6*")-SUMIFS(E41:E631,K41:K631,"0",B41:B631,"1 1 2 3 1 12 31111 6*")</f>
        <v>-1.06</v>
      </c>
      <c r="E40"/>
      <c r="F40" s="31">
        <f>SUMIFS(F41:F631,K41:K631,"0",B41:B631,"1 1 2 3 1 12 31111 6*")</f>
        <v>1050849.95</v>
      </c>
      <c r="G40" s="31">
        <f>SUMIFS(G41:G631,K41:K631,"0",B41:B631,"1 1 2 3 1 12 31111 6*")</f>
        <v>1047809.95</v>
      </c>
      <c r="H40" s="31">
        <f t="shared" si="0"/>
        <v>3038.9399999999441</v>
      </c>
      <c r="I40" s="31"/>
      <c r="K40" t="s">
        <v>13</v>
      </c>
    </row>
    <row r="41" spans="2:11" ht="13" x14ac:dyDescent="0.15">
      <c r="B41" s="29" t="s">
        <v>65</v>
      </c>
      <c r="C41" s="29" t="s">
        <v>30</v>
      </c>
      <c r="D41" s="31">
        <f>SUMIFS(D42:D631,K42:K631,"0",B42:B631,"1 1 2 3 1 12 31111 6 M78*")-SUMIFS(E42:E631,K42:K631,"0",B42:B631,"1 1 2 3 1 12 31111 6 M78*")</f>
        <v>-1.06</v>
      </c>
      <c r="E41"/>
      <c r="F41" s="31">
        <f>SUMIFS(F42:F631,K42:K631,"0",B42:B631,"1 1 2 3 1 12 31111 6 M78*")</f>
        <v>1050849.95</v>
      </c>
      <c r="G41" s="31">
        <f>SUMIFS(G42:G631,K42:K631,"0",B42:B631,"1 1 2 3 1 12 31111 6 M78*")</f>
        <v>1047809.95</v>
      </c>
      <c r="H41" s="31">
        <f t="shared" si="0"/>
        <v>3038.9399999999441</v>
      </c>
      <c r="I41" s="31"/>
      <c r="K41" t="s">
        <v>13</v>
      </c>
    </row>
    <row r="42" spans="2:11" ht="13" x14ac:dyDescent="0.15">
      <c r="B42" s="29" t="s">
        <v>66</v>
      </c>
      <c r="C42" s="29" t="s">
        <v>32</v>
      </c>
      <c r="D42" s="31">
        <f>SUMIFS(D43:D631,K43:K631,"0",B43:B631,"1 1 2 3 1 12 31111 6 M78 00002*")-SUMIFS(E43:E631,K43:K631,"0",B43:B631,"1 1 2 3 1 12 31111 6 M78 00002*")</f>
        <v>-1.06</v>
      </c>
      <c r="E42"/>
      <c r="F42" s="31">
        <f>SUMIFS(F43:F631,K43:K631,"0",B43:B631,"1 1 2 3 1 12 31111 6 M78 00002*")</f>
        <v>1050849.95</v>
      </c>
      <c r="G42" s="31">
        <f>SUMIFS(G43:G631,K43:K631,"0",B43:B631,"1 1 2 3 1 12 31111 6 M78 00002*")</f>
        <v>1047809.95</v>
      </c>
      <c r="H42" s="31">
        <f t="shared" si="0"/>
        <v>3038.9399999999441</v>
      </c>
      <c r="I42" s="31"/>
      <c r="K42" t="s">
        <v>13</v>
      </c>
    </row>
    <row r="43" spans="2:11" ht="13" x14ac:dyDescent="0.15">
      <c r="B43" s="29" t="s">
        <v>67</v>
      </c>
      <c r="C43" s="29" t="s">
        <v>68</v>
      </c>
      <c r="D43" s="31">
        <f>SUMIFS(D44:D631,K44:K631,"0",B44:B631,"1 1 2 3 1 12 31111 6 M78 00002 002*")-SUMIFS(E44:E631,K44:K631,"0",B44:B631,"1 1 2 3 1 12 31111 6 M78 00002 002*")</f>
        <v>-1.06</v>
      </c>
      <c r="E43"/>
      <c r="F43" s="31">
        <f>SUMIFS(F44:F631,K44:K631,"0",B44:B631,"1 1 2 3 1 12 31111 6 M78 00002 002*")</f>
        <v>1050849.95</v>
      </c>
      <c r="G43" s="31">
        <f>SUMIFS(G44:G631,K44:K631,"0",B44:B631,"1 1 2 3 1 12 31111 6 M78 00002 002*")</f>
        <v>1047809.95</v>
      </c>
      <c r="H43" s="31">
        <f t="shared" si="0"/>
        <v>3038.9399999999441</v>
      </c>
      <c r="I43" s="31"/>
      <c r="K43" t="s">
        <v>13</v>
      </c>
    </row>
    <row r="44" spans="2:11" ht="13" x14ac:dyDescent="0.15">
      <c r="B44" s="27" t="s">
        <v>69</v>
      </c>
      <c r="C44" s="27" t="s">
        <v>70</v>
      </c>
      <c r="D44" s="30">
        <v>-1.06</v>
      </c>
      <c r="E44" s="30"/>
      <c r="F44" s="30">
        <v>1050849.95</v>
      </c>
      <c r="G44" s="30">
        <v>1047809.95</v>
      </c>
      <c r="H44" s="30">
        <f t="shared" si="0"/>
        <v>3038.9399999999441</v>
      </c>
      <c r="I44" s="30"/>
      <c r="K44" t="s">
        <v>37</v>
      </c>
    </row>
    <row r="45" spans="2:11" ht="13" x14ac:dyDescent="0.15">
      <c r="B45" s="29" t="s">
        <v>71</v>
      </c>
      <c r="C45" s="29" t="s">
        <v>72</v>
      </c>
      <c r="D45" s="31">
        <f>SUMIFS(D46:D631,K46:K631,"0",B46:B631,"1 1 2 4*")-SUMIFS(E46:E631,K46:K631,"0",B46:B631,"1 1 2 4*")</f>
        <v>0</v>
      </c>
      <c r="E45"/>
      <c r="F45" s="31">
        <f>SUMIFS(F46:F631,K46:K631,"0",B46:B631,"1 1 2 4*")</f>
        <v>526283.65</v>
      </c>
      <c r="G45" s="31">
        <f>SUMIFS(G46:G631,K46:K631,"0",B46:B631,"1 1 2 4*")</f>
        <v>526283.65</v>
      </c>
      <c r="H45" s="31">
        <f t="shared" si="0"/>
        <v>0</v>
      </c>
      <c r="I45" s="31"/>
      <c r="K45" t="s">
        <v>13</v>
      </c>
    </row>
    <row r="46" spans="2:11" ht="13" x14ac:dyDescent="0.15">
      <c r="B46" s="29" t="s">
        <v>73</v>
      </c>
      <c r="C46" s="29" t="s">
        <v>74</v>
      </c>
      <c r="D46" s="31">
        <f>SUMIFS(D47:D631,K47:K631,"0",B47:B631,"1 1 2 4 4*")-SUMIFS(E47:E631,K47:K631,"0",B47:B631,"1 1 2 4 4*")</f>
        <v>0</v>
      </c>
      <c r="E46"/>
      <c r="F46" s="31">
        <f>SUMIFS(F47:F631,K47:K631,"0",B47:B631,"1 1 2 4 4*")</f>
        <v>526283.65</v>
      </c>
      <c r="G46" s="31">
        <f>SUMIFS(G47:G631,K47:K631,"0",B47:B631,"1 1 2 4 4*")</f>
        <v>526283.65</v>
      </c>
      <c r="H46" s="31">
        <f t="shared" si="0"/>
        <v>0</v>
      </c>
      <c r="I46" s="31"/>
      <c r="K46" t="s">
        <v>13</v>
      </c>
    </row>
    <row r="47" spans="2:11" ht="13" x14ac:dyDescent="0.15">
      <c r="B47" s="29" t="s">
        <v>75</v>
      </c>
      <c r="C47" s="29" t="s">
        <v>24</v>
      </c>
      <c r="D47" s="31">
        <f>SUMIFS(D48:D631,K48:K631,"0",B48:B631,"1 1 2 4 4 12*")-SUMIFS(E48:E631,K48:K631,"0",B48:B631,"1 1 2 4 4 12*")</f>
        <v>0</v>
      </c>
      <c r="E47"/>
      <c r="F47" s="31">
        <f>SUMIFS(F48:F631,K48:K631,"0",B48:B631,"1 1 2 4 4 12*")</f>
        <v>526283.65</v>
      </c>
      <c r="G47" s="31">
        <f>SUMIFS(G48:G631,K48:K631,"0",B48:B631,"1 1 2 4 4 12*")</f>
        <v>526283.65</v>
      </c>
      <c r="H47" s="31">
        <f t="shared" si="0"/>
        <v>0</v>
      </c>
      <c r="I47" s="31"/>
      <c r="K47" t="s">
        <v>13</v>
      </c>
    </row>
    <row r="48" spans="2:11" ht="13" x14ac:dyDescent="0.15">
      <c r="B48" s="29" t="s">
        <v>76</v>
      </c>
      <c r="C48" s="29" t="s">
        <v>26</v>
      </c>
      <c r="D48" s="31">
        <f>SUMIFS(D49:D631,K49:K631,"0",B49:B631,"1 1 2 4 4 12 31111*")-SUMIFS(E49:E631,K49:K631,"0",B49:B631,"1 1 2 4 4 12 31111*")</f>
        <v>0</v>
      </c>
      <c r="E48"/>
      <c r="F48" s="31">
        <f>SUMIFS(F49:F631,K49:K631,"0",B49:B631,"1 1 2 4 4 12 31111*")</f>
        <v>526283.65</v>
      </c>
      <c r="G48" s="31">
        <f>SUMIFS(G49:G631,K49:K631,"0",B49:B631,"1 1 2 4 4 12 31111*")</f>
        <v>526283.65</v>
      </c>
      <c r="H48" s="31">
        <f t="shared" si="0"/>
        <v>0</v>
      </c>
      <c r="I48" s="31"/>
      <c r="K48" t="s">
        <v>13</v>
      </c>
    </row>
    <row r="49" spans="2:11" ht="13" x14ac:dyDescent="0.15">
      <c r="B49" s="29" t="s">
        <v>77</v>
      </c>
      <c r="C49" s="29" t="s">
        <v>28</v>
      </c>
      <c r="D49" s="31">
        <f>SUMIFS(D50:D631,K50:K631,"0",B50:B631,"1 1 2 4 4 12 31111 6*")-SUMIFS(E50:E631,K50:K631,"0",B50:B631,"1 1 2 4 4 12 31111 6*")</f>
        <v>0</v>
      </c>
      <c r="E49"/>
      <c r="F49" s="31">
        <f>SUMIFS(F50:F631,K50:K631,"0",B50:B631,"1 1 2 4 4 12 31111 6*")</f>
        <v>526283.65</v>
      </c>
      <c r="G49" s="31">
        <f>SUMIFS(G50:G631,K50:K631,"0",B50:B631,"1 1 2 4 4 12 31111 6*")</f>
        <v>526283.65</v>
      </c>
      <c r="H49" s="31">
        <f t="shared" si="0"/>
        <v>0</v>
      </c>
      <c r="I49" s="31"/>
      <c r="K49" t="s">
        <v>13</v>
      </c>
    </row>
    <row r="50" spans="2:11" ht="13" x14ac:dyDescent="0.15">
      <c r="B50" s="29" t="s">
        <v>78</v>
      </c>
      <c r="C50" s="29" t="s">
        <v>30</v>
      </c>
      <c r="D50" s="31">
        <f>SUMIFS(D51:D631,K51:K631,"0",B51:B631,"1 1 2 4 4 12 31111 6 M78*")-SUMIFS(E51:E631,K51:K631,"0",B51:B631,"1 1 2 4 4 12 31111 6 M78*")</f>
        <v>0</v>
      </c>
      <c r="E50"/>
      <c r="F50" s="31">
        <f>SUMIFS(F51:F631,K51:K631,"0",B51:B631,"1 1 2 4 4 12 31111 6 M78*")</f>
        <v>526283.65</v>
      </c>
      <c r="G50" s="31">
        <f>SUMIFS(G51:G631,K51:K631,"0",B51:B631,"1 1 2 4 4 12 31111 6 M78*")</f>
        <v>526283.65</v>
      </c>
      <c r="H50" s="31">
        <f t="shared" si="0"/>
        <v>0</v>
      </c>
      <c r="I50" s="31"/>
      <c r="K50" t="s">
        <v>13</v>
      </c>
    </row>
    <row r="51" spans="2:11" ht="13" x14ac:dyDescent="0.15">
      <c r="B51" s="29" t="s">
        <v>79</v>
      </c>
      <c r="C51" s="29" t="s">
        <v>32</v>
      </c>
      <c r="D51" s="31">
        <f>SUMIFS(D52:D631,K52:K631,"0",B52:B631,"1 1 2 4 4 12 31111 6 M78 00002*")-SUMIFS(E52:E631,K52:K631,"0",B52:B631,"1 1 2 4 4 12 31111 6 M78 00002*")</f>
        <v>0</v>
      </c>
      <c r="E51"/>
      <c r="F51" s="31">
        <f>SUMIFS(F52:F631,K52:K631,"0",B52:B631,"1 1 2 4 4 12 31111 6 M78 00002*")</f>
        <v>526283.65</v>
      </c>
      <c r="G51" s="31">
        <f>SUMIFS(G52:G631,K52:K631,"0",B52:B631,"1 1 2 4 4 12 31111 6 M78 00002*")</f>
        <v>526283.65</v>
      </c>
      <c r="H51" s="31">
        <f t="shared" si="0"/>
        <v>0</v>
      </c>
      <c r="I51" s="31"/>
      <c r="K51" t="s">
        <v>13</v>
      </c>
    </row>
    <row r="52" spans="2:11" ht="13" x14ac:dyDescent="0.15">
      <c r="B52" s="29" t="s">
        <v>80</v>
      </c>
      <c r="C52" s="29" t="s">
        <v>81</v>
      </c>
      <c r="D52" s="31">
        <f>SUMIFS(D53:D631,K53:K631,"0",B53:B631,"1 1 2 4 4 12 31111 6 M78 00002 002*")-SUMIFS(E53:E631,K53:K631,"0",B53:B631,"1 1 2 4 4 12 31111 6 M78 00002 002*")</f>
        <v>0</v>
      </c>
      <c r="E52"/>
      <c r="F52" s="31">
        <f>SUMIFS(F53:F631,K53:K631,"0",B53:B631,"1 1 2 4 4 12 31111 6 M78 00002 002*")</f>
        <v>526283.65</v>
      </c>
      <c r="G52" s="31">
        <f>SUMIFS(G53:G631,K53:K631,"0",B53:B631,"1 1 2 4 4 12 31111 6 M78 00002 002*")</f>
        <v>526283.65</v>
      </c>
      <c r="H52" s="31">
        <f t="shared" si="0"/>
        <v>0</v>
      </c>
      <c r="I52" s="31"/>
      <c r="K52" t="s">
        <v>13</v>
      </c>
    </row>
    <row r="53" spans="2:11" ht="13" x14ac:dyDescent="0.15">
      <c r="B53" s="27" t="s">
        <v>82</v>
      </c>
      <c r="C53" s="27" t="s">
        <v>83</v>
      </c>
      <c r="D53" s="30">
        <v>0</v>
      </c>
      <c r="E53" s="30"/>
      <c r="F53" s="30">
        <v>526283.65</v>
      </c>
      <c r="G53" s="30">
        <v>526283.65</v>
      </c>
      <c r="H53" s="30">
        <f t="shared" si="0"/>
        <v>0</v>
      </c>
      <c r="I53" s="30"/>
      <c r="K53" t="s">
        <v>37</v>
      </c>
    </row>
    <row r="54" spans="2:11" ht="13" x14ac:dyDescent="0.15">
      <c r="B54" s="29" t="s">
        <v>84</v>
      </c>
      <c r="C54" s="29" t="s">
        <v>85</v>
      </c>
      <c r="D54" s="31">
        <f>SUMIFS(D55:D631,K55:K631,"0",B55:B631,"1 1 3*")-SUMIFS(E55:E631,K55:K631,"0",B55:B631,"1 1 3*")</f>
        <v>2510.88</v>
      </c>
      <c r="E54"/>
      <c r="F54" s="31">
        <f>SUMIFS(F55:F631,K55:K631,"0",B55:B631,"1 1 3*")</f>
        <v>0</v>
      </c>
      <c r="G54" s="31">
        <f>SUMIFS(G55:G631,K55:K631,"0",B55:B631,"1 1 3*")</f>
        <v>2510.88</v>
      </c>
      <c r="H54" s="31">
        <f t="shared" si="0"/>
        <v>0</v>
      </c>
      <c r="I54" s="31"/>
      <c r="K54" t="s">
        <v>13</v>
      </c>
    </row>
    <row r="55" spans="2:11" ht="13" x14ac:dyDescent="0.15">
      <c r="B55" s="29" t="s">
        <v>86</v>
      </c>
      <c r="C55" s="29" t="s">
        <v>87</v>
      </c>
      <c r="D55" s="31">
        <f>SUMIFS(D56:D631,K56:K631,"0",B56:B631,"1 1 3 4*")-SUMIFS(E56:E631,K56:K631,"0",B56:B631,"1 1 3 4*")</f>
        <v>2510.88</v>
      </c>
      <c r="E55"/>
      <c r="F55" s="31">
        <f>SUMIFS(F56:F631,K56:K631,"0",B56:B631,"1 1 3 4*")</f>
        <v>0</v>
      </c>
      <c r="G55" s="31">
        <f>SUMIFS(G56:G631,K56:K631,"0",B56:B631,"1 1 3 4*")</f>
        <v>2510.88</v>
      </c>
      <c r="H55" s="31">
        <f t="shared" si="0"/>
        <v>0</v>
      </c>
      <c r="I55" s="31"/>
      <c r="K55" t="s">
        <v>13</v>
      </c>
    </row>
    <row r="56" spans="2:11" ht="13" x14ac:dyDescent="0.15">
      <c r="B56" s="29" t="s">
        <v>88</v>
      </c>
      <c r="C56" s="29" t="s">
        <v>89</v>
      </c>
      <c r="D56" s="31">
        <f>SUMIFS(D57:D631,K57:K631,"0",B57:B631,"1 1 3 4 1*")-SUMIFS(E57:E631,K57:K631,"0",B57:B631,"1 1 3 4 1*")</f>
        <v>2510.88</v>
      </c>
      <c r="E56"/>
      <c r="F56" s="31">
        <f>SUMIFS(F57:F631,K57:K631,"0",B57:B631,"1 1 3 4 1*")</f>
        <v>0</v>
      </c>
      <c r="G56" s="31">
        <f>SUMIFS(G57:G631,K57:K631,"0",B57:B631,"1 1 3 4 1*")</f>
        <v>2510.88</v>
      </c>
      <c r="H56" s="31">
        <f t="shared" si="0"/>
        <v>0</v>
      </c>
      <c r="I56" s="31"/>
      <c r="K56" t="s">
        <v>13</v>
      </c>
    </row>
    <row r="57" spans="2:11" ht="13" x14ac:dyDescent="0.15">
      <c r="B57" s="29" t="s">
        <v>90</v>
      </c>
      <c r="C57" s="29" t="s">
        <v>24</v>
      </c>
      <c r="D57" s="31">
        <f>SUMIFS(D58:D631,K58:K631,"0",B58:B631,"1 1 3 4 1 12*")-SUMIFS(E58:E631,K58:K631,"0",B58:B631,"1 1 3 4 1 12*")</f>
        <v>2510.88</v>
      </c>
      <c r="E57"/>
      <c r="F57" s="31">
        <f>SUMIFS(F58:F631,K58:K631,"0",B58:B631,"1 1 3 4 1 12*")</f>
        <v>0</v>
      </c>
      <c r="G57" s="31">
        <f>SUMIFS(G58:G631,K58:K631,"0",B58:B631,"1 1 3 4 1 12*")</f>
        <v>2510.88</v>
      </c>
      <c r="H57" s="31">
        <f t="shared" si="0"/>
        <v>0</v>
      </c>
      <c r="I57" s="31"/>
      <c r="K57" t="s">
        <v>13</v>
      </c>
    </row>
    <row r="58" spans="2:11" ht="13" x14ac:dyDescent="0.15">
      <c r="B58" s="29" t="s">
        <v>91</v>
      </c>
      <c r="C58" s="29" t="s">
        <v>26</v>
      </c>
      <c r="D58" s="31">
        <f>SUMIFS(D59:D631,K59:K631,"0",B59:B631,"1 1 3 4 1 12 31111*")-SUMIFS(E59:E631,K59:K631,"0",B59:B631,"1 1 3 4 1 12 31111*")</f>
        <v>2510.88</v>
      </c>
      <c r="E58"/>
      <c r="F58" s="31">
        <f>SUMIFS(F59:F631,K59:K631,"0",B59:B631,"1 1 3 4 1 12 31111*")</f>
        <v>0</v>
      </c>
      <c r="G58" s="31">
        <f>SUMIFS(G59:G631,K59:K631,"0",B59:B631,"1 1 3 4 1 12 31111*")</f>
        <v>2510.88</v>
      </c>
      <c r="H58" s="31">
        <f t="shared" si="0"/>
        <v>0</v>
      </c>
      <c r="I58" s="31"/>
      <c r="K58" t="s">
        <v>13</v>
      </c>
    </row>
    <row r="59" spans="2:11" ht="13" x14ac:dyDescent="0.15">
      <c r="B59" s="29" t="s">
        <v>92</v>
      </c>
      <c r="C59" s="29" t="s">
        <v>28</v>
      </c>
      <c r="D59" s="31">
        <f>SUMIFS(D60:D631,K60:K631,"0",B60:B631,"1 1 3 4 1 12 31111 6*")-SUMIFS(E60:E631,K60:K631,"0",B60:B631,"1 1 3 4 1 12 31111 6*")</f>
        <v>2510.88</v>
      </c>
      <c r="E59"/>
      <c r="F59" s="31">
        <f>SUMIFS(F60:F631,K60:K631,"0",B60:B631,"1 1 3 4 1 12 31111 6*")</f>
        <v>0</v>
      </c>
      <c r="G59" s="31">
        <f>SUMIFS(G60:G631,K60:K631,"0",B60:B631,"1 1 3 4 1 12 31111 6*")</f>
        <v>2510.88</v>
      </c>
      <c r="H59" s="31">
        <f t="shared" si="0"/>
        <v>0</v>
      </c>
      <c r="I59" s="31"/>
      <c r="K59" t="s">
        <v>13</v>
      </c>
    </row>
    <row r="60" spans="2:11" ht="13" x14ac:dyDescent="0.15">
      <c r="B60" s="29" t="s">
        <v>93</v>
      </c>
      <c r="C60" s="29" t="s">
        <v>30</v>
      </c>
      <c r="D60" s="31">
        <f>SUMIFS(D61:D631,K61:K631,"0",B61:B631,"1 1 3 4 1 12 31111 6 M78*")-SUMIFS(E61:E631,K61:K631,"0",B61:B631,"1 1 3 4 1 12 31111 6 M78*")</f>
        <v>2510.88</v>
      </c>
      <c r="E60"/>
      <c r="F60" s="31">
        <f>SUMIFS(F61:F631,K61:K631,"0",B61:B631,"1 1 3 4 1 12 31111 6 M78*")</f>
        <v>0</v>
      </c>
      <c r="G60" s="31">
        <f>SUMIFS(G61:G631,K61:K631,"0",B61:B631,"1 1 3 4 1 12 31111 6 M78*")</f>
        <v>2510.88</v>
      </c>
      <c r="H60" s="31">
        <f t="shared" si="0"/>
        <v>0</v>
      </c>
      <c r="I60" s="31"/>
      <c r="K60" t="s">
        <v>13</v>
      </c>
    </row>
    <row r="61" spans="2:11" ht="13" x14ac:dyDescent="0.15">
      <c r="B61" s="29" t="s">
        <v>94</v>
      </c>
      <c r="C61" s="29" t="s">
        <v>32</v>
      </c>
      <c r="D61" s="31">
        <f>SUMIFS(D62:D631,K62:K631,"0",B62:B631,"1 1 3 4 1 12 31111 6 M78 00002*")-SUMIFS(E62:E631,K62:K631,"0",B62:B631,"1 1 3 4 1 12 31111 6 M78 00002*")</f>
        <v>2510.88</v>
      </c>
      <c r="E61"/>
      <c r="F61" s="31">
        <f>SUMIFS(F62:F631,K62:K631,"0",B62:B631,"1 1 3 4 1 12 31111 6 M78 00002*")</f>
        <v>0</v>
      </c>
      <c r="G61" s="31">
        <f>SUMIFS(G62:G631,K62:K631,"0",B62:B631,"1 1 3 4 1 12 31111 6 M78 00002*")</f>
        <v>2510.88</v>
      </c>
      <c r="H61" s="31">
        <f t="shared" si="0"/>
        <v>0</v>
      </c>
      <c r="I61" s="31"/>
      <c r="K61" t="s">
        <v>13</v>
      </c>
    </row>
    <row r="62" spans="2:11" ht="13" x14ac:dyDescent="0.15">
      <c r="B62" s="29" t="s">
        <v>95</v>
      </c>
      <c r="C62" s="29" t="s">
        <v>68</v>
      </c>
      <c r="D62" s="31">
        <f>SUMIFS(D63:D631,K63:K631,"0",B63:B631,"1 1 3 4 1 12 31111 6 M78 00002 002*")-SUMIFS(E63:E631,K63:K631,"0",B63:B631,"1 1 3 4 1 12 31111 6 M78 00002 002*")</f>
        <v>2510.88</v>
      </c>
      <c r="E62"/>
      <c r="F62" s="31">
        <f>SUMIFS(F63:F631,K63:K631,"0",B63:B631,"1 1 3 4 1 12 31111 6 M78 00002 002*")</f>
        <v>0</v>
      </c>
      <c r="G62" s="31">
        <f>SUMIFS(G63:G631,K63:K631,"0",B63:B631,"1 1 3 4 1 12 31111 6 M78 00002 002*")</f>
        <v>2510.88</v>
      </c>
      <c r="H62" s="31">
        <f t="shared" si="0"/>
        <v>0</v>
      </c>
      <c r="I62" s="31"/>
      <c r="K62" t="s">
        <v>13</v>
      </c>
    </row>
    <row r="63" spans="2:11" ht="13" x14ac:dyDescent="0.15">
      <c r="B63" s="27" t="s">
        <v>96</v>
      </c>
      <c r="C63" s="27" t="s">
        <v>97</v>
      </c>
      <c r="D63" s="30">
        <v>2510.88</v>
      </c>
      <c r="E63" s="30"/>
      <c r="F63" s="30">
        <v>0</v>
      </c>
      <c r="G63" s="30">
        <v>2510.88</v>
      </c>
      <c r="H63" s="30">
        <f t="shared" si="0"/>
        <v>0</v>
      </c>
      <c r="I63" s="30"/>
      <c r="K63" t="s">
        <v>37</v>
      </c>
    </row>
    <row r="64" spans="2:11" ht="13" x14ac:dyDescent="0.15">
      <c r="B64" s="29" t="s">
        <v>98</v>
      </c>
      <c r="C64" s="29" t="s">
        <v>99</v>
      </c>
      <c r="D64" s="31">
        <f>SUMIFS(D65:D631,K65:K631,"0",B65:B631,"1 1 4*")-SUMIFS(E65:E631,K65:K631,"0",B65:B631,"1 1 4*")</f>
        <v>0</v>
      </c>
      <c r="E64"/>
      <c r="F64" s="31">
        <f>SUMIFS(F65:F631,K65:K631,"0",B65:B631,"1 1 4*")</f>
        <v>0</v>
      </c>
      <c r="G64" s="31">
        <f>SUMIFS(G65:G631,K65:K631,"0",B65:B631,"1 1 4*")</f>
        <v>0</v>
      </c>
      <c r="H64" s="31">
        <f t="shared" si="0"/>
        <v>0</v>
      </c>
      <c r="I64" s="31"/>
      <c r="K64" t="s">
        <v>13</v>
      </c>
    </row>
    <row r="65" spans="2:11" ht="13" x14ac:dyDescent="0.15">
      <c r="B65" s="29" t="s">
        <v>100</v>
      </c>
      <c r="C65" s="29" t="s">
        <v>101</v>
      </c>
      <c r="D65" s="31">
        <f>SUMIFS(D66:D631,K66:K631,"0",B66:B631,"1 1 5*")-SUMIFS(E66:E631,K66:K631,"0",B66:B631,"1 1 5*")</f>
        <v>0</v>
      </c>
      <c r="E65"/>
      <c r="F65" s="31">
        <f>SUMIFS(F66:F631,K66:K631,"0",B66:B631,"1 1 5*")</f>
        <v>0</v>
      </c>
      <c r="G65" s="31">
        <f>SUMIFS(G66:G631,K66:K631,"0",B66:B631,"1 1 5*")</f>
        <v>0</v>
      </c>
      <c r="H65" s="31">
        <f t="shared" si="0"/>
        <v>0</v>
      </c>
      <c r="I65" s="31"/>
      <c r="K65" t="s">
        <v>13</v>
      </c>
    </row>
    <row r="66" spans="2:11" ht="13" x14ac:dyDescent="0.15">
      <c r="B66" s="29" t="s">
        <v>102</v>
      </c>
      <c r="C66" s="29" t="s">
        <v>103</v>
      </c>
      <c r="D66" s="31">
        <f>SUMIFS(D67:D631,K67:K631,"0",B67:B631,"1 1 6*")-SUMIFS(E67:E631,K67:K631,"0",B67:B631,"1 1 6*")</f>
        <v>0</v>
      </c>
      <c r="E66"/>
      <c r="F66" s="31">
        <f>SUMIFS(F67:F631,K67:K631,"0",B67:B631,"1 1 6*")</f>
        <v>0</v>
      </c>
      <c r="G66" s="31">
        <f>SUMIFS(G67:G631,K67:K631,"0",B67:B631,"1 1 6*")</f>
        <v>0</v>
      </c>
      <c r="H66" s="31">
        <f t="shared" si="0"/>
        <v>0</v>
      </c>
      <c r="I66" s="31"/>
      <c r="K66" t="s">
        <v>13</v>
      </c>
    </row>
    <row r="67" spans="2:11" ht="13" x14ac:dyDescent="0.15">
      <c r="B67" s="29" t="s">
        <v>104</v>
      </c>
      <c r="C67" s="29" t="s">
        <v>105</v>
      </c>
      <c r="D67" s="31">
        <f>SUMIFS(D68:D631,K68:K631,"0",B68:B631,"1 1 9*")-SUMIFS(E68:E631,K68:K631,"0",B68:B631,"1 1 9*")</f>
        <v>0</v>
      </c>
      <c r="E67"/>
      <c r="F67" s="31">
        <f>SUMIFS(F68:F631,K68:K631,"0",B68:B631,"1 1 9*")</f>
        <v>0</v>
      </c>
      <c r="G67" s="31">
        <f>SUMIFS(G68:G631,K68:K631,"0",B68:B631,"1 1 9*")</f>
        <v>0</v>
      </c>
      <c r="H67" s="31">
        <f t="shared" si="0"/>
        <v>0</v>
      </c>
      <c r="I67" s="31"/>
      <c r="K67" t="s">
        <v>13</v>
      </c>
    </row>
    <row r="68" spans="2:11" ht="13" x14ac:dyDescent="0.15">
      <c r="B68" s="29" t="s">
        <v>106</v>
      </c>
      <c r="C68" s="29" t="s">
        <v>107</v>
      </c>
      <c r="D68" s="31">
        <f>SUMIFS(D69:D631,K69:K631,"0",B69:B631,"1 2*")-SUMIFS(E69:E631,K69:K631,"0",B69:B631,"1 2*")</f>
        <v>1637059.8699999994</v>
      </c>
      <c r="E68"/>
      <c r="F68" s="31">
        <f>SUMIFS(F69:F631,K69:K631,"0",B69:B631,"1 2*")</f>
        <v>68179431.089999989</v>
      </c>
      <c r="G68" s="31">
        <f>SUMIFS(G69:G631,K69:K631,"0",B69:B631,"1 2*")</f>
        <v>482956.2</v>
      </c>
      <c r="H68" s="31">
        <f t="shared" si="0"/>
        <v>69333534.75999999</v>
      </c>
      <c r="I68" s="31"/>
      <c r="K68" t="s">
        <v>13</v>
      </c>
    </row>
    <row r="69" spans="2:11" ht="13" x14ac:dyDescent="0.15">
      <c r="B69" s="29" t="s">
        <v>108</v>
      </c>
      <c r="C69" s="29" t="s">
        <v>109</v>
      </c>
      <c r="D69" s="31">
        <f>SUMIFS(D70:D631,K70:K631,"0",B70:B631,"1 2 1*")-SUMIFS(E70:E631,K70:K631,"0",B70:B631,"1 2 1*")</f>
        <v>0</v>
      </c>
      <c r="E69"/>
      <c r="F69" s="31">
        <f>SUMIFS(F70:F631,K70:K631,"0",B70:B631,"1 2 1*")</f>
        <v>0</v>
      </c>
      <c r="G69" s="31">
        <f>SUMIFS(G70:G631,K70:K631,"0",B70:B631,"1 2 1*")</f>
        <v>0</v>
      </c>
      <c r="H69" s="31">
        <f t="shared" si="0"/>
        <v>0</v>
      </c>
      <c r="I69" s="31"/>
      <c r="K69" t="s">
        <v>13</v>
      </c>
    </row>
    <row r="70" spans="2:11" ht="13" x14ac:dyDescent="0.15">
      <c r="B70" s="29" t="s">
        <v>110</v>
      </c>
      <c r="C70" s="29" t="s">
        <v>111</v>
      </c>
      <c r="D70" s="31">
        <f>SUMIFS(D71:D631,K71:K631,"0",B71:B631,"1 2 2*")-SUMIFS(E71:E631,K71:K631,"0",B71:B631,"1 2 2*")</f>
        <v>0</v>
      </c>
      <c r="E70"/>
      <c r="F70" s="31">
        <f>SUMIFS(F71:F631,K71:K631,"0",B71:B631,"1 2 2*")</f>
        <v>0</v>
      </c>
      <c r="G70" s="31">
        <f>SUMIFS(G71:G631,K71:K631,"0",B71:B631,"1 2 2*")</f>
        <v>0</v>
      </c>
      <c r="H70" s="31">
        <f t="shared" si="0"/>
        <v>0</v>
      </c>
      <c r="I70" s="31"/>
      <c r="K70" t="s">
        <v>13</v>
      </c>
    </row>
    <row r="71" spans="2:11" ht="13" x14ac:dyDescent="0.15">
      <c r="B71" s="29" t="s">
        <v>112</v>
      </c>
      <c r="C71" s="29" t="s">
        <v>113</v>
      </c>
      <c r="D71" s="31">
        <f>SUMIFS(D72:D631,K72:K631,"0",B72:B631,"1 2 3*")-SUMIFS(E72:E631,K72:K631,"0",B72:B631,"1 2 3*")</f>
        <v>0</v>
      </c>
      <c r="E71"/>
      <c r="F71" s="31">
        <f>SUMIFS(F72:F631,K72:K631,"0",B72:B631,"1 2 3*")</f>
        <v>68179431.089999989</v>
      </c>
      <c r="G71" s="31">
        <f>SUMIFS(G72:G631,K72:K631,"0",B72:B631,"1 2 3*")</f>
        <v>0</v>
      </c>
      <c r="H71" s="31">
        <f t="shared" si="0"/>
        <v>68179431.089999989</v>
      </c>
      <c r="I71" s="31"/>
      <c r="K71" t="s">
        <v>13</v>
      </c>
    </row>
    <row r="72" spans="2:11" ht="13" x14ac:dyDescent="0.15">
      <c r="B72" s="29" t="s">
        <v>114</v>
      </c>
      <c r="C72" s="29" t="s">
        <v>115</v>
      </c>
      <c r="D72" s="31">
        <f>SUMIFS(D73:D631,K73:K631,"0",B73:B631,"1 2 3 5*")-SUMIFS(E73:E631,K73:K631,"0",B73:B631,"1 2 3 5*")</f>
        <v>0</v>
      </c>
      <c r="E72"/>
      <c r="F72" s="31">
        <f>SUMIFS(F73:F631,K73:K631,"0",B73:B631,"1 2 3 5*")</f>
        <v>68179431.089999989</v>
      </c>
      <c r="G72" s="31">
        <f>SUMIFS(G73:G631,K73:K631,"0",B73:B631,"1 2 3 5*")</f>
        <v>0</v>
      </c>
      <c r="H72" s="31">
        <f t="shared" si="0"/>
        <v>68179431.089999989</v>
      </c>
      <c r="I72" s="31"/>
      <c r="K72" t="s">
        <v>13</v>
      </c>
    </row>
    <row r="73" spans="2:11" ht="13" x14ac:dyDescent="0.15">
      <c r="B73" s="29" t="s">
        <v>116</v>
      </c>
      <c r="C73" s="29" t="s">
        <v>117</v>
      </c>
      <c r="D73" s="31">
        <f>SUMIFS(D74:D631,K74:K631,"0",B74:B631,"1 2 3 5 2*")-SUMIFS(E74:E631,K74:K631,"0",B74:B631,"1 2 3 5 2*")</f>
        <v>0</v>
      </c>
      <c r="E73"/>
      <c r="F73" s="31">
        <f>SUMIFS(F74:F631,K74:K631,"0",B74:B631,"1 2 3 5 2*")</f>
        <v>11452779.359999999</v>
      </c>
      <c r="G73" s="31">
        <f>SUMIFS(G74:G631,K74:K631,"0",B74:B631,"1 2 3 5 2*")</f>
        <v>0</v>
      </c>
      <c r="H73" s="31">
        <f t="shared" si="0"/>
        <v>11452779.359999999</v>
      </c>
      <c r="I73" s="31"/>
      <c r="K73" t="s">
        <v>13</v>
      </c>
    </row>
    <row r="74" spans="2:11" ht="13" x14ac:dyDescent="0.15">
      <c r="B74" s="29" t="s">
        <v>118</v>
      </c>
      <c r="C74" s="29" t="s">
        <v>24</v>
      </c>
      <c r="D74" s="31">
        <f>SUMIFS(D75:D631,K75:K631,"0",B75:B631,"1 2 3 5 2 12*")-SUMIFS(E75:E631,K75:K631,"0",B75:B631,"1 2 3 5 2 12*")</f>
        <v>0</v>
      </c>
      <c r="E74"/>
      <c r="F74" s="31">
        <f>SUMIFS(F75:F631,K75:K631,"0",B75:B631,"1 2 3 5 2 12*")</f>
        <v>11452779.359999999</v>
      </c>
      <c r="G74" s="31">
        <f>SUMIFS(G75:G631,K75:K631,"0",B75:B631,"1 2 3 5 2 12*")</f>
        <v>0</v>
      </c>
      <c r="H74" s="31">
        <f t="shared" si="0"/>
        <v>11452779.359999999</v>
      </c>
      <c r="I74" s="31"/>
      <c r="K74" t="s">
        <v>13</v>
      </c>
    </row>
    <row r="75" spans="2:11" ht="13" x14ac:dyDescent="0.15">
      <c r="B75" s="29" t="s">
        <v>119</v>
      </c>
      <c r="C75" s="29" t="s">
        <v>26</v>
      </c>
      <c r="D75" s="31">
        <f>SUMIFS(D76:D631,K76:K631,"0",B76:B631,"1 2 3 5 2 12 31111*")-SUMIFS(E76:E631,K76:K631,"0",B76:B631,"1 2 3 5 2 12 31111*")</f>
        <v>0</v>
      </c>
      <c r="E75"/>
      <c r="F75" s="31">
        <f>SUMIFS(F76:F631,K76:K631,"0",B76:B631,"1 2 3 5 2 12 31111*")</f>
        <v>11452779.359999999</v>
      </c>
      <c r="G75" s="31">
        <f>SUMIFS(G76:G631,K76:K631,"0",B76:B631,"1 2 3 5 2 12 31111*")</f>
        <v>0</v>
      </c>
      <c r="H75" s="31">
        <f t="shared" ref="H75:H138" si="1">D75 + F75 - G75</f>
        <v>11452779.359999999</v>
      </c>
      <c r="I75" s="31"/>
      <c r="K75" t="s">
        <v>13</v>
      </c>
    </row>
    <row r="76" spans="2:11" ht="13" x14ac:dyDescent="0.15">
      <c r="B76" s="29" t="s">
        <v>120</v>
      </c>
      <c r="C76" s="29" t="s">
        <v>28</v>
      </c>
      <c r="D76" s="31">
        <f>SUMIFS(D77:D631,K77:K631,"0",B77:B631,"1 2 3 5 2 12 31111 6*")-SUMIFS(E77:E631,K77:K631,"0",B77:B631,"1 2 3 5 2 12 31111 6*")</f>
        <v>0</v>
      </c>
      <c r="E76"/>
      <c r="F76" s="31">
        <f>SUMIFS(F77:F631,K77:K631,"0",B77:B631,"1 2 3 5 2 12 31111 6*")</f>
        <v>11452779.359999999</v>
      </c>
      <c r="G76" s="31">
        <f>SUMIFS(G77:G631,K77:K631,"0",B77:B631,"1 2 3 5 2 12 31111 6*")</f>
        <v>0</v>
      </c>
      <c r="H76" s="31">
        <f t="shared" si="1"/>
        <v>11452779.359999999</v>
      </c>
      <c r="I76" s="31"/>
      <c r="K76" t="s">
        <v>13</v>
      </c>
    </row>
    <row r="77" spans="2:11" ht="13" x14ac:dyDescent="0.15">
      <c r="B77" s="29" t="s">
        <v>121</v>
      </c>
      <c r="C77" s="29" t="s">
        <v>122</v>
      </c>
      <c r="D77" s="31">
        <f>SUMIFS(D78:D631,K78:K631,"0",B78:B631,"1 2 3 5 2 12 31111 6 M78*")-SUMIFS(E78:E631,K78:K631,"0",B78:B631,"1 2 3 5 2 12 31111 6 M78*")</f>
        <v>0</v>
      </c>
      <c r="E77"/>
      <c r="F77" s="31">
        <f>SUMIFS(F78:F631,K78:K631,"0",B78:B631,"1 2 3 5 2 12 31111 6 M78*")</f>
        <v>11452779.359999999</v>
      </c>
      <c r="G77" s="31">
        <f>SUMIFS(G78:G631,K78:K631,"0",B78:B631,"1 2 3 5 2 12 31111 6 M78*")</f>
        <v>0</v>
      </c>
      <c r="H77" s="31">
        <f t="shared" si="1"/>
        <v>11452779.359999999</v>
      </c>
      <c r="I77" s="31"/>
      <c r="K77" t="s">
        <v>13</v>
      </c>
    </row>
    <row r="78" spans="2:11" ht="13" x14ac:dyDescent="0.15">
      <c r="B78" s="29" t="s">
        <v>123</v>
      </c>
      <c r="C78" s="29" t="s">
        <v>124</v>
      </c>
      <c r="D78" s="31">
        <f>SUMIFS(D79:D631,K79:K631,"0",B79:B631,"1 2 3 5 2 12 31111 6 M78 10000*")-SUMIFS(E79:E631,K79:K631,"0",B79:B631,"1 2 3 5 2 12 31111 6 M78 10000*")</f>
        <v>0</v>
      </c>
      <c r="E78"/>
      <c r="F78" s="31">
        <f>SUMIFS(F79:F631,K79:K631,"0",B79:B631,"1 2 3 5 2 12 31111 6 M78 10000*")</f>
        <v>11452779.359999999</v>
      </c>
      <c r="G78" s="31">
        <f>SUMIFS(G79:G631,K79:K631,"0",B79:B631,"1 2 3 5 2 12 31111 6 M78 10000*")</f>
        <v>0</v>
      </c>
      <c r="H78" s="31">
        <f t="shared" si="1"/>
        <v>11452779.359999999</v>
      </c>
      <c r="I78" s="31"/>
      <c r="K78" t="s">
        <v>13</v>
      </c>
    </row>
    <row r="79" spans="2:11" ht="13" x14ac:dyDescent="0.15">
      <c r="B79" s="29" t="s">
        <v>125</v>
      </c>
      <c r="C79" s="29" t="s">
        <v>126</v>
      </c>
      <c r="D79" s="31">
        <f>SUMIFS(D80:D631,K80:K631,"0",B80:B631,"1 2 3 5 2 12 31111 6 M78 10000 222*")-SUMIFS(E80:E631,K80:K631,"0",B80:B631,"1 2 3 5 2 12 31111 6 M78 10000 222*")</f>
        <v>0</v>
      </c>
      <c r="E79"/>
      <c r="F79" s="31">
        <f>SUMIFS(F80:F631,K80:K631,"0",B80:B631,"1 2 3 5 2 12 31111 6 M78 10000 222*")</f>
        <v>4606401.4700000007</v>
      </c>
      <c r="G79" s="31">
        <f>SUMIFS(G80:G631,K80:K631,"0",B80:B631,"1 2 3 5 2 12 31111 6 M78 10000 222*")</f>
        <v>0</v>
      </c>
      <c r="H79" s="31">
        <f t="shared" si="1"/>
        <v>4606401.4700000007</v>
      </c>
      <c r="I79" s="31"/>
      <c r="K79" t="s">
        <v>13</v>
      </c>
    </row>
    <row r="80" spans="2:11" ht="13" x14ac:dyDescent="0.15">
      <c r="B80" s="29" t="s">
        <v>127</v>
      </c>
      <c r="C80" s="29" t="s">
        <v>128</v>
      </c>
      <c r="D80" s="31">
        <f>SUMIFS(D81:D631,K81:K631,"0",B81:B631,"1 2 3 5 2 12 31111 6 M78 10000 222 00I*")-SUMIFS(E81:E631,K81:K631,"0",B81:B631,"1 2 3 5 2 12 31111 6 M78 10000 222 00I*")</f>
        <v>0</v>
      </c>
      <c r="E80"/>
      <c r="F80" s="31">
        <f>SUMIFS(F81:F631,K81:K631,"0",B81:B631,"1 2 3 5 2 12 31111 6 M78 10000 222 00I*")</f>
        <v>4606401.4700000007</v>
      </c>
      <c r="G80" s="31">
        <f>SUMIFS(G81:G631,K81:K631,"0",B81:B631,"1 2 3 5 2 12 31111 6 M78 10000 222 00I*")</f>
        <v>0</v>
      </c>
      <c r="H80" s="31">
        <f t="shared" si="1"/>
        <v>4606401.4700000007</v>
      </c>
      <c r="I80" s="31"/>
      <c r="K80" t="s">
        <v>13</v>
      </c>
    </row>
    <row r="81" spans="2:11" ht="13" x14ac:dyDescent="0.15">
      <c r="B81" s="29" t="s">
        <v>129</v>
      </c>
      <c r="C81" s="29" t="s">
        <v>130</v>
      </c>
      <c r="D81" s="31">
        <f>SUMIFS(D82:D631,K82:K631,"0",B82:B631,"1 2 3 5 2 12 31111 6 M78 10000 222 00I 002*")-SUMIFS(E82:E631,K82:K631,"0",B82:B631,"1 2 3 5 2 12 31111 6 M78 10000 222 00I 002*")</f>
        <v>0</v>
      </c>
      <c r="E81"/>
      <c r="F81" s="31">
        <f>SUMIFS(F82:F631,K82:K631,"0",B82:B631,"1 2 3 5 2 12 31111 6 M78 10000 222 00I 002*")</f>
        <v>4606401.4700000007</v>
      </c>
      <c r="G81" s="31">
        <f>SUMIFS(G82:G631,K82:K631,"0",B82:B631,"1 2 3 5 2 12 31111 6 M78 10000 222 00I 002*")</f>
        <v>0</v>
      </c>
      <c r="H81" s="31">
        <f t="shared" si="1"/>
        <v>4606401.4700000007</v>
      </c>
      <c r="I81" s="31"/>
      <c r="K81" t="s">
        <v>13</v>
      </c>
    </row>
    <row r="82" spans="2:11" ht="13" x14ac:dyDescent="0.15">
      <c r="B82" s="29" t="s">
        <v>131</v>
      </c>
      <c r="C82" s="29" t="s">
        <v>132</v>
      </c>
      <c r="D82" s="31">
        <f>SUMIFS(D83:D631,K83:K631,"0",B83:B631,"1 2 3 5 2 12 31111 6 M78 10000 222 00I 002 61200*")-SUMIFS(E83:E631,K83:K631,"0",B83:B631,"1 2 3 5 2 12 31111 6 M78 10000 222 00I 002 61200*")</f>
        <v>0</v>
      </c>
      <c r="E82"/>
      <c r="F82" s="31">
        <f>SUMIFS(F83:F631,K83:K631,"0",B83:B631,"1 2 3 5 2 12 31111 6 M78 10000 222 00I 002 61200*")</f>
        <v>4606401.4700000007</v>
      </c>
      <c r="G82" s="31">
        <f>SUMIFS(G83:G631,K83:K631,"0",B83:B631,"1 2 3 5 2 12 31111 6 M78 10000 222 00I 002 61200*")</f>
        <v>0</v>
      </c>
      <c r="H82" s="31">
        <f t="shared" si="1"/>
        <v>4606401.4700000007</v>
      </c>
      <c r="I82" s="31"/>
      <c r="K82" t="s">
        <v>13</v>
      </c>
    </row>
    <row r="83" spans="2:11" ht="13" x14ac:dyDescent="0.15">
      <c r="B83" s="29" t="s">
        <v>133</v>
      </c>
      <c r="C83" s="29" t="s">
        <v>134</v>
      </c>
      <c r="D83" s="31">
        <f>SUMIFS(D84:D631,K84:K631,"0",B84:B631,"1 2 3 5 2 12 31111 6 M78 10000 222 00I 002 61200 025*")-SUMIFS(E84:E631,K84:K631,"0",B84:B631,"1 2 3 5 2 12 31111 6 M78 10000 222 00I 002 61200 025*")</f>
        <v>0</v>
      </c>
      <c r="E83"/>
      <c r="F83" s="31">
        <f>SUMIFS(F84:F631,K84:K631,"0",B84:B631,"1 2 3 5 2 12 31111 6 M78 10000 222 00I 002 61200 025*")</f>
        <v>4606401.4700000007</v>
      </c>
      <c r="G83" s="31">
        <f>SUMIFS(G84:G631,K84:K631,"0",B84:B631,"1 2 3 5 2 12 31111 6 M78 10000 222 00I 002 61200 025*")</f>
        <v>0</v>
      </c>
      <c r="H83" s="31">
        <f t="shared" si="1"/>
        <v>4606401.4700000007</v>
      </c>
      <c r="I83" s="31"/>
      <c r="K83" t="s">
        <v>13</v>
      </c>
    </row>
    <row r="84" spans="2:11" ht="22" x14ac:dyDescent="0.15">
      <c r="B84" s="29" t="s">
        <v>135</v>
      </c>
      <c r="C84" s="29" t="s">
        <v>136</v>
      </c>
      <c r="D84" s="31">
        <f>SUMIFS(D85:D631,K85:K631,"0",B85:B631,"1 2 3 5 2 12 31111 6 M78 10000 222 00I 002 61200 025 2210000*")-SUMIFS(E85:E631,K85:K631,"0",B85:B631,"1 2 3 5 2 12 31111 6 M78 10000 222 00I 002 61200 025 2210000*")</f>
        <v>0</v>
      </c>
      <c r="E84"/>
      <c r="F84" s="31">
        <f>SUMIFS(F85:F631,K85:K631,"0",B85:B631,"1 2 3 5 2 12 31111 6 M78 10000 222 00I 002 61200 025 2210000*")</f>
        <v>4606401.4700000007</v>
      </c>
      <c r="G84" s="31">
        <f>SUMIFS(G85:G631,K85:K631,"0",B85:B631,"1 2 3 5 2 12 31111 6 M78 10000 222 00I 002 61200 025 2210000*")</f>
        <v>0</v>
      </c>
      <c r="H84" s="31">
        <f t="shared" si="1"/>
        <v>4606401.4700000007</v>
      </c>
      <c r="I84" s="31"/>
      <c r="K84" t="s">
        <v>13</v>
      </c>
    </row>
    <row r="85" spans="2:11" ht="22" x14ac:dyDescent="0.15">
      <c r="B85" s="29" t="s">
        <v>137</v>
      </c>
      <c r="C85" s="29" t="s">
        <v>138</v>
      </c>
      <c r="D85" s="31">
        <f>SUMIFS(D86:D631,K86:K631,"0",B86:B631,"1 2 3 5 2 12 31111 6 M78 10000 222 00I 002 61200 025 2210000 2024*")-SUMIFS(E86:E631,K86:K631,"0",B86:B631,"1 2 3 5 2 12 31111 6 M78 10000 222 00I 002 61200 025 2210000 2024*")</f>
        <v>0</v>
      </c>
      <c r="E85"/>
      <c r="F85" s="31">
        <f>SUMIFS(F86:F631,K86:K631,"0",B86:B631,"1 2 3 5 2 12 31111 6 M78 10000 222 00I 002 61200 025 2210000 2024*")</f>
        <v>4606401.4700000007</v>
      </c>
      <c r="G85" s="31">
        <f>SUMIFS(G86:G631,K86:K631,"0",B86:B631,"1 2 3 5 2 12 31111 6 M78 10000 222 00I 002 61200 025 2210000 2024*")</f>
        <v>0</v>
      </c>
      <c r="H85" s="31">
        <f t="shared" si="1"/>
        <v>4606401.4700000007</v>
      </c>
      <c r="I85" s="31"/>
      <c r="K85" t="s">
        <v>13</v>
      </c>
    </row>
    <row r="86" spans="2:11" ht="22" x14ac:dyDescent="0.15">
      <c r="B86" s="29" t="s">
        <v>139</v>
      </c>
      <c r="C86" s="29" t="s">
        <v>140</v>
      </c>
      <c r="D86" s="31">
        <f>SUMIFS(D87:D631,K87:K631,"0",B87:B631,"1 2 3 5 2 12 31111 6 M78 10000 222 00I 002 61200 025 2210000 2024 00000000*")-SUMIFS(E87:E631,K87:K631,"0",B87:B631,"1 2 3 5 2 12 31111 6 M78 10000 222 00I 002 61200 025 2210000 2024 00000000*")</f>
        <v>0</v>
      </c>
      <c r="E86"/>
      <c r="F86" s="31">
        <f>SUMIFS(F87:F631,K87:K631,"0",B87:B631,"1 2 3 5 2 12 31111 6 M78 10000 222 00I 002 61200 025 2210000 2024 00000000*")</f>
        <v>4606401.4700000007</v>
      </c>
      <c r="G86" s="31">
        <f>SUMIFS(G87:G631,K87:K631,"0",B87:B631,"1 2 3 5 2 12 31111 6 M78 10000 222 00I 002 61200 025 2210000 2024 00000000*")</f>
        <v>0</v>
      </c>
      <c r="H86" s="31">
        <f t="shared" si="1"/>
        <v>4606401.4700000007</v>
      </c>
      <c r="I86" s="31"/>
      <c r="K86" t="s">
        <v>13</v>
      </c>
    </row>
    <row r="87" spans="2:11" ht="22" x14ac:dyDescent="0.15">
      <c r="B87" s="29" t="s">
        <v>141</v>
      </c>
      <c r="C87" s="29" t="s">
        <v>9</v>
      </c>
      <c r="D87" s="31">
        <f>SUMIFS(D88:D631,K88:K631,"0",B88:B631,"1 2 3 5 2 12 31111 6 M78 10000 222 00I 002 61200 025 2210000 2024 00000000 002*")-SUMIFS(E88:E631,K88:K631,"0",B88:B631,"1 2 3 5 2 12 31111 6 M78 10000 222 00I 002 61200 025 2210000 2024 00000000 002*")</f>
        <v>0</v>
      </c>
      <c r="E87"/>
      <c r="F87" s="31">
        <f>SUMIFS(F88:F631,K88:K631,"0",B88:B631,"1 2 3 5 2 12 31111 6 M78 10000 222 00I 002 61200 025 2210000 2024 00000000 002*")</f>
        <v>4606401.4700000007</v>
      </c>
      <c r="G87" s="31">
        <f>SUMIFS(G88:G631,K88:K631,"0",B88:B631,"1 2 3 5 2 12 31111 6 M78 10000 222 00I 002 61200 025 2210000 2024 00000000 002*")</f>
        <v>0</v>
      </c>
      <c r="H87" s="31">
        <f t="shared" si="1"/>
        <v>4606401.4700000007</v>
      </c>
      <c r="I87" s="31"/>
      <c r="K87" t="s">
        <v>13</v>
      </c>
    </row>
    <row r="88" spans="2:11" ht="22" x14ac:dyDescent="0.15">
      <c r="B88" s="27" t="s">
        <v>142</v>
      </c>
      <c r="C88" s="27" t="s">
        <v>143</v>
      </c>
      <c r="D88" s="30">
        <v>0</v>
      </c>
      <c r="E88" s="30"/>
      <c r="F88" s="30">
        <v>2168469.7400000002</v>
      </c>
      <c r="G88" s="30">
        <v>0</v>
      </c>
      <c r="H88" s="30">
        <f t="shared" si="1"/>
        <v>2168469.7400000002</v>
      </c>
      <c r="I88" s="30"/>
      <c r="K88" t="s">
        <v>37</v>
      </c>
    </row>
    <row r="89" spans="2:11" ht="22" x14ac:dyDescent="0.15">
      <c r="B89" s="27" t="s">
        <v>144</v>
      </c>
      <c r="C89" s="27" t="s">
        <v>145</v>
      </c>
      <c r="D89" s="30">
        <v>0</v>
      </c>
      <c r="E89" s="30"/>
      <c r="F89" s="30">
        <v>2168469.75</v>
      </c>
      <c r="G89" s="30">
        <v>0</v>
      </c>
      <c r="H89" s="30">
        <f t="shared" si="1"/>
        <v>2168469.75</v>
      </c>
      <c r="I89" s="30"/>
      <c r="K89" t="s">
        <v>37</v>
      </c>
    </row>
    <row r="90" spans="2:11" ht="22" x14ac:dyDescent="0.15">
      <c r="B90" s="27" t="s">
        <v>146</v>
      </c>
      <c r="C90" s="27" t="s">
        <v>147</v>
      </c>
      <c r="D90" s="30">
        <v>0</v>
      </c>
      <c r="E90" s="30"/>
      <c r="F90" s="30">
        <v>269461.98</v>
      </c>
      <c r="G90" s="30">
        <v>0</v>
      </c>
      <c r="H90" s="30">
        <f t="shared" si="1"/>
        <v>269461.98</v>
      </c>
      <c r="I90" s="30"/>
      <c r="K90" t="s">
        <v>37</v>
      </c>
    </row>
    <row r="91" spans="2:11" ht="13" x14ac:dyDescent="0.15">
      <c r="B91" s="29" t="s">
        <v>148</v>
      </c>
      <c r="C91" s="29" t="s">
        <v>149</v>
      </c>
      <c r="D91" s="31">
        <f>SUMIFS(D92:D631,K92:K631,"0",B92:B631,"1 2 3 5 2 12 31111 6 M78 10000 241*")-SUMIFS(E92:E631,K92:K631,"0",B92:B631,"1 2 3 5 2 12 31111 6 M78 10000 241*")</f>
        <v>0</v>
      </c>
      <c r="E91"/>
      <c r="F91" s="31">
        <f>SUMIFS(F92:F631,K92:K631,"0",B92:B631,"1 2 3 5 2 12 31111 6 M78 10000 241*")</f>
        <v>2168889.79</v>
      </c>
      <c r="G91" s="31">
        <f>SUMIFS(G92:G631,K92:K631,"0",B92:B631,"1 2 3 5 2 12 31111 6 M78 10000 241*")</f>
        <v>0</v>
      </c>
      <c r="H91" s="31">
        <f t="shared" si="1"/>
        <v>2168889.79</v>
      </c>
      <c r="I91" s="31"/>
      <c r="K91" t="s">
        <v>13</v>
      </c>
    </row>
    <row r="92" spans="2:11" ht="13" x14ac:dyDescent="0.15">
      <c r="B92" s="29" t="s">
        <v>150</v>
      </c>
      <c r="C92" s="29" t="s">
        <v>128</v>
      </c>
      <c r="D92" s="31">
        <f>SUMIFS(D93:D631,K93:K631,"0",B93:B631,"1 2 3 5 2 12 31111 6 M78 10000 241 00I*")-SUMIFS(E93:E631,K93:K631,"0",B93:B631,"1 2 3 5 2 12 31111 6 M78 10000 241 00I*")</f>
        <v>0</v>
      </c>
      <c r="E92"/>
      <c r="F92" s="31">
        <f>SUMIFS(F93:F631,K93:K631,"0",B93:B631,"1 2 3 5 2 12 31111 6 M78 10000 241 00I*")</f>
        <v>2168889.79</v>
      </c>
      <c r="G92" s="31">
        <f>SUMIFS(G93:G631,K93:K631,"0",B93:B631,"1 2 3 5 2 12 31111 6 M78 10000 241 00I*")</f>
        <v>0</v>
      </c>
      <c r="H92" s="31">
        <f t="shared" si="1"/>
        <v>2168889.79</v>
      </c>
      <c r="I92" s="31"/>
      <c r="K92" t="s">
        <v>13</v>
      </c>
    </row>
    <row r="93" spans="2:11" ht="13" x14ac:dyDescent="0.15">
      <c r="B93" s="29" t="s">
        <v>151</v>
      </c>
      <c r="C93" s="29" t="s">
        <v>130</v>
      </c>
      <c r="D93" s="31">
        <f>SUMIFS(D94:D631,K94:K631,"0",B94:B631,"1 2 3 5 2 12 31111 6 M78 10000 241 00I 002*")-SUMIFS(E94:E631,K94:K631,"0",B94:B631,"1 2 3 5 2 12 31111 6 M78 10000 241 00I 002*")</f>
        <v>0</v>
      </c>
      <c r="E93"/>
      <c r="F93" s="31">
        <f>SUMIFS(F94:F631,K94:K631,"0",B94:B631,"1 2 3 5 2 12 31111 6 M78 10000 241 00I 002*")</f>
        <v>2168889.79</v>
      </c>
      <c r="G93" s="31">
        <f>SUMIFS(G94:G631,K94:K631,"0",B94:B631,"1 2 3 5 2 12 31111 6 M78 10000 241 00I 002*")</f>
        <v>0</v>
      </c>
      <c r="H93" s="31">
        <f t="shared" si="1"/>
        <v>2168889.79</v>
      </c>
      <c r="I93" s="31"/>
      <c r="K93" t="s">
        <v>13</v>
      </c>
    </row>
    <row r="94" spans="2:11" ht="13" x14ac:dyDescent="0.15">
      <c r="B94" s="29" t="s">
        <v>152</v>
      </c>
      <c r="C94" s="29" t="s">
        <v>132</v>
      </c>
      <c r="D94" s="31">
        <f>SUMIFS(D95:D631,K95:K631,"0",B95:B631,"1 2 3 5 2 12 31111 6 M78 10000 241 00I 002 61200*")-SUMIFS(E95:E631,K95:K631,"0",B95:B631,"1 2 3 5 2 12 31111 6 M78 10000 241 00I 002 61200*")</f>
        <v>0</v>
      </c>
      <c r="E94"/>
      <c r="F94" s="31">
        <f>SUMIFS(F95:F631,K95:K631,"0",B95:B631,"1 2 3 5 2 12 31111 6 M78 10000 241 00I 002 61200*")</f>
        <v>2168889.79</v>
      </c>
      <c r="G94" s="31">
        <f>SUMIFS(G95:G631,K95:K631,"0",B95:B631,"1 2 3 5 2 12 31111 6 M78 10000 241 00I 002 61200*")</f>
        <v>0</v>
      </c>
      <c r="H94" s="31">
        <f t="shared" si="1"/>
        <v>2168889.79</v>
      </c>
      <c r="I94" s="31"/>
      <c r="K94" t="s">
        <v>13</v>
      </c>
    </row>
    <row r="95" spans="2:11" ht="13" x14ac:dyDescent="0.15">
      <c r="B95" s="29" t="s">
        <v>153</v>
      </c>
      <c r="C95" s="29" t="s">
        <v>134</v>
      </c>
      <c r="D95" s="31">
        <f>SUMIFS(D96:D631,K96:K631,"0",B96:B631,"1 2 3 5 2 12 31111 6 M78 10000 241 00I 002 61200 025*")-SUMIFS(E96:E631,K96:K631,"0",B96:B631,"1 2 3 5 2 12 31111 6 M78 10000 241 00I 002 61200 025*")</f>
        <v>0</v>
      </c>
      <c r="E95"/>
      <c r="F95" s="31">
        <f>SUMIFS(F96:F631,K96:K631,"0",B96:B631,"1 2 3 5 2 12 31111 6 M78 10000 241 00I 002 61200 025*")</f>
        <v>2168889.79</v>
      </c>
      <c r="G95" s="31">
        <f>SUMIFS(G96:G631,K96:K631,"0",B96:B631,"1 2 3 5 2 12 31111 6 M78 10000 241 00I 002 61200 025*")</f>
        <v>0</v>
      </c>
      <c r="H95" s="31">
        <f t="shared" si="1"/>
        <v>2168889.79</v>
      </c>
      <c r="I95" s="31"/>
      <c r="K95" t="s">
        <v>13</v>
      </c>
    </row>
    <row r="96" spans="2:11" ht="22" x14ac:dyDescent="0.15">
      <c r="B96" s="29" t="s">
        <v>154</v>
      </c>
      <c r="C96" s="29" t="s">
        <v>136</v>
      </c>
      <c r="D96" s="31">
        <f>SUMIFS(D97:D631,K97:K631,"0",B97:B631,"1 2 3 5 2 12 31111 6 M78 10000 241 00I 002 61200 025 2210000*")-SUMIFS(E97:E631,K97:K631,"0",B97:B631,"1 2 3 5 2 12 31111 6 M78 10000 241 00I 002 61200 025 2210000*")</f>
        <v>0</v>
      </c>
      <c r="E96"/>
      <c r="F96" s="31">
        <f>SUMIFS(F97:F631,K97:K631,"0",B97:B631,"1 2 3 5 2 12 31111 6 M78 10000 241 00I 002 61200 025 2210000*")</f>
        <v>2168889.79</v>
      </c>
      <c r="G96" s="31">
        <f>SUMIFS(G97:G631,K97:K631,"0",B97:B631,"1 2 3 5 2 12 31111 6 M78 10000 241 00I 002 61200 025 2210000*")</f>
        <v>0</v>
      </c>
      <c r="H96" s="31">
        <f t="shared" si="1"/>
        <v>2168889.79</v>
      </c>
      <c r="I96" s="31"/>
      <c r="K96" t="s">
        <v>13</v>
      </c>
    </row>
    <row r="97" spans="2:11" ht="22" x14ac:dyDescent="0.15">
      <c r="B97" s="29" t="s">
        <v>155</v>
      </c>
      <c r="C97" s="29" t="s">
        <v>138</v>
      </c>
      <c r="D97" s="31">
        <f>SUMIFS(D98:D631,K98:K631,"0",B98:B631,"1 2 3 5 2 12 31111 6 M78 10000 241 00I 002 61200 025 2210000 2024*")-SUMIFS(E98:E631,K98:K631,"0",B98:B631,"1 2 3 5 2 12 31111 6 M78 10000 241 00I 002 61200 025 2210000 2024*")</f>
        <v>0</v>
      </c>
      <c r="E97"/>
      <c r="F97" s="31">
        <f>SUMIFS(F98:F631,K98:K631,"0",B98:B631,"1 2 3 5 2 12 31111 6 M78 10000 241 00I 002 61200 025 2210000 2024*")</f>
        <v>2168889.79</v>
      </c>
      <c r="G97" s="31">
        <f>SUMIFS(G98:G631,K98:K631,"0",B98:B631,"1 2 3 5 2 12 31111 6 M78 10000 241 00I 002 61200 025 2210000 2024*")</f>
        <v>0</v>
      </c>
      <c r="H97" s="31">
        <f t="shared" si="1"/>
        <v>2168889.79</v>
      </c>
      <c r="I97" s="31"/>
      <c r="K97" t="s">
        <v>13</v>
      </c>
    </row>
    <row r="98" spans="2:11" ht="22" x14ac:dyDescent="0.15">
      <c r="B98" s="29" t="s">
        <v>156</v>
      </c>
      <c r="C98" s="29" t="s">
        <v>140</v>
      </c>
      <c r="D98" s="31">
        <f>SUMIFS(D99:D631,K99:K631,"0",B99:B631,"1 2 3 5 2 12 31111 6 M78 10000 241 00I 002 61200 025 2210000 2024 00000000*")-SUMIFS(E99:E631,K99:K631,"0",B99:B631,"1 2 3 5 2 12 31111 6 M78 10000 241 00I 002 61200 025 2210000 2024 00000000*")</f>
        <v>0</v>
      </c>
      <c r="E98"/>
      <c r="F98" s="31">
        <f>SUMIFS(F99:F631,K99:K631,"0",B99:B631,"1 2 3 5 2 12 31111 6 M78 10000 241 00I 002 61200 025 2210000 2024 00000000*")</f>
        <v>2168889.79</v>
      </c>
      <c r="G98" s="31">
        <f>SUMIFS(G99:G631,K99:K631,"0",B99:B631,"1 2 3 5 2 12 31111 6 M78 10000 241 00I 002 61200 025 2210000 2024 00000000*")</f>
        <v>0</v>
      </c>
      <c r="H98" s="31">
        <f t="shared" si="1"/>
        <v>2168889.79</v>
      </c>
      <c r="I98" s="31"/>
      <c r="K98" t="s">
        <v>13</v>
      </c>
    </row>
    <row r="99" spans="2:11" ht="22" x14ac:dyDescent="0.15">
      <c r="B99" s="29" t="s">
        <v>157</v>
      </c>
      <c r="C99" s="29" t="s">
        <v>9</v>
      </c>
      <c r="D99" s="31">
        <f>SUMIFS(D100:D631,K100:K631,"0",B100:B631,"1 2 3 5 2 12 31111 6 M78 10000 241 00I 002 61200 025 2210000 2024 00000000 002*")-SUMIFS(E100:E631,K100:K631,"0",B100:B631,"1 2 3 5 2 12 31111 6 M78 10000 241 00I 002 61200 025 2210000 2024 00000000 002*")</f>
        <v>0</v>
      </c>
      <c r="E99"/>
      <c r="F99" s="31">
        <f>SUMIFS(F100:F631,K100:K631,"0",B100:B631,"1 2 3 5 2 12 31111 6 M78 10000 241 00I 002 61200 025 2210000 2024 00000000 002*")</f>
        <v>2168889.79</v>
      </c>
      <c r="G99" s="31">
        <f>SUMIFS(G100:G631,K100:K631,"0",B100:B631,"1 2 3 5 2 12 31111 6 M78 10000 241 00I 002 61200 025 2210000 2024 00000000 002*")</f>
        <v>0</v>
      </c>
      <c r="H99" s="31">
        <f t="shared" si="1"/>
        <v>2168889.79</v>
      </c>
      <c r="I99" s="31"/>
      <c r="K99" t="s">
        <v>13</v>
      </c>
    </row>
    <row r="100" spans="2:11" ht="22" x14ac:dyDescent="0.15">
      <c r="B100" s="27" t="s">
        <v>158</v>
      </c>
      <c r="C100" s="27" t="s">
        <v>159</v>
      </c>
      <c r="D100" s="30">
        <v>0</v>
      </c>
      <c r="E100" s="30"/>
      <c r="F100" s="30">
        <v>2168889.79</v>
      </c>
      <c r="G100" s="30">
        <v>0</v>
      </c>
      <c r="H100" s="30">
        <f t="shared" si="1"/>
        <v>2168889.79</v>
      </c>
      <c r="I100" s="30"/>
      <c r="K100" t="s">
        <v>37</v>
      </c>
    </row>
    <row r="101" spans="2:11" ht="13" x14ac:dyDescent="0.15">
      <c r="B101" s="29" t="s">
        <v>160</v>
      </c>
      <c r="C101" s="29" t="s">
        <v>161</v>
      </c>
      <c r="D101" s="31">
        <f>SUMIFS(D102:D631,K102:K631,"0",B102:B631,"1 2 3 5 2 12 31111 6 M78 10000 251*")-SUMIFS(E102:E631,K102:K631,"0",B102:B631,"1 2 3 5 2 12 31111 6 M78 10000 251*")</f>
        <v>0</v>
      </c>
      <c r="E101"/>
      <c r="F101" s="31">
        <f>SUMIFS(F102:F631,K102:K631,"0",B102:B631,"1 2 3 5 2 12 31111 6 M78 10000 251*")</f>
        <v>4677488.0999999996</v>
      </c>
      <c r="G101" s="31">
        <f>SUMIFS(G102:G631,K102:K631,"0",B102:B631,"1 2 3 5 2 12 31111 6 M78 10000 251*")</f>
        <v>0</v>
      </c>
      <c r="H101" s="31">
        <f t="shared" si="1"/>
        <v>4677488.0999999996</v>
      </c>
      <c r="I101" s="31"/>
      <c r="K101" t="s">
        <v>13</v>
      </c>
    </row>
    <row r="102" spans="2:11" ht="13" x14ac:dyDescent="0.15">
      <c r="B102" s="29" t="s">
        <v>162</v>
      </c>
      <c r="C102" s="29" t="s">
        <v>128</v>
      </c>
      <c r="D102" s="31">
        <f>SUMIFS(D103:D631,K103:K631,"0",B103:B631,"1 2 3 5 2 12 31111 6 M78 10000 251 00I*")-SUMIFS(E103:E631,K103:K631,"0",B103:B631,"1 2 3 5 2 12 31111 6 M78 10000 251 00I*")</f>
        <v>0</v>
      </c>
      <c r="E102"/>
      <c r="F102" s="31">
        <f>SUMIFS(F103:F631,K103:K631,"0",B103:B631,"1 2 3 5 2 12 31111 6 M78 10000 251 00I*")</f>
        <v>4677488.0999999996</v>
      </c>
      <c r="G102" s="31">
        <f>SUMIFS(G103:G631,K103:K631,"0",B103:B631,"1 2 3 5 2 12 31111 6 M78 10000 251 00I*")</f>
        <v>0</v>
      </c>
      <c r="H102" s="31">
        <f t="shared" si="1"/>
        <v>4677488.0999999996</v>
      </c>
      <c r="I102" s="31"/>
      <c r="K102" t="s">
        <v>13</v>
      </c>
    </row>
    <row r="103" spans="2:11" ht="13" x14ac:dyDescent="0.15">
      <c r="B103" s="29" t="s">
        <v>163</v>
      </c>
      <c r="C103" s="29" t="s">
        <v>130</v>
      </c>
      <c r="D103" s="31">
        <f>SUMIFS(D104:D631,K104:K631,"0",B104:B631,"1 2 3 5 2 12 31111 6 M78 10000 251 00I 002*")-SUMIFS(E104:E631,K104:K631,"0",B104:B631,"1 2 3 5 2 12 31111 6 M78 10000 251 00I 002*")</f>
        <v>0</v>
      </c>
      <c r="E103"/>
      <c r="F103" s="31">
        <f>SUMIFS(F104:F631,K104:K631,"0",B104:B631,"1 2 3 5 2 12 31111 6 M78 10000 251 00I 002*")</f>
        <v>4677488.0999999996</v>
      </c>
      <c r="G103" s="31">
        <f>SUMIFS(G104:G631,K104:K631,"0",B104:B631,"1 2 3 5 2 12 31111 6 M78 10000 251 00I 002*")</f>
        <v>0</v>
      </c>
      <c r="H103" s="31">
        <f t="shared" si="1"/>
        <v>4677488.0999999996</v>
      </c>
      <c r="I103" s="31"/>
      <c r="K103" t="s">
        <v>13</v>
      </c>
    </row>
    <row r="104" spans="2:11" ht="13" x14ac:dyDescent="0.15">
      <c r="B104" s="29" t="s">
        <v>164</v>
      </c>
      <c r="C104" s="29" t="s">
        <v>132</v>
      </c>
      <c r="D104" s="31">
        <f>SUMIFS(D105:D631,K105:K631,"0",B105:B631,"1 2 3 5 2 12 31111 6 M78 10000 251 00I 002 61200*")-SUMIFS(E105:E631,K105:K631,"0",B105:B631,"1 2 3 5 2 12 31111 6 M78 10000 251 00I 002 61200*")</f>
        <v>0</v>
      </c>
      <c r="E104"/>
      <c r="F104" s="31">
        <f>SUMIFS(F105:F631,K105:K631,"0",B105:B631,"1 2 3 5 2 12 31111 6 M78 10000 251 00I 002 61200*")</f>
        <v>4677488.0999999996</v>
      </c>
      <c r="G104" s="31">
        <f>SUMIFS(G105:G631,K105:K631,"0",B105:B631,"1 2 3 5 2 12 31111 6 M78 10000 251 00I 002 61200*")</f>
        <v>0</v>
      </c>
      <c r="H104" s="31">
        <f t="shared" si="1"/>
        <v>4677488.0999999996</v>
      </c>
      <c r="I104" s="31"/>
      <c r="K104" t="s">
        <v>13</v>
      </c>
    </row>
    <row r="105" spans="2:11" ht="13" x14ac:dyDescent="0.15">
      <c r="B105" s="29" t="s">
        <v>165</v>
      </c>
      <c r="C105" s="29" t="s">
        <v>134</v>
      </c>
      <c r="D105" s="31">
        <f>SUMIFS(D106:D631,K106:K631,"0",B106:B631,"1 2 3 5 2 12 31111 6 M78 10000 251 00I 002 61200 025*")-SUMIFS(E106:E631,K106:K631,"0",B106:B631,"1 2 3 5 2 12 31111 6 M78 10000 251 00I 002 61200 025*")</f>
        <v>0</v>
      </c>
      <c r="E105"/>
      <c r="F105" s="31">
        <f>SUMIFS(F106:F631,K106:K631,"0",B106:B631,"1 2 3 5 2 12 31111 6 M78 10000 251 00I 002 61200 025*")</f>
        <v>4677488.0999999996</v>
      </c>
      <c r="G105" s="31">
        <f>SUMIFS(G106:G631,K106:K631,"0",B106:B631,"1 2 3 5 2 12 31111 6 M78 10000 251 00I 002 61200 025*")</f>
        <v>0</v>
      </c>
      <c r="H105" s="31">
        <f t="shared" si="1"/>
        <v>4677488.0999999996</v>
      </c>
      <c r="I105" s="31"/>
      <c r="K105" t="s">
        <v>13</v>
      </c>
    </row>
    <row r="106" spans="2:11" ht="22" x14ac:dyDescent="0.15">
      <c r="B106" s="29" t="s">
        <v>166</v>
      </c>
      <c r="C106" s="29" t="s">
        <v>136</v>
      </c>
      <c r="D106" s="31">
        <f>SUMIFS(D107:D631,K107:K631,"0",B107:B631,"1 2 3 5 2 12 31111 6 M78 10000 251 00I 002 61200 025 2210000*")-SUMIFS(E107:E631,K107:K631,"0",B107:B631,"1 2 3 5 2 12 31111 6 M78 10000 251 00I 002 61200 025 2210000*")</f>
        <v>0</v>
      </c>
      <c r="E106"/>
      <c r="F106" s="31">
        <f>SUMIFS(F107:F631,K107:K631,"0",B107:B631,"1 2 3 5 2 12 31111 6 M78 10000 251 00I 002 61200 025 2210000*")</f>
        <v>4677488.0999999996</v>
      </c>
      <c r="G106" s="31">
        <f>SUMIFS(G107:G631,K107:K631,"0",B107:B631,"1 2 3 5 2 12 31111 6 M78 10000 251 00I 002 61200 025 2210000*")</f>
        <v>0</v>
      </c>
      <c r="H106" s="31">
        <f t="shared" si="1"/>
        <v>4677488.0999999996</v>
      </c>
      <c r="I106" s="31"/>
      <c r="K106" t="s">
        <v>13</v>
      </c>
    </row>
    <row r="107" spans="2:11" ht="22" x14ac:dyDescent="0.15">
      <c r="B107" s="29" t="s">
        <v>167</v>
      </c>
      <c r="C107" s="29" t="s">
        <v>138</v>
      </c>
      <c r="D107" s="31">
        <f>SUMIFS(D108:D631,K108:K631,"0",B108:B631,"1 2 3 5 2 12 31111 6 M78 10000 251 00I 002 61200 025 2210000 2024*")-SUMIFS(E108:E631,K108:K631,"0",B108:B631,"1 2 3 5 2 12 31111 6 M78 10000 251 00I 002 61200 025 2210000 2024*")</f>
        <v>0</v>
      </c>
      <c r="E107"/>
      <c r="F107" s="31">
        <f>SUMIFS(F108:F631,K108:K631,"0",B108:B631,"1 2 3 5 2 12 31111 6 M78 10000 251 00I 002 61200 025 2210000 2024*")</f>
        <v>4677488.0999999996</v>
      </c>
      <c r="G107" s="31">
        <f>SUMIFS(G108:G631,K108:K631,"0",B108:B631,"1 2 3 5 2 12 31111 6 M78 10000 251 00I 002 61200 025 2210000 2024*")</f>
        <v>0</v>
      </c>
      <c r="H107" s="31">
        <f t="shared" si="1"/>
        <v>4677488.0999999996</v>
      </c>
      <c r="I107" s="31"/>
      <c r="K107" t="s">
        <v>13</v>
      </c>
    </row>
    <row r="108" spans="2:11" ht="22" x14ac:dyDescent="0.15">
      <c r="B108" s="29" t="s">
        <v>168</v>
      </c>
      <c r="C108" s="29" t="s">
        <v>140</v>
      </c>
      <c r="D108" s="31">
        <f>SUMIFS(D109:D631,K109:K631,"0",B109:B631,"1 2 3 5 2 12 31111 6 M78 10000 251 00I 002 61200 025 2210000 2024 00000000*")-SUMIFS(E109:E631,K109:K631,"0",B109:B631,"1 2 3 5 2 12 31111 6 M78 10000 251 00I 002 61200 025 2210000 2024 00000000*")</f>
        <v>0</v>
      </c>
      <c r="E108"/>
      <c r="F108" s="31">
        <f>SUMIFS(F109:F631,K109:K631,"0",B109:B631,"1 2 3 5 2 12 31111 6 M78 10000 251 00I 002 61200 025 2210000 2024 00000000*")</f>
        <v>4677488.0999999996</v>
      </c>
      <c r="G108" s="31">
        <f>SUMIFS(G109:G631,K109:K631,"0",B109:B631,"1 2 3 5 2 12 31111 6 M78 10000 251 00I 002 61200 025 2210000 2024 00000000*")</f>
        <v>0</v>
      </c>
      <c r="H108" s="31">
        <f t="shared" si="1"/>
        <v>4677488.0999999996</v>
      </c>
      <c r="I108" s="31"/>
      <c r="K108" t="s">
        <v>13</v>
      </c>
    </row>
    <row r="109" spans="2:11" ht="22" x14ac:dyDescent="0.15">
      <c r="B109" s="29" t="s">
        <v>169</v>
      </c>
      <c r="C109" s="29" t="s">
        <v>9</v>
      </c>
      <c r="D109" s="31">
        <f>SUMIFS(D110:D631,K110:K631,"0",B110:B631,"1 2 3 5 2 12 31111 6 M78 10000 251 00I 002 61200 025 2210000 2024 00000000 002*")-SUMIFS(E110:E631,K110:K631,"0",B110:B631,"1 2 3 5 2 12 31111 6 M78 10000 251 00I 002 61200 025 2210000 2024 00000000 002*")</f>
        <v>0</v>
      </c>
      <c r="E109"/>
      <c r="F109" s="31">
        <f>SUMIFS(F110:F631,K110:K631,"0",B110:B631,"1 2 3 5 2 12 31111 6 M78 10000 251 00I 002 61200 025 2210000 2024 00000000 002*")</f>
        <v>4677488.0999999996</v>
      </c>
      <c r="G109" s="31">
        <f>SUMIFS(G110:G631,K110:K631,"0",B110:B631,"1 2 3 5 2 12 31111 6 M78 10000 251 00I 002 61200 025 2210000 2024 00000000 002*")</f>
        <v>0</v>
      </c>
      <c r="H109" s="31">
        <f t="shared" si="1"/>
        <v>4677488.0999999996</v>
      </c>
      <c r="I109" s="31"/>
      <c r="K109" t="s">
        <v>13</v>
      </c>
    </row>
    <row r="110" spans="2:11" ht="22" x14ac:dyDescent="0.15">
      <c r="B110" s="27" t="s">
        <v>170</v>
      </c>
      <c r="C110" s="27" t="s">
        <v>171</v>
      </c>
      <c r="D110" s="30">
        <v>0</v>
      </c>
      <c r="E110" s="30"/>
      <c r="F110" s="30">
        <v>474325.4</v>
      </c>
      <c r="G110" s="30">
        <v>0</v>
      </c>
      <c r="H110" s="30">
        <f t="shared" si="1"/>
        <v>474325.4</v>
      </c>
      <c r="I110" s="30"/>
      <c r="K110" t="s">
        <v>37</v>
      </c>
    </row>
    <row r="111" spans="2:11" ht="22" x14ac:dyDescent="0.15">
      <c r="B111" s="27" t="s">
        <v>172</v>
      </c>
      <c r="C111" s="27" t="s">
        <v>173</v>
      </c>
      <c r="D111" s="30">
        <v>0</v>
      </c>
      <c r="E111" s="30"/>
      <c r="F111" s="30">
        <v>1056080.46</v>
      </c>
      <c r="G111" s="30">
        <v>0</v>
      </c>
      <c r="H111" s="30">
        <f t="shared" si="1"/>
        <v>1056080.46</v>
      </c>
      <c r="I111" s="30"/>
      <c r="K111" t="s">
        <v>37</v>
      </c>
    </row>
    <row r="112" spans="2:11" ht="22" x14ac:dyDescent="0.15">
      <c r="B112" s="27" t="s">
        <v>174</v>
      </c>
      <c r="C112" s="27" t="s">
        <v>175</v>
      </c>
      <c r="D112" s="30">
        <v>0</v>
      </c>
      <c r="E112" s="30"/>
      <c r="F112" s="30">
        <v>494289.75</v>
      </c>
      <c r="G112" s="30">
        <v>0</v>
      </c>
      <c r="H112" s="30">
        <f t="shared" si="1"/>
        <v>494289.75</v>
      </c>
      <c r="I112" s="30"/>
      <c r="K112" t="s">
        <v>37</v>
      </c>
    </row>
    <row r="113" spans="2:11" ht="22" x14ac:dyDescent="0.15">
      <c r="B113" s="27" t="s">
        <v>176</v>
      </c>
      <c r="C113" s="27" t="s">
        <v>177</v>
      </c>
      <c r="D113" s="30">
        <v>0</v>
      </c>
      <c r="E113" s="30"/>
      <c r="F113" s="30">
        <v>662671.62</v>
      </c>
      <c r="G113" s="30">
        <v>0</v>
      </c>
      <c r="H113" s="30">
        <f t="shared" si="1"/>
        <v>662671.62</v>
      </c>
      <c r="I113" s="30"/>
      <c r="K113" t="s">
        <v>37</v>
      </c>
    </row>
    <row r="114" spans="2:11" ht="22" x14ac:dyDescent="0.15">
      <c r="B114" s="27" t="s">
        <v>178</v>
      </c>
      <c r="C114" s="27" t="s">
        <v>179</v>
      </c>
      <c r="D114" s="30">
        <v>0</v>
      </c>
      <c r="E114" s="30"/>
      <c r="F114" s="30">
        <v>493604.83</v>
      </c>
      <c r="G114" s="30">
        <v>0</v>
      </c>
      <c r="H114" s="30">
        <f t="shared" si="1"/>
        <v>493604.83</v>
      </c>
      <c r="I114" s="30"/>
      <c r="K114" t="s">
        <v>37</v>
      </c>
    </row>
    <row r="115" spans="2:11" ht="22" x14ac:dyDescent="0.15">
      <c r="B115" s="27" t="s">
        <v>180</v>
      </c>
      <c r="C115" s="27" t="s">
        <v>181</v>
      </c>
      <c r="D115" s="30">
        <v>0</v>
      </c>
      <c r="E115" s="30"/>
      <c r="F115" s="30">
        <v>389796.85</v>
      </c>
      <c r="G115" s="30">
        <v>0</v>
      </c>
      <c r="H115" s="30">
        <f t="shared" si="1"/>
        <v>389796.85</v>
      </c>
      <c r="I115" s="30"/>
      <c r="K115" t="s">
        <v>37</v>
      </c>
    </row>
    <row r="116" spans="2:11" ht="22" x14ac:dyDescent="0.15">
      <c r="B116" s="27" t="s">
        <v>182</v>
      </c>
      <c r="C116" s="27" t="s">
        <v>183</v>
      </c>
      <c r="D116" s="30">
        <v>0</v>
      </c>
      <c r="E116" s="30"/>
      <c r="F116" s="30">
        <v>1106719.19</v>
      </c>
      <c r="G116" s="30">
        <v>0</v>
      </c>
      <c r="H116" s="30">
        <f t="shared" si="1"/>
        <v>1106719.19</v>
      </c>
      <c r="I116" s="30"/>
      <c r="K116" t="s">
        <v>37</v>
      </c>
    </row>
    <row r="117" spans="2:11" ht="22" x14ac:dyDescent="0.15">
      <c r="B117" s="29" t="s">
        <v>184</v>
      </c>
      <c r="C117" s="29" t="s">
        <v>185</v>
      </c>
      <c r="D117" s="31">
        <f>SUMIFS(D118:D631,K118:K631,"0",B118:B631,"1 2 3 5 3*")-SUMIFS(E118:E631,K118:K631,"0",B118:B631,"1 2 3 5 3*")</f>
        <v>0</v>
      </c>
      <c r="E117"/>
      <c r="F117" s="31">
        <f>SUMIFS(F118:F631,K118:K631,"0",B118:B631,"1 2 3 5 3*")</f>
        <v>4308654.0800000001</v>
      </c>
      <c r="G117" s="31">
        <f>SUMIFS(G118:G631,K118:K631,"0",B118:B631,"1 2 3 5 3*")</f>
        <v>0</v>
      </c>
      <c r="H117" s="31">
        <f t="shared" si="1"/>
        <v>4308654.0800000001</v>
      </c>
      <c r="I117" s="31"/>
      <c r="K117" t="s">
        <v>13</v>
      </c>
    </row>
    <row r="118" spans="2:11" ht="13" x14ac:dyDescent="0.15">
      <c r="B118" s="29" t="s">
        <v>186</v>
      </c>
      <c r="C118" s="29" t="s">
        <v>24</v>
      </c>
      <c r="D118" s="31">
        <f>SUMIFS(D119:D631,K119:K631,"0",B119:B631,"1 2 3 5 3 12*")-SUMIFS(E119:E631,K119:K631,"0",B119:B631,"1 2 3 5 3 12*")</f>
        <v>0</v>
      </c>
      <c r="E118"/>
      <c r="F118" s="31">
        <f>SUMIFS(F119:F631,K119:K631,"0",B119:B631,"1 2 3 5 3 12*")</f>
        <v>4308654.0800000001</v>
      </c>
      <c r="G118" s="31">
        <f>SUMIFS(G119:G631,K119:K631,"0",B119:B631,"1 2 3 5 3 12*")</f>
        <v>0</v>
      </c>
      <c r="H118" s="31">
        <f t="shared" si="1"/>
        <v>4308654.0800000001</v>
      </c>
      <c r="I118" s="31"/>
      <c r="K118" t="s">
        <v>13</v>
      </c>
    </row>
    <row r="119" spans="2:11" ht="13" x14ac:dyDescent="0.15">
      <c r="B119" s="29" t="s">
        <v>187</v>
      </c>
      <c r="C119" s="29" t="s">
        <v>26</v>
      </c>
      <c r="D119" s="31">
        <f>SUMIFS(D120:D631,K120:K631,"0",B120:B631,"1 2 3 5 3 12 31111*")-SUMIFS(E120:E631,K120:K631,"0",B120:B631,"1 2 3 5 3 12 31111*")</f>
        <v>0</v>
      </c>
      <c r="E119"/>
      <c r="F119" s="31">
        <f>SUMIFS(F120:F631,K120:K631,"0",B120:B631,"1 2 3 5 3 12 31111*")</f>
        <v>4308654.0800000001</v>
      </c>
      <c r="G119" s="31">
        <f>SUMIFS(G120:G631,K120:K631,"0",B120:B631,"1 2 3 5 3 12 31111*")</f>
        <v>0</v>
      </c>
      <c r="H119" s="31">
        <f t="shared" si="1"/>
        <v>4308654.0800000001</v>
      </c>
      <c r="I119" s="31"/>
      <c r="K119" t="s">
        <v>13</v>
      </c>
    </row>
    <row r="120" spans="2:11" ht="13" x14ac:dyDescent="0.15">
      <c r="B120" s="29" t="s">
        <v>188</v>
      </c>
      <c r="C120" s="29" t="s">
        <v>28</v>
      </c>
      <c r="D120" s="31">
        <f>SUMIFS(D121:D631,K121:K631,"0",B121:B631,"1 2 3 5 3 12 31111 6*")-SUMIFS(E121:E631,K121:K631,"0",B121:B631,"1 2 3 5 3 12 31111 6*")</f>
        <v>0</v>
      </c>
      <c r="E120"/>
      <c r="F120" s="31">
        <f>SUMIFS(F121:F631,K121:K631,"0",B121:B631,"1 2 3 5 3 12 31111 6*")</f>
        <v>4308654.0800000001</v>
      </c>
      <c r="G120" s="31">
        <f>SUMIFS(G121:G631,K121:K631,"0",B121:B631,"1 2 3 5 3 12 31111 6*")</f>
        <v>0</v>
      </c>
      <c r="H120" s="31">
        <f t="shared" si="1"/>
        <v>4308654.0800000001</v>
      </c>
      <c r="I120" s="31"/>
      <c r="K120" t="s">
        <v>13</v>
      </c>
    </row>
    <row r="121" spans="2:11" ht="13" x14ac:dyDescent="0.15">
      <c r="B121" s="29" t="s">
        <v>189</v>
      </c>
      <c r="C121" s="29" t="s">
        <v>30</v>
      </c>
      <c r="D121" s="31">
        <f>SUMIFS(D122:D631,K122:K631,"0",B122:B631,"1 2 3 5 3 12 31111 6 M78*")-SUMIFS(E122:E631,K122:K631,"0",B122:B631,"1 2 3 5 3 12 31111 6 M78*")</f>
        <v>0</v>
      </c>
      <c r="E121"/>
      <c r="F121" s="31">
        <f>SUMIFS(F122:F631,K122:K631,"0",B122:B631,"1 2 3 5 3 12 31111 6 M78*")</f>
        <v>4308654.0800000001</v>
      </c>
      <c r="G121" s="31">
        <f>SUMIFS(G122:G631,K122:K631,"0",B122:B631,"1 2 3 5 3 12 31111 6 M78*")</f>
        <v>0</v>
      </c>
      <c r="H121" s="31">
        <f t="shared" si="1"/>
        <v>4308654.0800000001</v>
      </c>
      <c r="I121" s="31"/>
      <c r="K121" t="s">
        <v>13</v>
      </c>
    </row>
    <row r="122" spans="2:11" ht="13" x14ac:dyDescent="0.15">
      <c r="B122" s="29" t="s">
        <v>190</v>
      </c>
      <c r="C122" s="29" t="s">
        <v>124</v>
      </c>
      <c r="D122" s="31">
        <f>SUMIFS(D123:D631,K123:K631,"0",B123:B631,"1 2 3 5 3 12 31111 6 M78 10000*")-SUMIFS(E123:E631,K123:K631,"0",B123:B631,"1 2 3 5 3 12 31111 6 M78 10000*")</f>
        <v>0</v>
      </c>
      <c r="E122"/>
      <c r="F122" s="31">
        <f>SUMIFS(F123:F631,K123:K631,"0",B123:B631,"1 2 3 5 3 12 31111 6 M78 10000*")</f>
        <v>4308654.0800000001</v>
      </c>
      <c r="G122" s="31">
        <f>SUMIFS(G123:G631,K123:K631,"0",B123:B631,"1 2 3 5 3 12 31111 6 M78 10000*")</f>
        <v>0</v>
      </c>
      <c r="H122" s="31">
        <f t="shared" si="1"/>
        <v>4308654.0800000001</v>
      </c>
      <c r="I122" s="31"/>
      <c r="K122" t="s">
        <v>13</v>
      </c>
    </row>
    <row r="123" spans="2:11" ht="13" x14ac:dyDescent="0.15">
      <c r="B123" s="29" t="s">
        <v>191</v>
      </c>
      <c r="C123" s="29" t="s">
        <v>192</v>
      </c>
      <c r="D123" s="31">
        <f>SUMIFS(D124:D631,K124:K631,"0",B124:B631,"1 2 3 5 3 12 31111 6 M78 10000 213*")-SUMIFS(E124:E631,K124:K631,"0",B124:B631,"1 2 3 5 3 12 31111 6 M78 10000 213*")</f>
        <v>0</v>
      </c>
      <c r="E123"/>
      <c r="F123" s="31">
        <f>SUMIFS(F124:F631,K124:K631,"0",B124:B631,"1 2 3 5 3 12 31111 6 M78 10000 213*")</f>
        <v>348811.95</v>
      </c>
      <c r="G123" s="31">
        <f>SUMIFS(G124:G631,K124:K631,"0",B124:B631,"1 2 3 5 3 12 31111 6 M78 10000 213*")</f>
        <v>0</v>
      </c>
      <c r="H123" s="31">
        <f t="shared" si="1"/>
        <v>348811.95</v>
      </c>
      <c r="I123" s="31"/>
      <c r="K123" t="s">
        <v>13</v>
      </c>
    </row>
    <row r="124" spans="2:11" ht="13" x14ac:dyDescent="0.15">
      <c r="B124" s="29" t="s">
        <v>193</v>
      </c>
      <c r="C124" s="29" t="s">
        <v>128</v>
      </c>
      <c r="D124" s="31">
        <f>SUMIFS(D125:D631,K125:K631,"0",B125:B631,"1 2 3 5 3 12 31111 6 M78 10000 213 00I*")-SUMIFS(E125:E631,K125:K631,"0",B125:B631,"1 2 3 5 3 12 31111 6 M78 10000 213 00I*")</f>
        <v>0</v>
      </c>
      <c r="E124"/>
      <c r="F124" s="31">
        <f>SUMIFS(F125:F631,K125:K631,"0",B125:B631,"1 2 3 5 3 12 31111 6 M78 10000 213 00I*")</f>
        <v>348811.95</v>
      </c>
      <c r="G124" s="31">
        <f>SUMIFS(G125:G631,K125:K631,"0",B125:B631,"1 2 3 5 3 12 31111 6 M78 10000 213 00I*")</f>
        <v>0</v>
      </c>
      <c r="H124" s="31">
        <f t="shared" si="1"/>
        <v>348811.95</v>
      </c>
      <c r="I124" s="31"/>
      <c r="K124" t="s">
        <v>13</v>
      </c>
    </row>
    <row r="125" spans="2:11" ht="13" x14ac:dyDescent="0.15">
      <c r="B125" s="29" t="s">
        <v>194</v>
      </c>
      <c r="C125" s="29" t="s">
        <v>130</v>
      </c>
      <c r="D125" s="31">
        <f>SUMIFS(D126:D631,K126:K631,"0",B126:B631,"1 2 3 5 3 12 31111 6 M78 10000 213 00I 002*")-SUMIFS(E126:E631,K126:K631,"0",B126:B631,"1 2 3 5 3 12 31111 6 M78 10000 213 00I 002*")</f>
        <v>0</v>
      </c>
      <c r="E125"/>
      <c r="F125" s="31">
        <f>SUMIFS(F126:F631,K126:K631,"0",B126:B631,"1 2 3 5 3 12 31111 6 M78 10000 213 00I 002*")</f>
        <v>348811.95</v>
      </c>
      <c r="G125" s="31">
        <f>SUMIFS(G126:G631,K126:K631,"0",B126:B631,"1 2 3 5 3 12 31111 6 M78 10000 213 00I 002*")</f>
        <v>0</v>
      </c>
      <c r="H125" s="31">
        <f t="shared" si="1"/>
        <v>348811.95</v>
      </c>
      <c r="I125" s="31"/>
      <c r="K125" t="s">
        <v>13</v>
      </c>
    </row>
    <row r="126" spans="2:11" ht="22" x14ac:dyDescent="0.15">
      <c r="B126" s="29" t="s">
        <v>195</v>
      </c>
      <c r="C126" s="29" t="s">
        <v>196</v>
      </c>
      <c r="D126" s="31">
        <f>SUMIFS(D127:D631,K127:K631,"0",B127:B631,"1 2 3 5 3 12 31111 6 M78 10000 213 00I 002 61300*")-SUMIFS(E127:E631,K127:K631,"0",B127:B631,"1 2 3 5 3 12 31111 6 M78 10000 213 00I 002 61300*")</f>
        <v>0</v>
      </c>
      <c r="E126"/>
      <c r="F126" s="31">
        <f>SUMIFS(F127:F631,K127:K631,"0",B127:B631,"1 2 3 5 3 12 31111 6 M78 10000 213 00I 002 61300*")</f>
        <v>348811.95</v>
      </c>
      <c r="G126" s="31">
        <f>SUMIFS(G127:G631,K127:K631,"0",B127:B631,"1 2 3 5 3 12 31111 6 M78 10000 213 00I 002 61300*")</f>
        <v>0</v>
      </c>
      <c r="H126" s="31">
        <f t="shared" si="1"/>
        <v>348811.95</v>
      </c>
      <c r="I126" s="31"/>
      <c r="K126" t="s">
        <v>13</v>
      </c>
    </row>
    <row r="127" spans="2:11" ht="13" x14ac:dyDescent="0.15">
      <c r="B127" s="29" t="s">
        <v>197</v>
      </c>
      <c r="C127" s="29" t="s">
        <v>134</v>
      </c>
      <c r="D127" s="31">
        <f>SUMIFS(D128:D631,K128:K631,"0",B128:B631,"1 2 3 5 3 12 31111 6 M78 10000 213 00I 002 61300 025*")-SUMIFS(E128:E631,K128:K631,"0",B128:B631,"1 2 3 5 3 12 31111 6 M78 10000 213 00I 002 61300 025*")</f>
        <v>0</v>
      </c>
      <c r="E127"/>
      <c r="F127" s="31">
        <f>SUMIFS(F128:F631,K128:K631,"0",B128:B631,"1 2 3 5 3 12 31111 6 M78 10000 213 00I 002 61300 025*")</f>
        <v>348811.95</v>
      </c>
      <c r="G127" s="31">
        <f>SUMIFS(G128:G631,K128:K631,"0",B128:B631,"1 2 3 5 3 12 31111 6 M78 10000 213 00I 002 61300 025*")</f>
        <v>0</v>
      </c>
      <c r="H127" s="31">
        <f t="shared" si="1"/>
        <v>348811.95</v>
      </c>
      <c r="I127" s="31"/>
      <c r="K127" t="s">
        <v>13</v>
      </c>
    </row>
    <row r="128" spans="2:11" ht="22" x14ac:dyDescent="0.15">
      <c r="B128" s="29" t="s">
        <v>198</v>
      </c>
      <c r="C128" s="29" t="s">
        <v>136</v>
      </c>
      <c r="D128" s="31">
        <f>SUMIFS(D129:D631,K129:K631,"0",B129:B631,"1 2 3 5 3 12 31111 6 M78 10000 213 00I 002 61300 025 2210000*")-SUMIFS(E129:E631,K129:K631,"0",B129:B631,"1 2 3 5 3 12 31111 6 M78 10000 213 00I 002 61300 025 2210000*")</f>
        <v>0</v>
      </c>
      <c r="E128"/>
      <c r="F128" s="31">
        <f>SUMIFS(F129:F631,K129:K631,"0",B129:B631,"1 2 3 5 3 12 31111 6 M78 10000 213 00I 002 61300 025 2210000*")</f>
        <v>348811.95</v>
      </c>
      <c r="G128" s="31">
        <f>SUMIFS(G129:G631,K129:K631,"0",B129:B631,"1 2 3 5 3 12 31111 6 M78 10000 213 00I 002 61300 025 2210000*")</f>
        <v>0</v>
      </c>
      <c r="H128" s="31">
        <f t="shared" si="1"/>
        <v>348811.95</v>
      </c>
      <c r="I128" s="31"/>
      <c r="K128" t="s">
        <v>13</v>
      </c>
    </row>
    <row r="129" spans="2:11" ht="22" x14ac:dyDescent="0.15">
      <c r="B129" s="29" t="s">
        <v>199</v>
      </c>
      <c r="C129" s="29" t="s">
        <v>138</v>
      </c>
      <c r="D129" s="31">
        <f>SUMIFS(D130:D631,K130:K631,"0",B130:B631,"1 2 3 5 3 12 31111 6 M78 10000 213 00I 002 61300 025 2210000 2024*")-SUMIFS(E130:E631,K130:K631,"0",B130:B631,"1 2 3 5 3 12 31111 6 M78 10000 213 00I 002 61300 025 2210000 2024*")</f>
        <v>0</v>
      </c>
      <c r="E129"/>
      <c r="F129" s="31">
        <f>SUMIFS(F130:F631,K130:K631,"0",B130:B631,"1 2 3 5 3 12 31111 6 M78 10000 213 00I 002 61300 025 2210000 2024*")</f>
        <v>348811.95</v>
      </c>
      <c r="G129" s="31">
        <f>SUMIFS(G130:G631,K130:K631,"0",B130:B631,"1 2 3 5 3 12 31111 6 M78 10000 213 00I 002 61300 025 2210000 2024*")</f>
        <v>0</v>
      </c>
      <c r="H129" s="31">
        <f t="shared" si="1"/>
        <v>348811.95</v>
      </c>
      <c r="I129" s="31"/>
      <c r="K129" t="s">
        <v>13</v>
      </c>
    </row>
    <row r="130" spans="2:11" ht="22" x14ac:dyDescent="0.15">
      <c r="B130" s="29" t="s">
        <v>200</v>
      </c>
      <c r="C130" s="29" t="s">
        <v>140</v>
      </c>
      <c r="D130" s="31">
        <f>SUMIFS(D131:D631,K131:K631,"0",B131:B631,"1 2 3 5 3 12 31111 6 M78 10000 213 00I 002 61300 025 2210000 2024 00000000*")-SUMIFS(E131:E631,K131:K631,"0",B131:B631,"1 2 3 5 3 12 31111 6 M78 10000 213 00I 002 61300 025 2210000 2024 00000000*")</f>
        <v>0</v>
      </c>
      <c r="E130"/>
      <c r="F130" s="31">
        <f>SUMIFS(F131:F631,K131:K631,"0",B131:B631,"1 2 3 5 3 12 31111 6 M78 10000 213 00I 002 61300 025 2210000 2024 00000000*")</f>
        <v>348811.95</v>
      </c>
      <c r="G130" s="31">
        <f>SUMIFS(G131:G631,K131:K631,"0",B131:B631,"1 2 3 5 3 12 31111 6 M78 10000 213 00I 002 61300 025 2210000 2024 00000000*")</f>
        <v>0</v>
      </c>
      <c r="H130" s="31">
        <f t="shared" si="1"/>
        <v>348811.95</v>
      </c>
      <c r="I130" s="31"/>
      <c r="K130" t="s">
        <v>13</v>
      </c>
    </row>
    <row r="131" spans="2:11" ht="22" x14ac:dyDescent="0.15">
      <c r="B131" s="29" t="s">
        <v>201</v>
      </c>
      <c r="C131" s="29" t="s">
        <v>9</v>
      </c>
      <c r="D131" s="31">
        <f>SUMIFS(D132:D631,K132:K631,"0",B132:B631,"1 2 3 5 3 12 31111 6 M78 10000 213 00I 002 61300 025 2210000 2024 00000000 002*")-SUMIFS(E132:E631,K132:K631,"0",B132:B631,"1 2 3 5 3 12 31111 6 M78 10000 213 00I 002 61300 025 2210000 2024 00000000 002*")</f>
        <v>0</v>
      </c>
      <c r="E131"/>
      <c r="F131" s="31">
        <f>SUMIFS(F132:F631,K132:K631,"0",B132:B631,"1 2 3 5 3 12 31111 6 M78 10000 213 00I 002 61300 025 2210000 2024 00000000 002*")</f>
        <v>348811.95</v>
      </c>
      <c r="G131" s="31">
        <f>SUMIFS(G132:G631,K132:K631,"0",B132:B631,"1 2 3 5 3 12 31111 6 M78 10000 213 00I 002 61300 025 2210000 2024 00000000 002*")</f>
        <v>0</v>
      </c>
      <c r="H131" s="31">
        <f t="shared" si="1"/>
        <v>348811.95</v>
      </c>
      <c r="I131" s="31"/>
      <c r="K131" t="s">
        <v>13</v>
      </c>
    </row>
    <row r="132" spans="2:11" ht="22" x14ac:dyDescent="0.15">
      <c r="B132" s="27" t="s">
        <v>202</v>
      </c>
      <c r="C132" s="27" t="s">
        <v>203</v>
      </c>
      <c r="D132" s="30">
        <v>0</v>
      </c>
      <c r="E132" s="30"/>
      <c r="F132" s="30">
        <v>348811.95</v>
      </c>
      <c r="G132" s="30">
        <v>0</v>
      </c>
      <c r="H132" s="30">
        <f t="shared" si="1"/>
        <v>348811.95</v>
      </c>
      <c r="I132" s="30"/>
      <c r="K132" t="s">
        <v>37</v>
      </c>
    </row>
    <row r="133" spans="2:11" ht="13" x14ac:dyDescent="0.15">
      <c r="B133" s="29" t="s">
        <v>204</v>
      </c>
      <c r="C133" s="29" t="s">
        <v>205</v>
      </c>
      <c r="D133" s="31">
        <f>SUMIFS(D134:D631,K134:K631,"0",B134:B631,"1 2 3 5 3 12 31111 6 M78 10000 223*")-SUMIFS(E134:E631,K134:K631,"0",B134:B631,"1 2 3 5 3 12 31111 6 M78 10000 223*")</f>
        <v>0</v>
      </c>
      <c r="E133"/>
      <c r="F133" s="31">
        <f>SUMIFS(F134:F631,K134:K631,"0",B134:B631,"1 2 3 5 3 12 31111 6 M78 10000 223*")</f>
        <v>2932601.62</v>
      </c>
      <c r="G133" s="31">
        <f>SUMIFS(G134:G631,K134:K631,"0",B134:B631,"1 2 3 5 3 12 31111 6 M78 10000 223*")</f>
        <v>0</v>
      </c>
      <c r="H133" s="31">
        <f t="shared" si="1"/>
        <v>2932601.62</v>
      </c>
      <c r="I133" s="31"/>
      <c r="K133" t="s">
        <v>13</v>
      </c>
    </row>
    <row r="134" spans="2:11" ht="13" x14ac:dyDescent="0.15">
      <c r="B134" s="29" t="s">
        <v>206</v>
      </c>
      <c r="C134" s="29" t="s">
        <v>128</v>
      </c>
      <c r="D134" s="31">
        <f>SUMIFS(D135:D631,K135:K631,"0",B135:B631,"1 2 3 5 3 12 31111 6 M78 10000 223 00I*")-SUMIFS(E135:E631,K135:K631,"0",B135:B631,"1 2 3 5 3 12 31111 6 M78 10000 223 00I*")</f>
        <v>0</v>
      </c>
      <c r="E134"/>
      <c r="F134" s="31">
        <f>SUMIFS(F135:F631,K135:K631,"0",B135:B631,"1 2 3 5 3 12 31111 6 M78 10000 223 00I*")</f>
        <v>2932601.62</v>
      </c>
      <c r="G134" s="31">
        <f>SUMIFS(G135:G631,K135:K631,"0",B135:B631,"1 2 3 5 3 12 31111 6 M78 10000 223 00I*")</f>
        <v>0</v>
      </c>
      <c r="H134" s="31">
        <f t="shared" si="1"/>
        <v>2932601.62</v>
      </c>
      <c r="I134" s="31"/>
      <c r="K134" t="s">
        <v>13</v>
      </c>
    </row>
    <row r="135" spans="2:11" ht="13" x14ac:dyDescent="0.15">
      <c r="B135" s="29" t="s">
        <v>207</v>
      </c>
      <c r="C135" s="29" t="s">
        <v>130</v>
      </c>
      <c r="D135" s="31">
        <f>SUMIFS(D136:D631,K136:K631,"0",B136:B631,"1 2 3 5 3 12 31111 6 M78 10000 223 00I 002*")-SUMIFS(E136:E631,K136:K631,"0",B136:B631,"1 2 3 5 3 12 31111 6 M78 10000 223 00I 002*")</f>
        <v>0</v>
      </c>
      <c r="E135"/>
      <c r="F135" s="31">
        <f>SUMIFS(F136:F631,K136:K631,"0",B136:B631,"1 2 3 5 3 12 31111 6 M78 10000 223 00I 002*")</f>
        <v>2932601.62</v>
      </c>
      <c r="G135" s="31">
        <f>SUMIFS(G136:G631,K136:K631,"0",B136:B631,"1 2 3 5 3 12 31111 6 M78 10000 223 00I 002*")</f>
        <v>0</v>
      </c>
      <c r="H135" s="31">
        <f t="shared" si="1"/>
        <v>2932601.62</v>
      </c>
      <c r="I135" s="31"/>
      <c r="K135" t="s">
        <v>13</v>
      </c>
    </row>
    <row r="136" spans="2:11" ht="22" x14ac:dyDescent="0.15">
      <c r="B136" s="29" t="s">
        <v>208</v>
      </c>
      <c r="C136" s="29" t="s">
        <v>196</v>
      </c>
      <c r="D136" s="31">
        <f>SUMIFS(D137:D631,K137:K631,"0",B137:B631,"1 2 3 5 3 12 31111 6 M78 10000 223 00I 002 61300*")-SUMIFS(E137:E631,K137:K631,"0",B137:B631,"1 2 3 5 3 12 31111 6 M78 10000 223 00I 002 61300*")</f>
        <v>0</v>
      </c>
      <c r="E136"/>
      <c r="F136" s="31">
        <f>SUMIFS(F137:F631,K137:K631,"0",B137:B631,"1 2 3 5 3 12 31111 6 M78 10000 223 00I 002 61300*")</f>
        <v>2932601.62</v>
      </c>
      <c r="G136" s="31">
        <f>SUMIFS(G137:G631,K137:K631,"0",B137:B631,"1 2 3 5 3 12 31111 6 M78 10000 223 00I 002 61300*")</f>
        <v>0</v>
      </c>
      <c r="H136" s="31">
        <f t="shared" si="1"/>
        <v>2932601.62</v>
      </c>
      <c r="I136" s="31"/>
      <c r="K136" t="s">
        <v>13</v>
      </c>
    </row>
    <row r="137" spans="2:11" ht="13" x14ac:dyDescent="0.15">
      <c r="B137" s="29" t="s">
        <v>209</v>
      </c>
      <c r="C137" s="29" t="s">
        <v>134</v>
      </c>
      <c r="D137" s="31">
        <f>SUMIFS(D138:D631,K138:K631,"0",B138:B631,"1 2 3 5 3 12 31111 6 M78 10000 223 00I 002 61300 025*")-SUMIFS(E138:E631,K138:K631,"0",B138:B631,"1 2 3 5 3 12 31111 6 M78 10000 223 00I 002 61300 025*")</f>
        <v>0</v>
      </c>
      <c r="E137"/>
      <c r="F137" s="31">
        <f>SUMIFS(F138:F631,K138:K631,"0",B138:B631,"1 2 3 5 3 12 31111 6 M78 10000 223 00I 002 61300 025*")</f>
        <v>2932601.62</v>
      </c>
      <c r="G137" s="31">
        <f>SUMIFS(G138:G631,K138:K631,"0",B138:B631,"1 2 3 5 3 12 31111 6 M78 10000 223 00I 002 61300 025*")</f>
        <v>0</v>
      </c>
      <c r="H137" s="31">
        <f t="shared" si="1"/>
        <v>2932601.62</v>
      </c>
      <c r="I137" s="31"/>
      <c r="K137" t="s">
        <v>13</v>
      </c>
    </row>
    <row r="138" spans="2:11" ht="22" x14ac:dyDescent="0.15">
      <c r="B138" s="29" t="s">
        <v>210</v>
      </c>
      <c r="C138" s="29" t="s">
        <v>136</v>
      </c>
      <c r="D138" s="31">
        <f>SUMIFS(D139:D631,K139:K631,"0",B139:B631,"1 2 3 5 3 12 31111 6 M78 10000 223 00I 002 61300 025 2210000*")-SUMIFS(E139:E631,K139:K631,"0",B139:B631,"1 2 3 5 3 12 31111 6 M78 10000 223 00I 002 61300 025 2210000*")</f>
        <v>0</v>
      </c>
      <c r="E138"/>
      <c r="F138" s="31">
        <f>SUMIFS(F139:F631,K139:K631,"0",B139:B631,"1 2 3 5 3 12 31111 6 M78 10000 223 00I 002 61300 025 2210000*")</f>
        <v>2932601.62</v>
      </c>
      <c r="G138" s="31">
        <f>SUMIFS(G139:G631,K139:K631,"0",B139:B631,"1 2 3 5 3 12 31111 6 M78 10000 223 00I 002 61300 025 2210000*")</f>
        <v>0</v>
      </c>
      <c r="H138" s="31">
        <f t="shared" si="1"/>
        <v>2932601.62</v>
      </c>
      <c r="I138" s="31"/>
      <c r="K138" t="s">
        <v>13</v>
      </c>
    </row>
    <row r="139" spans="2:11" ht="22" x14ac:dyDescent="0.15">
      <c r="B139" s="29" t="s">
        <v>211</v>
      </c>
      <c r="C139" s="29" t="s">
        <v>138</v>
      </c>
      <c r="D139" s="31">
        <f>SUMIFS(D140:D631,K140:K631,"0",B140:B631,"1 2 3 5 3 12 31111 6 M78 10000 223 00I 002 61300 025 2210000 2024*")-SUMIFS(E140:E631,K140:K631,"0",B140:B631,"1 2 3 5 3 12 31111 6 M78 10000 223 00I 002 61300 025 2210000 2024*")</f>
        <v>0</v>
      </c>
      <c r="E139"/>
      <c r="F139" s="31">
        <f>SUMIFS(F140:F631,K140:K631,"0",B140:B631,"1 2 3 5 3 12 31111 6 M78 10000 223 00I 002 61300 025 2210000 2024*")</f>
        <v>2932601.62</v>
      </c>
      <c r="G139" s="31">
        <f>SUMIFS(G140:G631,K140:K631,"0",B140:B631,"1 2 3 5 3 12 31111 6 M78 10000 223 00I 002 61300 025 2210000 2024*")</f>
        <v>0</v>
      </c>
      <c r="H139" s="31">
        <f t="shared" ref="H139:H202" si="2">D139 + F139 - G139</f>
        <v>2932601.62</v>
      </c>
      <c r="I139" s="31"/>
      <c r="K139" t="s">
        <v>13</v>
      </c>
    </row>
    <row r="140" spans="2:11" ht="22" x14ac:dyDescent="0.15">
      <c r="B140" s="29" t="s">
        <v>212</v>
      </c>
      <c r="C140" s="29" t="s">
        <v>140</v>
      </c>
      <c r="D140" s="31">
        <f>SUMIFS(D141:D631,K141:K631,"0",B141:B631,"1 2 3 5 3 12 31111 6 M78 10000 223 00I 002 61300 025 2210000 2024 00000000*")-SUMIFS(E141:E631,K141:K631,"0",B141:B631,"1 2 3 5 3 12 31111 6 M78 10000 223 00I 002 61300 025 2210000 2024 00000000*")</f>
        <v>0</v>
      </c>
      <c r="E140"/>
      <c r="F140" s="31">
        <f>SUMIFS(F141:F631,K141:K631,"0",B141:B631,"1 2 3 5 3 12 31111 6 M78 10000 223 00I 002 61300 025 2210000 2024 00000000*")</f>
        <v>2932601.62</v>
      </c>
      <c r="G140" s="31">
        <f>SUMIFS(G141:G631,K141:K631,"0",B141:B631,"1 2 3 5 3 12 31111 6 M78 10000 223 00I 002 61300 025 2210000 2024 00000000*")</f>
        <v>0</v>
      </c>
      <c r="H140" s="31">
        <f t="shared" si="2"/>
        <v>2932601.62</v>
      </c>
      <c r="I140" s="31"/>
      <c r="K140" t="s">
        <v>13</v>
      </c>
    </row>
    <row r="141" spans="2:11" ht="22" x14ac:dyDescent="0.15">
      <c r="B141" s="29" t="s">
        <v>213</v>
      </c>
      <c r="C141" s="29" t="s">
        <v>9</v>
      </c>
      <c r="D141" s="31">
        <f>SUMIFS(D142:D631,K142:K631,"0",B142:B631,"1 2 3 5 3 12 31111 6 M78 10000 223 00I 002 61300 025 2210000 2024 00000000 002*")-SUMIFS(E142:E631,K142:K631,"0",B142:B631,"1 2 3 5 3 12 31111 6 M78 10000 223 00I 002 61300 025 2210000 2024 00000000 002*")</f>
        <v>0</v>
      </c>
      <c r="E141"/>
      <c r="F141" s="31">
        <f>SUMIFS(F142:F631,K142:K631,"0",B142:B631,"1 2 3 5 3 12 31111 6 M78 10000 223 00I 002 61300 025 2210000 2024 00000000 002*")</f>
        <v>2932601.62</v>
      </c>
      <c r="G141" s="31">
        <f>SUMIFS(G142:G631,K142:K631,"0",B142:B631,"1 2 3 5 3 12 31111 6 M78 10000 223 00I 002 61300 025 2210000 2024 00000000 002*")</f>
        <v>0</v>
      </c>
      <c r="H141" s="31">
        <f t="shared" si="2"/>
        <v>2932601.62</v>
      </c>
      <c r="I141" s="31"/>
      <c r="K141" t="s">
        <v>13</v>
      </c>
    </row>
    <row r="142" spans="2:11" ht="22" x14ac:dyDescent="0.15">
      <c r="B142" s="27" t="s">
        <v>214</v>
      </c>
      <c r="C142" s="27" t="s">
        <v>215</v>
      </c>
      <c r="D142" s="30">
        <v>0</v>
      </c>
      <c r="E142" s="30"/>
      <c r="F142" s="30">
        <v>1682601.62</v>
      </c>
      <c r="G142" s="30">
        <v>0</v>
      </c>
      <c r="H142" s="30">
        <f t="shared" si="2"/>
        <v>1682601.62</v>
      </c>
      <c r="I142" s="30"/>
      <c r="K142" t="s">
        <v>37</v>
      </c>
    </row>
    <row r="143" spans="2:11" ht="22" x14ac:dyDescent="0.15">
      <c r="B143" s="27" t="s">
        <v>216</v>
      </c>
      <c r="C143" s="27" t="s">
        <v>217</v>
      </c>
      <c r="D143" s="30">
        <v>0</v>
      </c>
      <c r="E143" s="30"/>
      <c r="F143" s="30">
        <v>1250000</v>
      </c>
      <c r="G143" s="30">
        <v>0</v>
      </c>
      <c r="H143" s="30">
        <f t="shared" si="2"/>
        <v>1250000</v>
      </c>
      <c r="I143" s="30"/>
      <c r="K143" t="s">
        <v>37</v>
      </c>
    </row>
    <row r="144" spans="2:11" ht="13" x14ac:dyDescent="0.15">
      <c r="B144" s="29" t="s">
        <v>218</v>
      </c>
      <c r="C144" s="29" t="s">
        <v>219</v>
      </c>
      <c r="D144" s="31">
        <f>SUMIFS(D145:D631,K145:K631,"0",B145:B631,"1 2 3 5 3 12 31111 6 M78 10000 335*")-SUMIFS(E145:E631,K145:K631,"0",B145:B631,"1 2 3 5 3 12 31111 6 M78 10000 335*")</f>
        <v>0</v>
      </c>
      <c r="E144"/>
      <c r="F144" s="31">
        <f>SUMIFS(F145:F631,K145:K631,"0",B145:B631,"1 2 3 5 3 12 31111 6 M78 10000 335*")</f>
        <v>1027240.51</v>
      </c>
      <c r="G144" s="31">
        <f>SUMIFS(G145:G631,K145:K631,"0",B145:B631,"1 2 3 5 3 12 31111 6 M78 10000 335*")</f>
        <v>0</v>
      </c>
      <c r="H144" s="31">
        <f t="shared" si="2"/>
        <v>1027240.51</v>
      </c>
      <c r="I144" s="31"/>
      <c r="K144" t="s">
        <v>13</v>
      </c>
    </row>
    <row r="145" spans="2:11" ht="13" x14ac:dyDescent="0.15">
      <c r="B145" s="29" t="s">
        <v>220</v>
      </c>
      <c r="C145" s="29" t="s">
        <v>128</v>
      </c>
      <c r="D145" s="31">
        <f>SUMIFS(D146:D631,K146:K631,"0",B146:B631,"1 2 3 5 3 12 31111 6 M78 10000 335 00I*")-SUMIFS(E146:E631,K146:K631,"0",B146:B631,"1 2 3 5 3 12 31111 6 M78 10000 335 00I*")</f>
        <v>0</v>
      </c>
      <c r="E145"/>
      <c r="F145" s="31">
        <f>SUMIFS(F146:F631,K146:K631,"0",B146:B631,"1 2 3 5 3 12 31111 6 M78 10000 335 00I*")</f>
        <v>1027240.51</v>
      </c>
      <c r="G145" s="31">
        <f>SUMIFS(G146:G631,K146:K631,"0",B146:B631,"1 2 3 5 3 12 31111 6 M78 10000 335 00I*")</f>
        <v>0</v>
      </c>
      <c r="H145" s="31">
        <f t="shared" si="2"/>
        <v>1027240.51</v>
      </c>
      <c r="I145" s="31"/>
      <c r="K145" t="s">
        <v>13</v>
      </c>
    </row>
    <row r="146" spans="2:11" ht="13" x14ac:dyDescent="0.15">
      <c r="B146" s="29" t="s">
        <v>221</v>
      </c>
      <c r="C146" s="29" t="s">
        <v>130</v>
      </c>
      <c r="D146" s="31">
        <f>SUMIFS(D147:D631,K147:K631,"0",B147:B631,"1 2 3 5 3 12 31111 6 M78 10000 335 00I 002*")-SUMIFS(E147:E631,K147:K631,"0",B147:B631,"1 2 3 5 3 12 31111 6 M78 10000 335 00I 002*")</f>
        <v>0</v>
      </c>
      <c r="E146"/>
      <c r="F146" s="31">
        <f>SUMIFS(F147:F631,K147:K631,"0",B147:B631,"1 2 3 5 3 12 31111 6 M78 10000 335 00I 002*")</f>
        <v>1027240.51</v>
      </c>
      <c r="G146" s="31">
        <f>SUMIFS(G147:G631,K147:K631,"0",B147:B631,"1 2 3 5 3 12 31111 6 M78 10000 335 00I 002*")</f>
        <v>0</v>
      </c>
      <c r="H146" s="31">
        <f t="shared" si="2"/>
        <v>1027240.51</v>
      </c>
      <c r="I146" s="31"/>
      <c r="K146" t="s">
        <v>13</v>
      </c>
    </row>
    <row r="147" spans="2:11" ht="22" x14ac:dyDescent="0.15">
      <c r="B147" s="29" t="s">
        <v>222</v>
      </c>
      <c r="C147" s="29" t="s">
        <v>196</v>
      </c>
      <c r="D147" s="31">
        <f>SUMIFS(D148:D631,K148:K631,"0",B148:B631,"1 2 3 5 3 12 31111 6 M78 10000 335 00I 002 61300*")-SUMIFS(E148:E631,K148:K631,"0",B148:B631,"1 2 3 5 3 12 31111 6 M78 10000 335 00I 002 61300*")</f>
        <v>0</v>
      </c>
      <c r="E147"/>
      <c r="F147" s="31">
        <f>SUMIFS(F148:F631,K148:K631,"0",B148:B631,"1 2 3 5 3 12 31111 6 M78 10000 335 00I 002 61300*")</f>
        <v>1027240.51</v>
      </c>
      <c r="G147" s="31">
        <f>SUMIFS(G148:G631,K148:K631,"0",B148:B631,"1 2 3 5 3 12 31111 6 M78 10000 335 00I 002 61300*")</f>
        <v>0</v>
      </c>
      <c r="H147" s="31">
        <f t="shared" si="2"/>
        <v>1027240.51</v>
      </c>
      <c r="I147" s="31"/>
      <c r="K147" t="s">
        <v>13</v>
      </c>
    </row>
    <row r="148" spans="2:11" ht="13" x14ac:dyDescent="0.15">
      <c r="B148" s="29" t="s">
        <v>223</v>
      </c>
      <c r="C148" s="29" t="s">
        <v>134</v>
      </c>
      <c r="D148" s="31">
        <f>SUMIFS(D149:D631,K149:K631,"0",B149:B631,"1 2 3 5 3 12 31111 6 M78 10000 335 00I 002 61300 025*")-SUMIFS(E149:E631,K149:K631,"0",B149:B631,"1 2 3 5 3 12 31111 6 M78 10000 335 00I 002 61300 025*")</f>
        <v>0</v>
      </c>
      <c r="E148"/>
      <c r="F148" s="31">
        <f>SUMIFS(F149:F631,K149:K631,"0",B149:B631,"1 2 3 5 3 12 31111 6 M78 10000 335 00I 002 61300 025*")</f>
        <v>1027240.51</v>
      </c>
      <c r="G148" s="31">
        <f>SUMIFS(G149:G631,K149:K631,"0",B149:B631,"1 2 3 5 3 12 31111 6 M78 10000 335 00I 002 61300 025*")</f>
        <v>0</v>
      </c>
      <c r="H148" s="31">
        <f t="shared" si="2"/>
        <v>1027240.51</v>
      </c>
      <c r="I148" s="31"/>
      <c r="K148" t="s">
        <v>13</v>
      </c>
    </row>
    <row r="149" spans="2:11" ht="22" x14ac:dyDescent="0.15">
      <c r="B149" s="29" t="s">
        <v>224</v>
      </c>
      <c r="C149" s="29" t="s">
        <v>136</v>
      </c>
      <c r="D149" s="31">
        <f>SUMIFS(D150:D631,K150:K631,"0",B150:B631,"1 2 3 5 3 12 31111 6 M78 10000 335 00I 002 61300 025 2210000*")-SUMIFS(E150:E631,K150:K631,"0",B150:B631,"1 2 3 5 3 12 31111 6 M78 10000 335 00I 002 61300 025 2210000*")</f>
        <v>0</v>
      </c>
      <c r="E149"/>
      <c r="F149" s="31">
        <f>SUMIFS(F150:F631,K150:K631,"0",B150:B631,"1 2 3 5 3 12 31111 6 M78 10000 335 00I 002 61300 025 2210000*")</f>
        <v>1027240.51</v>
      </c>
      <c r="G149" s="31">
        <f>SUMIFS(G150:G631,K150:K631,"0",B150:B631,"1 2 3 5 3 12 31111 6 M78 10000 335 00I 002 61300 025 2210000*")</f>
        <v>0</v>
      </c>
      <c r="H149" s="31">
        <f t="shared" si="2"/>
        <v>1027240.51</v>
      </c>
      <c r="I149" s="31"/>
      <c r="K149" t="s">
        <v>13</v>
      </c>
    </row>
    <row r="150" spans="2:11" ht="22" x14ac:dyDescent="0.15">
      <c r="B150" s="29" t="s">
        <v>225</v>
      </c>
      <c r="C150" s="29" t="s">
        <v>138</v>
      </c>
      <c r="D150" s="31">
        <f>SUMIFS(D151:D631,K151:K631,"0",B151:B631,"1 2 3 5 3 12 31111 6 M78 10000 335 00I 002 61300 025 2210000 2024*")-SUMIFS(E151:E631,K151:K631,"0",B151:B631,"1 2 3 5 3 12 31111 6 M78 10000 335 00I 002 61300 025 2210000 2024*")</f>
        <v>0</v>
      </c>
      <c r="E150"/>
      <c r="F150" s="31">
        <f>SUMIFS(F151:F631,K151:K631,"0",B151:B631,"1 2 3 5 3 12 31111 6 M78 10000 335 00I 002 61300 025 2210000 2024*")</f>
        <v>1027240.51</v>
      </c>
      <c r="G150" s="31">
        <f>SUMIFS(G151:G631,K151:K631,"0",B151:B631,"1 2 3 5 3 12 31111 6 M78 10000 335 00I 002 61300 025 2210000 2024*")</f>
        <v>0</v>
      </c>
      <c r="H150" s="31">
        <f t="shared" si="2"/>
        <v>1027240.51</v>
      </c>
      <c r="I150" s="31"/>
      <c r="K150" t="s">
        <v>13</v>
      </c>
    </row>
    <row r="151" spans="2:11" ht="22" x14ac:dyDescent="0.15">
      <c r="B151" s="29" t="s">
        <v>226</v>
      </c>
      <c r="C151" s="29" t="s">
        <v>140</v>
      </c>
      <c r="D151" s="31">
        <f>SUMIFS(D152:D631,K152:K631,"0",B152:B631,"1 2 3 5 3 12 31111 6 M78 10000 335 00I 002 61300 025 2210000 2024 00000000*")-SUMIFS(E152:E631,K152:K631,"0",B152:B631,"1 2 3 5 3 12 31111 6 M78 10000 335 00I 002 61300 025 2210000 2024 00000000*")</f>
        <v>0</v>
      </c>
      <c r="E151"/>
      <c r="F151" s="31">
        <f>SUMIFS(F152:F631,K152:K631,"0",B152:B631,"1 2 3 5 3 12 31111 6 M78 10000 335 00I 002 61300 025 2210000 2024 00000000*")</f>
        <v>1027240.51</v>
      </c>
      <c r="G151" s="31">
        <f>SUMIFS(G152:G631,K152:K631,"0",B152:B631,"1 2 3 5 3 12 31111 6 M78 10000 335 00I 002 61300 025 2210000 2024 00000000*")</f>
        <v>0</v>
      </c>
      <c r="H151" s="31">
        <f t="shared" si="2"/>
        <v>1027240.51</v>
      </c>
      <c r="I151" s="31"/>
      <c r="K151" t="s">
        <v>13</v>
      </c>
    </row>
    <row r="152" spans="2:11" ht="22" x14ac:dyDescent="0.15">
      <c r="B152" s="29" t="s">
        <v>227</v>
      </c>
      <c r="C152" s="29" t="s">
        <v>9</v>
      </c>
      <c r="D152" s="31">
        <f>SUMIFS(D153:D631,K153:K631,"0",B153:B631,"1 2 3 5 3 12 31111 6 M78 10000 335 00I 002 61300 025 2210000 2024 00000000 002*")-SUMIFS(E153:E631,K153:K631,"0",B153:B631,"1 2 3 5 3 12 31111 6 M78 10000 335 00I 002 61300 025 2210000 2024 00000000 002*")</f>
        <v>0</v>
      </c>
      <c r="E152"/>
      <c r="F152" s="31">
        <f>SUMIFS(F153:F631,K153:K631,"0",B153:B631,"1 2 3 5 3 12 31111 6 M78 10000 335 00I 002 61300 025 2210000 2024 00000000 002*")</f>
        <v>1027240.51</v>
      </c>
      <c r="G152" s="31">
        <f>SUMIFS(G153:G631,K153:K631,"0",B153:B631,"1 2 3 5 3 12 31111 6 M78 10000 335 00I 002 61300 025 2210000 2024 00000000 002*")</f>
        <v>0</v>
      </c>
      <c r="H152" s="31">
        <f t="shared" si="2"/>
        <v>1027240.51</v>
      </c>
      <c r="I152" s="31"/>
      <c r="K152" t="s">
        <v>13</v>
      </c>
    </row>
    <row r="153" spans="2:11" ht="22" x14ac:dyDescent="0.15">
      <c r="B153" s="27" t="s">
        <v>228</v>
      </c>
      <c r="C153" s="27" t="s">
        <v>229</v>
      </c>
      <c r="D153" s="30">
        <v>0</v>
      </c>
      <c r="E153" s="30"/>
      <c r="F153" s="30">
        <v>952743.75</v>
      </c>
      <c r="G153" s="30">
        <v>0</v>
      </c>
      <c r="H153" s="30">
        <f t="shared" si="2"/>
        <v>952743.75</v>
      </c>
      <c r="I153" s="30"/>
      <c r="K153" t="s">
        <v>37</v>
      </c>
    </row>
    <row r="154" spans="2:11" ht="22" x14ac:dyDescent="0.15">
      <c r="B154" s="27" t="s">
        <v>230</v>
      </c>
      <c r="C154" s="27" t="s">
        <v>231</v>
      </c>
      <c r="D154" s="30">
        <v>0</v>
      </c>
      <c r="E154" s="30"/>
      <c r="F154" s="30">
        <v>74496.759999999995</v>
      </c>
      <c r="G154" s="30">
        <v>0</v>
      </c>
      <c r="H154" s="30">
        <f t="shared" si="2"/>
        <v>74496.759999999995</v>
      </c>
      <c r="I154" s="30"/>
      <c r="K154" t="s">
        <v>37</v>
      </c>
    </row>
    <row r="155" spans="2:11" ht="13" x14ac:dyDescent="0.15">
      <c r="B155" s="29" t="s">
        <v>232</v>
      </c>
      <c r="C155" s="29" t="s">
        <v>233</v>
      </c>
      <c r="D155" s="31">
        <f>SUMIFS(D156:D631,K156:K631,"0",B156:B631,"1 2 3 5 4*")-SUMIFS(E156:E631,K156:K631,"0",B156:B631,"1 2 3 5 4*")</f>
        <v>0</v>
      </c>
      <c r="E155"/>
      <c r="F155" s="31">
        <f>SUMIFS(F156:F631,K156:K631,"0",B156:B631,"1 2 3 5 4*")</f>
        <v>47734863.789999999</v>
      </c>
      <c r="G155" s="31">
        <f>SUMIFS(G156:G631,K156:K631,"0",B156:B631,"1 2 3 5 4*")</f>
        <v>0</v>
      </c>
      <c r="H155" s="31">
        <f t="shared" si="2"/>
        <v>47734863.789999999</v>
      </c>
      <c r="I155" s="31"/>
      <c r="K155" t="s">
        <v>13</v>
      </c>
    </row>
    <row r="156" spans="2:11" ht="13" x14ac:dyDescent="0.15">
      <c r="B156" s="29" t="s">
        <v>234</v>
      </c>
      <c r="C156" s="29" t="s">
        <v>24</v>
      </c>
      <c r="D156" s="31">
        <f>SUMIFS(D157:D631,K157:K631,"0",B157:B631,"1 2 3 5 4 12*")-SUMIFS(E157:E631,K157:K631,"0",B157:B631,"1 2 3 5 4 12*")</f>
        <v>0</v>
      </c>
      <c r="E156"/>
      <c r="F156" s="31">
        <f>SUMIFS(F157:F631,K157:K631,"0",B157:B631,"1 2 3 5 4 12*")</f>
        <v>47734863.789999999</v>
      </c>
      <c r="G156" s="31">
        <f>SUMIFS(G157:G631,K157:K631,"0",B157:B631,"1 2 3 5 4 12*")</f>
        <v>0</v>
      </c>
      <c r="H156" s="31">
        <f t="shared" si="2"/>
        <v>47734863.789999999</v>
      </c>
      <c r="I156" s="31"/>
      <c r="K156" t="s">
        <v>13</v>
      </c>
    </row>
    <row r="157" spans="2:11" ht="13" x14ac:dyDescent="0.15">
      <c r="B157" s="29" t="s">
        <v>235</v>
      </c>
      <c r="C157" s="29" t="s">
        <v>26</v>
      </c>
      <c r="D157" s="31">
        <f>SUMIFS(D158:D631,K158:K631,"0",B158:B631,"1 2 3 5 4 12 31111*")-SUMIFS(E158:E631,K158:K631,"0",B158:B631,"1 2 3 5 4 12 31111*")</f>
        <v>0</v>
      </c>
      <c r="E157"/>
      <c r="F157" s="31">
        <f>SUMIFS(F158:F631,K158:K631,"0",B158:B631,"1 2 3 5 4 12 31111*")</f>
        <v>47734863.789999999</v>
      </c>
      <c r="G157" s="31">
        <f>SUMIFS(G158:G631,K158:K631,"0",B158:B631,"1 2 3 5 4 12 31111*")</f>
        <v>0</v>
      </c>
      <c r="H157" s="31">
        <f t="shared" si="2"/>
        <v>47734863.789999999</v>
      </c>
      <c r="I157" s="31"/>
      <c r="K157" t="s">
        <v>13</v>
      </c>
    </row>
    <row r="158" spans="2:11" ht="13" x14ac:dyDescent="0.15">
      <c r="B158" s="29" t="s">
        <v>236</v>
      </c>
      <c r="C158" s="29" t="s">
        <v>28</v>
      </c>
      <c r="D158" s="31">
        <f>SUMIFS(D159:D631,K159:K631,"0",B159:B631,"1 2 3 5 4 12 31111 6*")-SUMIFS(E159:E631,K159:K631,"0",B159:B631,"1 2 3 5 4 12 31111 6*")</f>
        <v>0</v>
      </c>
      <c r="E158"/>
      <c r="F158" s="31">
        <f>SUMIFS(F159:F631,K159:K631,"0",B159:B631,"1 2 3 5 4 12 31111 6*")</f>
        <v>47734863.789999999</v>
      </c>
      <c r="G158" s="31">
        <f>SUMIFS(G159:G631,K159:K631,"0",B159:B631,"1 2 3 5 4 12 31111 6*")</f>
        <v>0</v>
      </c>
      <c r="H158" s="31">
        <f t="shared" si="2"/>
        <v>47734863.789999999</v>
      </c>
      <c r="I158" s="31"/>
      <c r="K158" t="s">
        <v>13</v>
      </c>
    </row>
    <row r="159" spans="2:11" ht="13" x14ac:dyDescent="0.15">
      <c r="B159" s="29" t="s">
        <v>237</v>
      </c>
      <c r="C159" s="29" t="s">
        <v>30</v>
      </c>
      <c r="D159" s="31">
        <f>SUMIFS(D160:D631,K160:K631,"0",B160:B631,"1 2 3 5 4 12 31111 6 M78*")-SUMIFS(E160:E631,K160:K631,"0",B160:B631,"1 2 3 5 4 12 31111 6 M78*")</f>
        <v>0</v>
      </c>
      <c r="E159"/>
      <c r="F159" s="31">
        <f>SUMIFS(F160:F631,K160:K631,"0",B160:B631,"1 2 3 5 4 12 31111 6 M78*")</f>
        <v>47734863.789999999</v>
      </c>
      <c r="G159" s="31">
        <f>SUMIFS(G160:G631,K160:K631,"0",B160:B631,"1 2 3 5 4 12 31111 6 M78*")</f>
        <v>0</v>
      </c>
      <c r="H159" s="31">
        <f t="shared" si="2"/>
        <v>47734863.789999999</v>
      </c>
      <c r="I159" s="31"/>
      <c r="K159" t="s">
        <v>13</v>
      </c>
    </row>
    <row r="160" spans="2:11" ht="13" x14ac:dyDescent="0.15">
      <c r="B160" s="29" t="s">
        <v>238</v>
      </c>
      <c r="C160" s="29" t="s">
        <v>124</v>
      </c>
      <c r="D160" s="31">
        <f>SUMIFS(D161:D631,K161:K631,"0",B161:B631,"1 2 3 5 4 12 31111 6 M78 10000*")-SUMIFS(E161:E631,K161:K631,"0",B161:B631,"1 2 3 5 4 12 31111 6 M78 10000*")</f>
        <v>0</v>
      </c>
      <c r="E160"/>
      <c r="F160" s="31">
        <f>SUMIFS(F161:F631,K161:K631,"0",B161:B631,"1 2 3 5 4 12 31111 6 M78 10000*")</f>
        <v>47734863.789999999</v>
      </c>
      <c r="G160" s="31">
        <f>SUMIFS(G161:G631,K161:K631,"0",B161:B631,"1 2 3 5 4 12 31111 6 M78 10000*")</f>
        <v>0</v>
      </c>
      <c r="H160" s="31">
        <f t="shared" si="2"/>
        <v>47734863.789999999</v>
      </c>
      <c r="I160" s="31"/>
      <c r="K160" t="s">
        <v>13</v>
      </c>
    </row>
    <row r="161" spans="2:11" ht="13" x14ac:dyDescent="0.15">
      <c r="B161" s="29" t="s">
        <v>239</v>
      </c>
      <c r="C161" s="29" t="s">
        <v>240</v>
      </c>
      <c r="D161" s="31">
        <f>SUMIFS(D162:D631,K162:K631,"0",B162:B631,"1 2 3 5 4 12 31111 6 M78 10000 221*")-SUMIFS(E162:E631,K162:K631,"0",B162:B631,"1 2 3 5 4 12 31111 6 M78 10000 221*")</f>
        <v>0</v>
      </c>
      <c r="E161"/>
      <c r="F161" s="31">
        <f>SUMIFS(F162:F631,K162:K631,"0",B162:B631,"1 2 3 5 4 12 31111 6 M78 10000 221*")</f>
        <v>36411053.689999998</v>
      </c>
      <c r="G161" s="31">
        <f>SUMIFS(G162:G631,K162:K631,"0",B162:B631,"1 2 3 5 4 12 31111 6 M78 10000 221*")</f>
        <v>0</v>
      </c>
      <c r="H161" s="31">
        <f t="shared" si="2"/>
        <v>36411053.689999998</v>
      </c>
      <c r="I161" s="31"/>
      <c r="K161" t="s">
        <v>13</v>
      </c>
    </row>
    <row r="162" spans="2:11" ht="13" x14ac:dyDescent="0.15">
      <c r="B162" s="29" t="s">
        <v>241</v>
      </c>
      <c r="C162" s="29" t="s">
        <v>128</v>
      </c>
      <c r="D162" s="31">
        <f>SUMIFS(D163:D631,K163:K631,"0",B163:B631,"1 2 3 5 4 12 31111 6 M78 10000 221 00I*")-SUMIFS(E163:E631,K163:K631,"0",B163:B631,"1 2 3 5 4 12 31111 6 M78 10000 221 00I*")</f>
        <v>0</v>
      </c>
      <c r="E162"/>
      <c r="F162" s="31">
        <f>SUMIFS(F163:F631,K163:K631,"0",B163:B631,"1 2 3 5 4 12 31111 6 M78 10000 221 00I*")</f>
        <v>36411053.689999998</v>
      </c>
      <c r="G162" s="31">
        <f>SUMIFS(G163:G631,K163:K631,"0",B163:B631,"1 2 3 5 4 12 31111 6 M78 10000 221 00I*")</f>
        <v>0</v>
      </c>
      <c r="H162" s="31">
        <f t="shared" si="2"/>
        <v>36411053.689999998</v>
      </c>
      <c r="I162" s="31"/>
      <c r="K162" t="s">
        <v>13</v>
      </c>
    </row>
    <row r="163" spans="2:11" ht="13" x14ac:dyDescent="0.15">
      <c r="B163" s="29" t="s">
        <v>242</v>
      </c>
      <c r="C163" s="29" t="s">
        <v>130</v>
      </c>
      <c r="D163" s="31">
        <f>SUMIFS(D164:D631,K164:K631,"0",B164:B631,"1 2 3 5 4 12 31111 6 M78 10000 221 00I 002*")-SUMIFS(E164:E631,K164:K631,"0",B164:B631,"1 2 3 5 4 12 31111 6 M78 10000 221 00I 002*")</f>
        <v>0</v>
      </c>
      <c r="E163"/>
      <c r="F163" s="31">
        <f>SUMIFS(F164:F631,K164:K631,"0",B164:B631,"1 2 3 5 4 12 31111 6 M78 10000 221 00I 002*")</f>
        <v>36411053.689999998</v>
      </c>
      <c r="G163" s="31">
        <f>SUMIFS(G164:G631,K164:K631,"0",B164:B631,"1 2 3 5 4 12 31111 6 M78 10000 221 00I 002*")</f>
        <v>0</v>
      </c>
      <c r="H163" s="31">
        <f t="shared" si="2"/>
        <v>36411053.689999998</v>
      </c>
      <c r="I163" s="31"/>
      <c r="K163" t="s">
        <v>13</v>
      </c>
    </row>
    <row r="164" spans="2:11" ht="13" x14ac:dyDescent="0.15">
      <c r="B164" s="29" t="s">
        <v>243</v>
      </c>
      <c r="C164" s="29" t="s">
        <v>244</v>
      </c>
      <c r="D164" s="31">
        <f>SUMIFS(D165:D631,K165:K631,"0",B165:B631,"1 2 3 5 4 12 31111 6 M78 10000 221 00I 002 61400*")-SUMIFS(E165:E631,K165:K631,"0",B165:B631,"1 2 3 5 4 12 31111 6 M78 10000 221 00I 002 61400*")</f>
        <v>0</v>
      </c>
      <c r="E164"/>
      <c r="F164" s="31">
        <f>SUMIFS(F165:F631,K165:K631,"0",B165:B631,"1 2 3 5 4 12 31111 6 M78 10000 221 00I 002 61400*")</f>
        <v>36411053.689999998</v>
      </c>
      <c r="G164" s="31">
        <f>SUMIFS(G165:G631,K165:K631,"0",B165:B631,"1 2 3 5 4 12 31111 6 M78 10000 221 00I 002 61400*")</f>
        <v>0</v>
      </c>
      <c r="H164" s="31">
        <f t="shared" si="2"/>
        <v>36411053.689999998</v>
      </c>
      <c r="I164" s="31"/>
      <c r="K164" t="s">
        <v>13</v>
      </c>
    </row>
    <row r="165" spans="2:11" ht="13" x14ac:dyDescent="0.15">
      <c r="B165" s="29" t="s">
        <v>245</v>
      </c>
      <c r="C165" s="29" t="s">
        <v>134</v>
      </c>
      <c r="D165" s="31">
        <f>SUMIFS(D166:D631,K166:K631,"0",B166:B631,"1 2 3 5 4 12 31111 6 M78 10000 221 00I 002 61400 025*")-SUMIFS(E166:E631,K166:K631,"0",B166:B631,"1 2 3 5 4 12 31111 6 M78 10000 221 00I 002 61400 025*")</f>
        <v>0</v>
      </c>
      <c r="E165"/>
      <c r="F165" s="31">
        <f>SUMIFS(F166:F631,K166:K631,"0",B166:B631,"1 2 3 5 4 12 31111 6 M78 10000 221 00I 002 61400 025*")</f>
        <v>36411053.689999998</v>
      </c>
      <c r="G165" s="31">
        <f>SUMIFS(G166:G631,K166:K631,"0",B166:B631,"1 2 3 5 4 12 31111 6 M78 10000 221 00I 002 61400 025*")</f>
        <v>0</v>
      </c>
      <c r="H165" s="31">
        <f t="shared" si="2"/>
        <v>36411053.689999998</v>
      </c>
      <c r="I165" s="31"/>
      <c r="K165" t="s">
        <v>13</v>
      </c>
    </row>
    <row r="166" spans="2:11" ht="22" x14ac:dyDescent="0.15">
      <c r="B166" s="29" t="s">
        <v>246</v>
      </c>
      <c r="C166" s="29" t="s">
        <v>136</v>
      </c>
      <c r="D166" s="31">
        <f>SUMIFS(D167:D631,K167:K631,"0",B167:B631,"1 2 3 5 4 12 31111 6 M78 10000 221 00I 002 61400 025 2210000*")-SUMIFS(E167:E631,K167:K631,"0",B167:B631,"1 2 3 5 4 12 31111 6 M78 10000 221 00I 002 61400 025 2210000*")</f>
        <v>0</v>
      </c>
      <c r="E166"/>
      <c r="F166" s="31">
        <f>SUMIFS(F167:F631,K167:K631,"0",B167:B631,"1 2 3 5 4 12 31111 6 M78 10000 221 00I 002 61400 025 2210000*")</f>
        <v>36411053.689999998</v>
      </c>
      <c r="G166" s="31">
        <f>SUMIFS(G167:G631,K167:K631,"0",B167:B631,"1 2 3 5 4 12 31111 6 M78 10000 221 00I 002 61400 025 2210000*")</f>
        <v>0</v>
      </c>
      <c r="H166" s="31">
        <f t="shared" si="2"/>
        <v>36411053.689999998</v>
      </c>
      <c r="I166" s="31"/>
      <c r="K166" t="s">
        <v>13</v>
      </c>
    </row>
    <row r="167" spans="2:11" ht="22" x14ac:dyDescent="0.15">
      <c r="B167" s="29" t="s">
        <v>247</v>
      </c>
      <c r="C167" s="29" t="s">
        <v>138</v>
      </c>
      <c r="D167" s="31">
        <f>SUMIFS(D168:D631,K168:K631,"0",B168:B631,"1 2 3 5 4 12 31111 6 M78 10000 221 00I 002 61400 025 2210000 2024*")-SUMIFS(E168:E631,K168:K631,"0",B168:B631,"1 2 3 5 4 12 31111 6 M78 10000 221 00I 002 61400 025 2210000 2024*")</f>
        <v>0</v>
      </c>
      <c r="E167"/>
      <c r="F167" s="31">
        <f>SUMIFS(F168:F631,K168:K631,"0",B168:B631,"1 2 3 5 4 12 31111 6 M78 10000 221 00I 002 61400 025 2210000 2024*")</f>
        <v>36411053.689999998</v>
      </c>
      <c r="G167" s="31">
        <f>SUMIFS(G168:G631,K168:K631,"0",B168:B631,"1 2 3 5 4 12 31111 6 M78 10000 221 00I 002 61400 025 2210000 2024*")</f>
        <v>0</v>
      </c>
      <c r="H167" s="31">
        <f t="shared" si="2"/>
        <v>36411053.689999998</v>
      </c>
      <c r="I167" s="31"/>
      <c r="K167" t="s">
        <v>13</v>
      </c>
    </row>
    <row r="168" spans="2:11" ht="22" x14ac:dyDescent="0.15">
      <c r="B168" s="29" t="s">
        <v>248</v>
      </c>
      <c r="C168" s="29" t="s">
        <v>140</v>
      </c>
      <c r="D168" s="31">
        <f>SUMIFS(D169:D631,K169:K631,"0",B169:B631,"1 2 3 5 4 12 31111 6 M78 10000 221 00I 002 61400 025 2210000 2024 00000000*")-SUMIFS(E169:E631,K169:K631,"0",B169:B631,"1 2 3 5 4 12 31111 6 M78 10000 221 00I 002 61400 025 2210000 2024 00000000*")</f>
        <v>0</v>
      </c>
      <c r="E168"/>
      <c r="F168" s="31">
        <f>SUMIFS(F169:F631,K169:K631,"0",B169:B631,"1 2 3 5 4 12 31111 6 M78 10000 221 00I 002 61400 025 2210000 2024 00000000*")</f>
        <v>36411053.689999998</v>
      </c>
      <c r="G168" s="31">
        <f>SUMIFS(G169:G631,K169:K631,"0",B169:B631,"1 2 3 5 4 12 31111 6 M78 10000 221 00I 002 61400 025 2210000 2024 00000000*")</f>
        <v>0</v>
      </c>
      <c r="H168" s="31">
        <f t="shared" si="2"/>
        <v>36411053.689999998</v>
      </c>
      <c r="I168" s="31"/>
      <c r="K168" t="s">
        <v>13</v>
      </c>
    </row>
    <row r="169" spans="2:11" ht="22" x14ac:dyDescent="0.15">
      <c r="B169" s="29" t="s">
        <v>249</v>
      </c>
      <c r="C169" s="29" t="s">
        <v>9</v>
      </c>
      <c r="D169" s="31">
        <f>SUMIFS(D170:D631,K170:K631,"0",B170:B631,"1 2 3 5 4 12 31111 6 M78 10000 221 00I 002 61400 025 2210000 2024 00000000 002*")-SUMIFS(E170:E631,K170:K631,"0",B170:B631,"1 2 3 5 4 12 31111 6 M78 10000 221 00I 002 61400 025 2210000 2024 00000000 002*")</f>
        <v>0</v>
      </c>
      <c r="E169"/>
      <c r="F169" s="31">
        <f>SUMIFS(F170:F631,K170:K631,"0",B170:B631,"1 2 3 5 4 12 31111 6 M78 10000 221 00I 002 61400 025 2210000 2024 00000000 002*")</f>
        <v>36411053.689999998</v>
      </c>
      <c r="G169" s="31">
        <f>SUMIFS(G170:G631,K170:K631,"0",B170:B631,"1 2 3 5 4 12 31111 6 M78 10000 221 00I 002 61400 025 2210000 2024 00000000 002*")</f>
        <v>0</v>
      </c>
      <c r="H169" s="31">
        <f t="shared" si="2"/>
        <v>36411053.689999998</v>
      </c>
      <c r="I169" s="31"/>
      <c r="K169" t="s">
        <v>13</v>
      </c>
    </row>
    <row r="170" spans="2:11" ht="22" x14ac:dyDescent="0.15">
      <c r="B170" s="27" t="s">
        <v>250</v>
      </c>
      <c r="C170" s="27" t="s">
        <v>251</v>
      </c>
      <c r="D170" s="30">
        <v>0</v>
      </c>
      <c r="E170" s="30"/>
      <c r="F170" s="30">
        <v>1875697.45</v>
      </c>
      <c r="G170" s="30">
        <v>0</v>
      </c>
      <c r="H170" s="30">
        <f t="shared" si="2"/>
        <v>1875697.45</v>
      </c>
      <c r="I170" s="30"/>
      <c r="K170" t="s">
        <v>37</v>
      </c>
    </row>
    <row r="171" spans="2:11" ht="22" x14ac:dyDescent="0.15">
      <c r="B171" s="27" t="s">
        <v>252</v>
      </c>
      <c r="C171" s="27" t="s">
        <v>253</v>
      </c>
      <c r="D171" s="30">
        <v>0</v>
      </c>
      <c r="E171" s="30"/>
      <c r="F171" s="30">
        <v>1500000</v>
      </c>
      <c r="G171" s="30">
        <v>0</v>
      </c>
      <c r="H171" s="30">
        <f t="shared" si="2"/>
        <v>1500000</v>
      </c>
      <c r="I171" s="30"/>
      <c r="K171" t="s">
        <v>37</v>
      </c>
    </row>
    <row r="172" spans="2:11" ht="22" x14ac:dyDescent="0.15">
      <c r="B172" s="27" t="s">
        <v>254</v>
      </c>
      <c r="C172" s="27" t="s">
        <v>255</v>
      </c>
      <c r="D172" s="30">
        <v>0</v>
      </c>
      <c r="E172" s="30"/>
      <c r="F172" s="30">
        <v>1300000</v>
      </c>
      <c r="G172" s="30">
        <v>0</v>
      </c>
      <c r="H172" s="30">
        <f t="shared" si="2"/>
        <v>1300000</v>
      </c>
      <c r="I172" s="30"/>
      <c r="K172" t="s">
        <v>37</v>
      </c>
    </row>
    <row r="173" spans="2:11" ht="22" x14ac:dyDescent="0.15">
      <c r="B173" s="27" t="s">
        <v>256</v>
      </c>
      <c r="C173" s="27" t="s">
        <v>257</v>
      </c>
      <c r="D173" s="30">
        <v>0</v>
      </c>
      <c r="E173" s="30"/>
      <c r="F173" s="30">
        <v>1500000</v>
      </c>
      <c r="G173" s="30">
        <v>0</v>
      </c>
      <c r="H173" s="30">
        <f t="shared" si="2"/>
        <v>1500000</v>
      </c>
      <c r="I173" s="30"/>
      <c r="K173" t="s">
        <v>37</v>
      </c>
    </row>
    <row r="174" spans="2:11" ht="22" x14ac:dyDescent="0.15">
      <c r="B174" s="27" t="s">
        <v>258</v>
      </c>
      <c r="C174" s="27" t="s">
        <v>259</v>
      </c>
      <c r="D174" s="30">
        <v>0</v>
      </c>
      <c r="E174" s="30"/>
      <c r="F174" s="30">
        <v>1399703.51</v>
      </c>
      <c r="G174" s="30">
        <v>0</v>
      </c>
      <c r="H174" s="30">
        <f t="shared" si="2"/>
        <v>1399703.51</v>
      </c>
      <c r="I174" s="30"/>
      <c r="K174" t="s">
        <v>37</v>
      </c>
    </row>
    <row r="175" spans="2:11" ht="22" x14ac:dyDescent="0.15">
      <c r="B175" s="27" t="s">
        <v>260</v>
      </c>
      <c r="C175" s="27" t="s">
        <v>261</v>
      </c>
      <c r="D175" s="30">
        <v>0</v>
      </c>
      <c r="E175" s="30"/>
      <c r="F175" s="30">
        <v>2218698.7999999998</v>
      </c>
      <c r="G175" s="30">
        <v>0</v>
      </c>
      <c r="H175" s="30">
        <f t="shared" si="2"/>
        <v>2218698.7999999998</v>
      </c>
      <c r="I175" s="30"/>
      <c r="K175" t="s">
        <v>37</v>
      </c>
    </row>
    <row r="176" spans="2:11" ht="22" x14ac:dyDescent="0.15">
      <c r="B176" s="27" t="s">
        <v>262</v>
      </c>
      <c r="C176" s="27" t="s">
        <v>263</v>
      </c>
      <c r="D176" s="30">
        <v>0</v>
      </c>
      <c r="E176" s="30"/>
      <c r="F176" s="30">
        <v>1398308.31</v>
      </c>
      <c r="G176" s="30">
        <v>0</v>
      </c>
      <c r="H176" s="30">
        <f t="shared" si="2"/>
        <v>1398308.31</v>
      </c>
      <c r="I176" s="30"/>
      <c r="K176" t="s">
        <v>37</v>
      </c>
    </row>
    <row r="177" spans="2:11" ht="22" x14ac:dyDescent="0.15">
      <c r="B177" s="27" t="s">
        <v>264</v>
      </c>
      <c r="C177" s="27" t="s">
        <v>265</v>
      </c>
      <c r="D177" s="30">
        <v>0</v>
      </c>
      <c r="E177" s="30"/>
      <c r="F177" s="30">
        <v>1598072.19</v>
      </c>
      <c r="G177" s="30">
        <v>0</v>
      </c>
      <c r="H177" s="30">
        <f t="shared" si="2"/>
        <v>1598072.19</v>
      </c>
      <c r="I177" s="30"/>
      <c r="K177" t="s">
        <v>37</v>
      </c>
    </row>
    <row r="178" spans="2:11" ht="22" x14ac:dyDescent="0.15">
      <c r="B178" s="27" t="s">
        <v>266</v>
      </c>
      <c r="C178" s="27" t="s">
        <v>267</v>
      </c>
      <c r="D178" s="30">
        <v>0</v>
      </c>
      <c r="E178" s="30"/>
      <c r="F178" s="30">
        <v>1100000.58</v>
      </c>
      <c r="G178" s="30">
        <v>0</v>
      </c>
      <c r="H178" s="30">
        <f t="shared" si="2"/>
        <v>1100000.58</v>
      </c>
      <c r="I178" s="30"/>
      <c r="K178" t="s">
        <v>37</v>
      </c>
    </row>
    <row r="179" spans="2:11" ht="22" x14ac:dyDescent="0.15">
      <c r="B179" s="27" t="s">
        <v>268</v>
      </c>
      <c r="C179" s="27" t="s">
        <v>269</v>
      </c>
      <c r="D179" s="30">
        <v>0</v>
      </c>
      <c r="E179" s="30"/>
      <c r="F179" s="30">
        <v>1399834.84</v>
      </c>
      <c r="G179" s="30">
        <v>0</v>
      </c>
      <c r="H179" s="30">
        <f t="shared" si="2"/>
        <v>1399834.84</v>
      </c>
      <c r="I179" s="30"/>
      <c r="K179" t="s">
        <v>37</v>
      </c>
    </row>
    <row r="180" spans="2:11" ht="22" x14ac:dyDescent="0.15">
      <c r="B180" s="27" t="s">
        <v>270</v>
      </c>
      <c r="C180" s="27" t="s">
        <v>271</v>
      </c>
      <c r="D180" s="30">
        <v>0</v>
      </c>
      <c r="E180" s="30"/>
      <c r="F180" s="30">
        <v>1099999.68</v>
      </c>
      <c r="G180" s="30">
        <v>0</v>
      </c>
      <c r="H180" s="30">
        <f t="shared" si="2"/>
        <v>1099999.68</v>
      </c>
      <c r="I180" s="30"/>
      <c r="K180" t="s">
        <v>37</v>
      </c>
    </row>
    <row r="181" spans="2:11" ht="22" x14ac:dyDescent="0.15">
      <c r="B181" s="27" t="s">
        <v>272</v>
      </c>
      <c r="C181" s="27" t="s">
        <v>273</v>
      </c>
      <c r="D181" s="30">
        <v>0</v>
      </c>
      <c r="E181" s="30"/>
      <c r="F181" s="30">
        <v>1800000</v>
      </c>
      <c r="G181" s="30">
        <v>0</v>
      </c>
      <c r="H181" s="30">
        <f t="shared" si="2"/>
        <v>1800000</v>
      </c>
      <c r="I181" s="30"/>
      <c r="K181" t="s">
        <v>37</v>
      </c>
    </row>
    <row r="182" spans="2:11" ht="22" x14ac:dyDescent="0.15">
      <c r="B182" s="27" t="s">
        <v>274</v>
      </c>
      <c r="C182" s="27" t="s">
        <v>275</v>
      </c>
      <c r="D182" s="30">
        <v>0</v>
      </c>
      <c r="E182" s="30"/>
      <c r="F182" s="30">
        <v>1500000</v>
      </c>
      <c r="G182" s="30">
        <v>0</v>
      </c>
      <c r="H182" s="30">
        <f t="shared" si="2"/>
        <v>1500000</v>
      </c>
      <c r="I182" s="30"/>
      <c r="K182" t="s">
        <v>37</v>
      </c>
    </row>
    <row r="183" spans="2:11" ht="22" x14ac:dyDescent="0.15">
      <c r="B183" s="27" t="s">
        <v>276</v>
      </c>
      <c r="C183" s="27" t="s">
        <v>277</v>
      </c>
      <c r="D183" s="30">
        <v>0</v>
      </c>
      <c r="E183" s="30"/>
      <c r="F183" s="30">
        <v>1500000</v>
      </c>
      <c r="G183" s="30">
        <v>0</v>
      </c>
      <c r="H183" s="30">
        <f t="shared" si="2"/>
        <v>1500000</v>
      </c>
      <c r="I183" s="30"/>
      <c r="K183" t="s">
        <v>37</v>
      </c>
    </row>
    <row r="184" spans="2:11" ht="22" x14ac:dyDescent="0.15">
      <c r="B184" s="27" t="s">
        <v>278</v>
      </c>
      <c r="C184" s="27" t="s">
        <v>279</v>
      </c>
      <c r="D184" s="30">
        <v>0</v>
      </c>
      <c r="E184" s="30"/>
      <c r="F184" s="30">
        <v>1201698.8</v>
      </c>
      <c r="G184" s="30">
        <v>0</v>
      </c>
      <c r="H184" s="30">
        <f t="shared" si="2"/>
        <v>1201698.8</v>
      </c>
      <c r="I184" s="30"/>
      <c r="K184" t="s">
        <v>37</v>
      </c>
    </row>
    <row r="185" spans="2:11" ht="22" x14ac:dyDescent="0.15">
      <c r="B185" s="27" t="s">
        <v>280</v>
      </c>
      <c r="C185" s="27" t="s">
        <v>281</v>
      </c>
      <c r="D185" s="30">
        <v>0</v>
      </c>
      <c r="E185" s="30"/>
      <c r="F185" s="30">
        <v>1669060.64</v>
      </c>
      <c r="G185" s="30">
        <v>0</v>
      </c>
      <c r="H185" s="30">
        <f t="shared" si="2"/>
        <v>1669060.64</v>
      </c>
      <c r="I185" s="30"/>
      <c r="K185" t="s">
        <v>37</v>
      </c>
    </row>
    <row r="186" spans="2:11" ht="22" x14ac:dyDescent="0.15">
      <c r="B186" s="27" t="s">
        <v>282</v>
      </c>
      <c r="C186" s="27" t="s">
        <v>283</v>
      </c>
      <c r="D186" s="30">
        <v>0</v>
      </c>
      <c r="E186" s="30"/>
      <c r="F186" s="30">
        <v>1400000</v>
      </c>
      <c r="G186" s="30">
        <v>0</v>
      </c>
      <c r="H186" s="30">
        <f t="shared" si="2"/>
        <v>1400000</v>
      </c>
      <c r="I186" s="30"/>
      <c r="K186" t="s">
        <v>37</v>
      </c>
    </row>
    <row r="187" spans="2:11" ht="22" x14ac:dyDescent="0.15">
      <c r="B187" s="27" t="s">
        <v>284</v>
      </c>
      <c r="C187" s="27" t="s">
        <v>285</v>
      </c>
      <c r="D187" s="30">
        <v>0</v>
      </c>
      <c r="E187" s="30"/>
      <c r="F187" s="30">
        <v>1519436.17</v>
      </c>
      <c r="G187" s="30">
        <v>0</v>
      </c>
      <c r="H187" s="30">
        <f t="shared" si="2"/>
        <v>1519436.17</v>
      </c>
      <c r="I187" s="30"/>
      <c r="K187" t="s">
        <v>37</v>
      </c>
    </row>
    <row r="188" spans="2:11" ht="22" x14ac:dyDescent="0.15">
      <c r="B188" s="27" t="s">
        <v>286</v>
      </c>
      <c r="C188" s="27" t="s">
        <v>287</v>
      </c>
      <c r="D188" s="30">
        <v>0</v>
      </c>
      <c r="E188" s="30"/>
      <c r="F188" s="30">
        <v>475879.33</v>
      </c>
      <c r="G188" s="30">
        <v>0</v>
      </c>
      <c r="H188" s="30">
        <f t="shared" si="2"/>
        <v>475879.33</v>
      </c>
      <c r="I188" s="30"/>
      <c r="K188" t="s">
        <v>37</v>
      </c>
    </row>
    <row r="189" spans="2:11" ht="22" x14ac:dyDescent="0.15">
      <c r="B189" s="27" t="s">
        <v>288</v>
      </c>
      <c r="C189" s="27" t="s">
        <v>289</v>
      </c>
      <c r="D189" s="30">
        <v>0</v>
      </c>
      <c r="E189" s="30"/>
      <c r="F189" s="30">
        <v>269642.94</v>
      </c>
      <c r="G189" s="30">
        <v>0</v>
      </c>
      <c r="H189" s="30">
        <f t="shared" si="2"/>
        <v>269642.94</v>
      </c>
      <c r="I189" s="30"/>
      <c r="K189" t="s">
        <v>37</v>
      </c>
    </row>
    <row r="190" spans="2:11" ht="22" x14ac:dyDescent="0.15">
      <c r="B190" s="27" t="s">
        <v>290</v>
      </c>
      <c r="C190" s="27" t="s">
        <v>291</v>
      </c>
      <c r="D190" s="30">
        <v>0</v>
      </c>
      <c r="E190" s="30"/>
      <c r="F190" s="30">
        <v>377383.23</v>
      </c>
      <c r="G190" s="30">
        <v>0</v>
      </c>
      <c r="H190" s="30">
        <f t="shared" si="2"/>
        <v>377383.23</v>
      </c>
      <c r="I190" s="30"/>
      <c r="K190" t="s">
        <v>37</v>
      </c>
    </row>
    <row r="191" spans="2:11" ht="22" x14ac:dyDescent="0.15">
      <c r="B191" s="27" t="s">
        <v>292</v>
      </c>
      <c r="C191" s="27" t="s">
        <v>293</v>
      </c>
      <c r="D191" s="30">
        <v>0</v>
      </c>
      <c r="E191" s="30"/>
      <c r="F191" s="30">
        <v>1264850.4099999999</v>
      </c>
      <c r="G191" s="30">
        <v>0</v>
      </c>
      <c r="H191" s="30">
        <f t="shared" si="2"/>
        <v>1264850.4099999999</v>
      </c>
      <c r="I191" s="30"/>
      <c r="K191" t="s">
        <v>37</v>
      </c>
    </row>
    <row r="192" spans="2:11" ht="22" x14ac:dyDescent="0.15">
      <c r="B192" s="27" t="s">
        <v>294</v>
      </c>
      <c r="C192" s="27" t="s">
        <v>295</v>
      </c>
      <c r="D192" s="30">
        <v>0</v>
      </c>
      <c r="E192" s="30"/>
      <c r="F192" s="30">
        <v>1748125.4</v>
      </c>
      <c r="G192" s="30">
        <v>0</v>
      </c>
      <c r="H192" s="30">
        <f t="shared" si="2"/>
        <v>1748125.4</v>
      </c>
      <c r="I192" s="30"/>
      <c r="K192" t="s">
        <v>37</v>
      </c>
    </row>
    <row r="193" spans="2:11" ht="22" x14ac:dyDescent="0.15">
      <c r="B193" s="27" t="s">
        <v>296</v>
      </c>
      <c r="C193" s="27" t="s">
        <v>297</v>
      </c>
      <c r="D193" s="30">
        <v>0</v>
      </c>
      <c r="E193" s="30"/>
      <c r="F193" s="30">
        <v>1545009.63</v>
      </c>
      <c r="G193" s="30">
        <v>0</v>
      </c>
      <c r="H193" s="30">
        <f t="shared" si="2"/>
        <v>1545009.63</v>
      </c>
      <c r="I193" s="30"/>
      <c r="K193" t="s">
        <v>37</v>
      </c>
    </row>
    <row r="194" spans="2:11" ht="22" x14ac:dyDescent="0.15">
      <c r="B194" s="27" t="s">
        <v>298</v>
      </c>
      <c r="C194" s="27" t="s">
        <v>299</v>
      </c>
      <c r="D194" s="30">
        <v>0</v>
      </c>
      <c r="E194" s="30"/>
      <c r="F194" s="30">
        <v>1000000</v>
      </c>
      <c r="G194" s="30">
        <v>0</v>
      </c>
      <c r="H194" s="30">
        <f t="shared" si="2"/>
        <v>1000000</v>
      </c>
      <c r="I194" s="30"/>
      <c r="K194" t="s">
        <v>37</v>
      </c>
    </row>
    <row r="195" spans="2:11" ht="22" x14ac:dyDescent="0.15">
      <c r="B195" s="27" t="s">
        <v>300</v>
      </c>
      <c r="C195" s="27" t="s">
        <v>301</v>
      </c>
      <c r="D195" s="30">
        <v>0</v>
      </c>
      <c r="E195" s="30"/>
      <c r="F195" s="30">
        <v>1300919.2</v>
      </c>
      <c r="G195" s="30">
        <v>0</v>
      </c>
      <c r="H195" s="30">
        <f t="shared" si="2"/>
        <v>1300919.2</v>
      </c>
      <c r="I195" s="30"/>
      <c r="K195" t="s">
        <v>37</v>
      </c>
    </row>
    <row r="196" spans="2:11" ht="22" x14ac:dyDescent="0.15">
      <c r="B196" s="27" t="s">
        <v>302</v>
      </c>
      <c r="C196" s="27" t="s">
        <v>303</v>
      </c>
      <c r="D196" s="30">
        <v>0</v>
      </c>
      <c r="E196" s="30"/>
      <c r="F196" s="30">
        <v>1000000</v>
      </c>
      <c r="G196" s="30">
        <v>0</v>
      </c>
      <c r="H196" s="30">
        <f t="shared" si="2"/>
        <v>1000000</v>
      </c>
      <c r="I196" s="30"/>
      <c r="K196" t="s">
        <v>37</v>
      </c>
    </row>
    <row r="197" spans="2:11" ht="22" x14ac:dyDescent="0.15">
      <c r="B197" s="27" t="s">
        <v>304</v>
      </c>
      <c r="C197" s="27" t="s">
        <v>305</v>
      </c>
      <c r="D197" s="30">
        <v>0</v>
      </c>
      <c r="E197" s="30"/>
      <c r="F197" s="30">
        <v>448732.58</v>
      </c>
      <c r="G197" s="30">
        <v>0</v>
      </c>
      <c r="H197" s="30">
        <f t="shared" si="2"/>
        <v>448732.58</v>
      </c>
      <c r="I197" s="30"/>
      <c r="K197" t="s">
        <v>37</v>
      </c>
    </row>
    <row r="198" spans="2:11" ht="13" x14ac:dyDescent="0.15">
      <c r="B198" s="29" t="s">
        <v>306</v>
      </c>
      <c r="C198" s="29" t="s">
        <v>307</v>
      </c>
      <c r="D198" s="31">
        <f>SUMIFS(D199:D631,K199:K631,"0",B199:B631,"1 2 3 5 4 12 31111 6 M78 10000 351*")-SUMIFS(E199:E631,K199:K631,"0",B199:B631,"1 2 3 5 4 12 31111 6 M78 10000 351*")</f>
        <v>0</v>
      </c>
      <c r="E198"/>
      <c r="F198" s="31">
        <f>SUMIFS(F199:F631,K199:K631,"0",B199:B631,"1 2 3 5 4 12 31111 6 M78 10000 351*")</f>
        <v>11323810.099999998</v>
      </c>
      <c r="G198" s="31">
        <f>SUMIFS(G199:G631,K199:K631,"0",B199:B631,"1 2 3 5 4 12 31111 6 M78 10000 351*")</f>
        <v>0</v>
      </c>
      <c r="H198" s="31">
        <f t="shared" si="2"/>
        <v>11323810.099999998</v>
      </c>
      <c r="I198" s="31"/>
      <c r="K198" t="s">
        <v>13</v>
      </c>
    </row>
    <row r="199" spans="2:11" ht="13" x14ac:dyDescent="0.15">
      <c r="B199" s="29" t="s">
        <v>308</v>
      </c>
      <c r="C199" s="29" t="s">
        <v>128</v>
      </c>
      <c r="D199" s="31">
        <f>SUMIFS(D200:D631,K200:K631,"0",B200:B631,"1 2 3 5 4 12 31111 6 M78 10000 351 00I*")-SUMIFS(E200:E631,K200:K631,"0",B200:B631,"1 2 3 5 4 12 31111 6 M78 10000 351 00I*")</f>
        <v>0</v>
      </c>
      <c r="E199"/>
      <c r="F199" s="31">
        <f>SUMIFS(F200:F631,K200:K631,"0",B200:B631,"1 2 3 5 4 12 31111 6 M78 10000 351 00I*")</f>
        <v>11323810.099999998</v>
      </c>
      <c r="G199" s="31">
        <f>SUMIFS(G200:G631,K200:K631,"0",B200:B631,"1 2 3 5 4 12 31111 6 M78 10000 351 00I*")</f>
        <v>0</v>
      </c>
      <c r="H199" s="31">
        <f t="shared" si="2"/>
        <v>11323810.099999998</v>
      </c>
      <c r="I199" s="31"/>
      <c r="K199" t="s">
        <v>13</v>
      </c>
    </row>
    <row r="200" spans="2:11" ht="13" x14ac:dyDescent="0.15">
      <c r="B200" s="29" t="s">
        <v>309</v>
      </c>
      <c r="C200" s="29" t="s">
        <v>130</v>
      </c>
      <c r="D200" s="31">
        <f>SUMIFS(D201:D631,K201:K631,"0",B201:B631,"1 2 3 5 4 12 31111 6 M78 10000 351 00I 002*")-SUMIFS(E201:E631,K201:K631,"0",B201:B631,"1 2 3 5 4 12 31111 6 M78 10000 351 00I 002*")</f>
        <v>0</v>
      </c>
      <c r="E200"/>
      <c r="F200" s="31">
        <f>SUMIFS(F201:F631,K201:K631,"0",B201:B631,"1 2 3 5 4 12 31111 6 M78 10000 351 00I 002*")</f>
        <v>11323810.099999998</v>
      </c>
      <c r="G200" s="31">
        <f>SUMIFS(G201:G631,K201:K631,"0",B201:B631,"1 2 3 5 4 12 31111 6 M78 10000 351 00I 002*")</f>
        <v>0</v>
      </c>
      <c r="H200" s="31">
        <f t="shared" si="2"/>
        <v>11323810.099999998</v>
      </c>
      <c r="I200" s="31"/>
      <c r="K200" t="s">
        <v>13</v>
      </c>
    </row>
    <row r="201" spans="2:11" ht="13" x14ac:dyDescent="0.15">
      <c r="B201" s="29" t="s">
        <v>310</v>
      </c>
      <c r="C201" s="29" t="s">
        <v>244</v>
      </c>
      <c r="D201" s="31">
        <f>SUMIFS(D202:D631,K202:K631,"0",B202:B631,"1 2 3 5 4 12 31111 6 M78 10000 351 00I 002 61400*")-SUMIFS(E202:E631,K202:K631,"0",B202:B631,"1 2 3 5 4 12 31111 6 M78 10000 351 00I 002 61400*")</f>
        <v>0</v>
      </c>
      <c r="E201"/>
      <c r="F201" s="31">
        <f>SUMIFS(F202:F631,K202:K631,"0",B202:B631,"1 2 3 5 4 12 31111 6 M78 10000 351 00I 002 61400*")</f>
        <v>11323810.099999998</v>
      </c>
      <c r="G201" s="31">
        <f>SUMIFS(G202:G631,K202:K631,"0",B202:B631,"1 2 3 5 4 12 31111 6 M78 10000 351 00I 002 61400*")</f>
        <v>0</v>
      </c>
      <c r="H201" s="31">
        <f t="shared" si="2"/>
        <v>11323810.099999998</v>
      </c>
      <c r="I201" s="31"/>
      <c r="K201" t="s">
        <v>13</v>
      </c>
    </row>
    <row r="202" spans="2:11" ht="13" x14ac:dyDescent="0.15">
      <c r="B202" s="29" t="s">
        <v>311</v>
      </c>
      <c r="C202" s="29" t="s">
        <v>134</v>
      </c>
      <c r="D202" s="31">
        <f>SUMIFS(D203:D631,K203:K631,"0",B203:B631,"1 2 3 5 4 12 31111 6 M78 10000 351 00I 002 61400 025*")-SUMIFS(E203:E631,K203:K631,"0",B203:B631,"1 2 3 5 4 12 31111 6 M78 10000 351 00I 002 61400 025*")</f>
        <v>0</v>
      </c>
      <c r="E202"/>
      <c r="F202" s="31">
        <f>SUMIFS(F203:F631,K203:K631,"0",B203:B631,"1 2 3 5 4 12 31111 6 M78 10000 351 00I 002 61400 025*")</f>
        <v>11323810.099999998</v>
      </c>
      <c r="G202" s="31">
        <f>SUMIFS(G203:G631,K203:K631,"0",B203:B631,"1 2 3 5 4 12 31111 6 M78 10000 351 00I 002 61400 025*")</f>
        <v>0</v>
      </c>
      <c r="H202" s="31">
        <f t="shared" si="2"/>
        <v>11323810.099999998</v>
      </c>
      <c r="I202" s="31"/>
      <c r="K202" t="s">
        <v>13</v>
      </c>
    </row>
    <row r="203" spans="2:11" ht="22" x14ac:dyDescent="0.15">
      <c r="B203" s="29" t="s">
        <v>312</v>
      </c>
      <c r="C203" s="29" t="s">
        <v>136</v>
      </c>
      <c r="D203" s="31">
        <f>SUMIFS(D204:D631,K204:K631,"0",B204:B631,"1 2 3 5 4 12 31111 6 M78 10000 351 00I 002 61400 025 2210000*")-SUMIFS(E204:E631,K204:K631,"0",B204:B631,"1 2 3 5 4 12 31111 6 M78 10000 351 00I 002 61400 025 2210000*")</f>
        <v>0</v>
      </c>
      <c r="E203"/>
      <c r="F203" s="31">
        <f>SUMIFS(F204:F631,K204:K631,"0",B204:B631,"1 2 3 5 4 12 31111 6 M78 10000 351 00I 002 61400 025 2210000*")</f>
        <v>11323810.099999998</v>
      </c>
      <c r="G203" s="31">
        <f>SUMIFS(G204:G631,K204:K631,"0",B204:B631,"1 2 3 5 4 12 31111 6 M78 10000 351 00I 002 61400 025 2210000*")</f>
        <v>0</v>
      </c>
      <c r="H203" s="31">
        <f t="shared" ref="H203:H266" si="3">D203 + F203 - G203</f>
        <v>11323810.099999998</v>
      </c>
      <c r="I203" s="31"/>
      <c r="K203" t="s">
        <v>13</v>
      </c>
    </row>
    <row r="204" spans="2:11" ht="22" x14ac:dyDescent="0.15">
      <c r="B204" s="29" t="s">
        <v>313</v>
      </c>
      <c r="C204" s="29" t="s">
        <v>138</v>
      </c>
      <c r="D204" s="31">
        <f>SUMIFS(D205:D631,K205:K631,"0",B205:B631,"1 2 3 5 4 12 31111 6 M78 10000 351 00I 002 61400 025 2210000 2024*")-SUMIFS(E205:E631,K205:K631,"0",B205:B631,"1 2 3 5 4 12 31111 6 M78 10000 351 00I 002 61400 025 2210000 2024*")</f>
        <v>0</v>
      </c>
      <c r="E204"/>
      <c r="F204" s="31">
        <f>SUMIFS(F205:F631,K205:K631,"0",B205:B631,"1 2 3 5 4 12 31111 6 M78 10000 351 00I 002 61400 025 2210000 2024*")</f>
        <v>11323810.099999998</v>
      </c>
      <c r="G204" s="31">
        <f>SUMIFS(G205:G631,K205:K631,"0",B205:B631,"1 2 3 5 4 12 31111 6 M78 10000 351 00I 002 61400 025 2210000 2024*")</f>
        <v>0</v>
      </c>
      <c r="H204" s="31">
        <f t="shared" si="3"/>
        <v>11323810.099999998</v>
      </c>
      <c r="I204" s="31"/>
      <c r="K204" t="s">
        <v>13</v>
      </c>
    </row>
    <row r="205" spans="2:11" ht="22" x14ac:dyDescent="0.15">
      <c r="B205" s="29" t="s">
        <v>314</v>
      </c>
      <c r="C205" s="29" t="s">
        <v>140</v>
      </c>
      <c r="D205" s="31">
        <f>SUMIFS(D206:D631,K206:K631,"0",B206:B631,"1 2 3 5 4 12 31111 6 M78 10000 351 00I 002 61400 025 2210000 2024 00000000*")-SUMIFS(E206:E631,K206:K631,"0",B206:B631,"1 2 3 5 4 12 31111 6 M78 10000 351 00I 002 61400 025 2210000 2024 00000000*")</f>
        <v>0</v>
      </c>
      <c r="E205"/>
      <c r="F205" s="31">
        <f>SUMIFS(F206:F631,K206:K631,"0",B206:B631,"1 2 3 5 4 12 31111 6 M78 10000 351 00I 002 61400 025 2210000 2024 00000000*")</f>
        <v>11323810.099999998</v>
      </c>
      <c r="G205" s="31">
        <f>SUMIFS(G206:G631,K206:K631,"0",B206:B631,"1 2 3 5 4 12 31111 6 M78 10000 351 00I 002 61400 025 2210000 2024 00000000*")</f>
        <v>0</v>
      </c>
      <c r="H205" s="31">
        <f t="shared" si="3"/>
        <v>11323810.099999998</v>
      </c>
      <c r="I205" s="31"/>
      <c r="K205" t="s">
        <v>13</v>
      </c>
    </row>
    <row r="206" spans="2:11" ht="22" x14ac:dyDescent="0.15">
      <c r="B206" s="29" t="s">
        <v>315</v>
      </c>
      <c r="C206" s="29" t="s">
        <v>9</v>
      </c>
      <c r="D206" s="31">
        <f>SUMIFS(D207:D631,K207:K631,"0",B207:B631,"1 2 3 5 4 12 31111 6 M78 10000 351 00I 002 61400 025 2210000 2024 00000000 002*")-SUMIFS(E207:E631,K207:K631,"0",B207:B631,"1 2 3 5 4 12 31111 6 M78 10000 351 00I 002 61400 025 2210000 2024 00000000 002*")</f>
        <v>0</v>
      </c>
      <c r="E206"/>
      <c r="F206" s="31">
        <f>SUMIFS(F207:F631,K207:K631,"0",B207:B631,"1 2 3 5 4 12 31111 6 M78 10000 351 00I 002 61400 025 2210000 2024 00000000 002*")</f>
        <v>11323810.099999998</v>
      </c>
      <c r="G206" s="31">
        <f>SUMIFS(G207:G631,K207:K631,"0",B207:B631,"1 2 3 5 4 12 31111 6 M78 10000 351 00I 002 61400 025 2210000 2024 00000000 002*")</f>
        <v>0</v>
      </c>
      <c r="H206" s="31">
        <f t="shared" si="3"/>
        <v>11323810.099999998</v>
      </c>
      <c r="I206" s="31"/>
      <c r="K206" t="s">
        <v>13</v>
      </c>
    </row>
    <row r="207" spans="2:11" ht="22" x14ac:dyDescent="0.15">
      <c r="B207" s="27" t="s">
        <v>316</v>
      </c>
      <c r="C207" s="27" t="s">
        <v>317</v>
      </c>
      <c r="D207" s="30">
        <v>0</v>
      </c>
      <c r="E207" s="30"/>
      <c r="F207" s="30">
        <v>2165788.54</v>
      </c>
      <c r="G207" s="30">
        <v>0</v>
      </c>
      <c r="H207" s="30">
        <f t="shared" si="3"/>
        <v>2165788.54</v>
      </c>
      <c r="I207" s="30"/>
      <c r="K207" t="s">
        <v>37</v>
      </c>
    </row>
    <row r="208" spans="2:11" ht="22" x14ac:dyDescent="0.15">
      <c r="B208" s="27" t="s">
        <v>318</v>
      </c>
      <c r="C208" s="27" t="s">
        <v>319</v>
      </c>
      <c r="D208" s="30">
        <v>0</v>
      </c>
      <c r="E208" s="30"/>
      <c r="F208" s="30">
        <v>2169785.4</v>
      </c>
      <c r="G208" s="30">
        <v>0</v>
      </c>
      <c r="H208" s="30">
        <f t="shared" si="3"/>
        <v>2169785.4</v>
      </c>
      <c r="I208" s="30"/>
      <c r="K208" t="s">
        <v>37</v>
      </c>
    </row>
    <row r="209" spans="2:11" ht="22" x14ac:dyDescent="0.15">
      <c r="B209" s="27" t="s">
        <v>320</v>
      </c>
      <c r="C209" s="27" t="s">
        <v>321</v>
      </c>
      <c r="D209" s="30">
        <v>0</v>
      </c>
      <c r="E209" s="30"/>
      <c r="F209" s="30">
        <v>2171291.4300000002</v>
      </c>
      <c r="G209" s="30">
        <v>0</v>
      </c>
      <c r="H209" s="30">
        <f t="shared" si="3"/>
        <v>2171291.4300000002</v>
      </c>
      <c r="I209" s="30"/>
      <c r="K209" t="s">
        <v>37</v>
      </c>
    </row>
    <row r="210" spans="2:11" ht="22" x14ac:dyDescent="0.15">
      <c r="B210" s="27" t="s">
        <v>322</v>
      </c>
      <c r="C210" s="27" t="s">
        <v>323</v>
      </c>
      <c r="D210" s="30">
        <v>0</v>
      </c>
      <c r="E210" s="30"/>
      <c r="F210" s="30">
        <v>2170369.6800000002</v>
      </c>
      <c r="G210" s="30">
        <v>0</v>
      </c>
      <c r="H210" s="30">
        <f t="shared" si="3"/>
        <v>2170369.6800000002</v>
      </c>
      <c r="I210" s="30"/>
      <c r="K210" t="s">
        <v>37</v>
      </c>
    </row>
    <row r="211" spans="2:11" ht="22" x14ac:dyDescent="0.15">
      <c r="B211" s="27" t="s">
        <v>324</v>
      </c>
      <c r="C211" s="27" t="s">
        <v>325</v>
      </c>
      <c r="D211" s="30">
        <v>0</v>
      </c>
      <c r="E211" s="30"/>
      <c r="F211" s="30">
        <v>600000</v>
      </c>
      <c r="G211" s="30">
        <v>0</v>
      </c>
      <c r="H211" s="30">
        <f t="shared" si="3"/>
        <v>600000</v>
      </c>
      <c r="I211" s="30"/>
      <c r="K211" t="s">
        <v>37</v>
      </c>
    </row>
    <row r="212" spans="2:11" ht="22" x14ac:dyDescent="0.15">
      <c r="B212" s="27" t="s">
        <v>326</v>
      </c>
      <c r="C212" s="27" t="s">
        <v>327</v>
      </c>
      <c r="D212" s="30">
        <v>0</v>
      </c>
      <c r="E212" s="30"/>
      <c r="F212" s="30">
        <v>1423958.28</v>
      </c>
      <c r="G212" s="30">
        <v>0</v>
      </c>
      <c r="H212" s="30">
        <f t="shared" si="3"/>
        <v>1423958.28</v>
      </c>
      <c r="I212" s="30"/>
      <c r="K212" t="s">
        <v>37</v>
      </c>
    </row>
    <row r="213" spans="2:11" ht="22" x14ac:dyDescent="0.15">
      <c r="B213" s="27" t="s">
        <v>328</v>
      </c>
      <c r="C213" s="27" t="s">
        <v>329</v>
      </c>
      <c r="D213" s="30">
        <v>0</v>
      </c>
      <c r="E213" s="30"/>
      <c r="F213" s="30">
        <v>622616.77</v>
      </c>
      <c r="G213" s="30">
        <v>0</v>
      </c>
      <c r="H213" s="30">
        <f t="shared" si="3"/>
        <v>622616.77</v>
      </c>
      <c r="I213" s="30"/>
      <c r="K213" t="s">
        <v>37</v>
      </c>
    </row>
    <row r="214" spans="2:11" ht="13" x14ac:dyDescent="0.15">
      <c r="B214" s="29" t="s">
        <v>330</v>
      </c>
      <c r="C214" s="29" t="s">
        <v>331</v>
      </c>
      <c r="D214" s="31">
        <f>SUMIFS(D215:D631,K215:K631,"0",B215:B631,"1 2 3 5 5*")-SUMIFS(E215:E631,K215:K631,"0",B215:B631,"1 2 3 5 5*")</f>
        <v>0</v>
      </c>
      <c r="E214"/>
      <c r="F214" s="31">
        <f>SUMIFS(F215:F631,K215:K631,"0",B215:B631,"1 2 3 5 5*")</f>
        <v>4683133.8600000003</v>
      </c>
      <c r="G214" s="31">
        <f>SUMIFS(G215:G631,K215:K631,"0",B215:B631,"1 2 3 5 5*")</f>
        <v>0</v>
      </c>
      <c r="H214" s="31">
        <f t="shared" si="3"/>
        <v>4683133.8600000003</v>
      </c>
      <c r="I214" s="31"/>
      <c r="K214" t="s">
        <v>13</v>
      </c>
    </row>
    <row r="215" spans="2:11" ht="13" x14ac:dyDescent="0.15">
      <c r="B215" s="29" t="s">
        <v>332</v>
      </c>
      <c r="C215" s="29" t="s">
        <v>24</v>
      </c>
      <c r="D215" s="31">
        <f>SUMIFS(D216:D631,K216:K631,"0",B216:B631,"1 2 3 5 5 12*")-SUMIFS(E216:E631,K216:K631,"0",B216:B631,"1 2 3 5 5 12*")</f>
        <v>0</v>
      </c>
      <c r="E215"/>
      <c r="F215" s="31">
        <f>SUMIFS(F216:F631,K216:K631,"0",B216:B631,"1 2 3 5 5 12*")</f>
        <v>4683133.8600000003</v>
      </c>
      <c r="G215" s="31">
        <f>SUMIFS(G216:G631,K216:K631,"0",B216:B631,"1 2 3 5 5 12*")</f>
        <v>0</v>
      </c>
      <c r="H215" s="31">
        <f t="shared" si="3"/>
        <v>4683133.8600000003</v>
      </c>
      <c r="I215" s="31"/>
      <c r="K215" t="s">
        <v>13</v>
      </c>
    </row>
    <row r="216" spans="2:11" ht="13" x14ac:dyDescent="0.15">
      <c r="B216" s="29" t="s">
        <v>333</v>
      </c>
      <c r="C216" s="29" t="s">
        <v>26</v>
      </c>
      <c r="D216" s="31">
        <f>SUMIFS(D217:D631,K217:K631,"0",B217:B631,"1 2 3 5 5 12 31111*")-SUMIFS(E217:E631,K217:K631,"0",B217:B631,"1 2 3 5 5 12 31111*")</f>
        <v>0</v>
      </c>
      <c r="E216"/>
      <c r="F216" s="31">
        <f>SUMIFS(F217:F631,K217:K631,"0",B217:B631,"1 2 3 5 5 12 31111*")</f>
        <v>4683133.8600000003</v>
      </c>
      <c r="G216" s="31">
        <f>SUMIFS(G217:G631,K217:K631,"0",B217:B631,"1 2 3 5 5 12 31111*")</f>
        <v>0</v>
      </c>
      <c r="H216" s="31">
        <f t="shared" si="3"/>
        <v>4683133.8600000003</v>
      </c>
      <c r="I216" s="31"/>
      <c r="K216" t="s">
        <v>13</v>
      </c>
    </row>
    <row r="217" spans="2:11" ht="13" x14ac:dyDescent="0.15">
      <c r="B217" s="29" t="s">
        <v>334</v>
      </c>
      <c r="C217" s="29" t="s">
        <v>335</v>
      </c>
      <c r="D217" s="31">
        <f>SUMIFS(D218:D631,K218:K631,"0",B218:B631,"1 2 3 5 5 12 31111 6*")-SUMIFS(E218:E631,K218:K631,"0",B218:B631,"1 2 3 5 5 12 31111 6*")</f>
        <v>0</v>
      </c>
      <c r="E217"/>
      <c r="F217" s="31">
        <f>SUMIFS(F218:F631,K218:K631,"0",B218:B631,"1 2 3 5 5 12 31111 6*")</f>
        <v>4683133.8600000003</v>
      </c>
      <c r="G217" s="31">
        <f>SUMIFS(G218:G631,K218:K631,"0",B218:B631,"1 2 3 5 5 12 31111 6*")</f>
        <v>0</v>
      </c>
      <c r="H217" s="31">
        <f t="shared" si="3"/>
        <v>4683133.8600000003</v>
      </c>
      <c r="I217" s="31"/>
      <c r="K217" t="s">
        <v>13</v>
      </c>
    </row>
    <row r="218" spans="2:11" ht="13" x14ac:dyDescent="0.15">
      <c r="B218" s="29" t="s">
        <v>336</v>
      </c>
      <c r="C218" s="29" t="s">
        <v>337</v>
      </c>
      <c r="D218" s="31">
        <f>SUMIFS(D219:D631,K219:K631,"0",B219:B631,"1 2 3 5 5 12 31111 6 M78*")-SUMIFS(E219:E631,K219:K631,"0",B219:B631,"1 2 3 5 5 12 31111 6 M78*")</f>
        <v>0</v>
      </c>
      <c r="E218"/>
      <c r="F218" s="31">
        <f>SUMIFS(F219:F631,K219:K631,"0",B219:B631,"1 2 3 5 5 12 31111 6 M78*")</f>
        <v>4683133.8600000003</v>
      </c>
      <c r="G218" s="31">
        <f>SUMIFS(G219:G631,K219:K631,"0",B219:B631,"1 2 3 5 5 12 31111 6 M78*")</f>
        <v>0</v>
      </c>
      <c r="H218" s="31">
        <f t="shared" si="3"/>
        <v>4683133.8600000003</v>
      </c>
      <c r="I218" s="31"/>
      <c r="K218" t="s">
        <v>13</v>
      </c>
    </row>
    <row r="219" spans="2:11" ht="13" x14ac:dyDescent="0.15">
      <c r="B219" s="29" t="s">
        <v>338</v>
      </c>
      <c r="C219" s="29" t="s">
        <v>124</v>
      </c>
      <c r="D219" s="31">
        <f>SUMIFS(D220:D631,K220:K631,"0",B220:B631,"1 2 3 5 5 12 31111 6 M78 10000*")-SUMIFS(E220:E631,K220:K631,"0",B220:B631,"1 2 3 5 5 12 31111 6 M78 10000*")</f>
        <v>0</v>
      </c>
      <c r="E219"/>
      <c r="F219" s="31">
        <f>SUMIFS(F220:F631,K220:K631,"0",B220:B631,"1 2 3 5 5 12 31111 6 M78 10000*")</f>
        <v>4683133.8600000003</v>
      </c>
      <c r="G219" s="31">
        <f>SUMIFS(G220:G631,K220:K631,"0",B220:B631,"1 2 3 5 5 12 31111 6 M78 10000*")</f>
        <v>0</v>
      </c>
      <c r="H219" s="31">
        <f t="shared" si="3"/>
        <v>4683133.8600000003</v>
      </c>
      <c r="I219" s="31"/>
      <c r="K219" t="s">
        <v>13</v>
      </c>
    </row>
    <row r="220" spans="2:11" ht="13" x14ac:dyDescent="0.15">
      <c r="B220" s="29" t="s">
        <v>339</v>
      </c>
      <c r="C220" s="29" t="s">
        <v>340</v>
      </c>
      <c r="D220" s="31">
        <f>SUMIFS(D221:D631,K221:K631,"0",B221:B631,"1 2 3 5 5 12 31111 6 M78 10000 226*")-SUMIFS(E221:E631,K221:K631,"0",B221:B631,"1 2 3 5 5 12 31111 6 M78 10000 226*")</f>
        <v>0</v>
      </c>
      <c r="E220"/>
      <c r="F220" s="31">
        <f>SUMIFS(F221:F631,K221:K631,"0",B221:B631,"1 2 3 5 5 12 31111 6 M78 10000 226*")</f>
        <v>4683133.8600000003</v>
      </c>
      <c r="G220" s="31">
        <f>SUMIFS(G221:G631,K221:K631,"0",B221:B631,"1 2 3 5 5 12 31111 6 M78 10000 226*")</f>
        <v>0</v>
      </c>
      <c r="H220" s="31">
        <f t="shared" si="3"/>
        <v>4683133.8600000003</v>
      </c>
      <c r="I220" s="31"/>
      <c r="K220" t="s">
        <v>13</v>
      </c>
    </row>
    <row r="221" spans="2:11" ht="13" x14ac:dyDescent="0.15">
      <c r="B221" s="29" t="s">
        <v>341</v>
      </c>
      <c r="C221" s="29" t="s">
        <v>128</v>
      </c>
      <c r="D221" s="31">
        <f>SUMIFS(D222:D631,K222:K631,"0",B222:B631,"1 2 3 5 5 12 31111 6 M78 10000 226 00I*")-SUMIFS(E222:E631,K222:K631,"0",B222:B631,"1 2 3 5 5 12 31111 6 M78 10000 226 00I*")</f>
        <v>0</v>
      </c>
      <c r="E221"/>
      <c r="F221" s="31">
        <f>SUMIFS(F222:F631,K222:K631,"0",B222:B631,"1 2 3 5 5 12 31111 6 M78 10000 226 00I*")</f>
        <v>4683133.8600000003</v>
      </c>
      <c r="G221" s="31">
        <f>SUMIFS(G222:G631,K222:K631,"0",B222:B631,"1 2 3 5 5 12 31111 6 M78 10000 226 00I*")</f>
        <v>0</v>
      </c>
      <c r="H221" s="31">
        <f t="shared" si="3"/>
        <v>4683133.8600000003</v>
      </c>
      <c r="I221" s="31"/>
      <c r="K221" t="s">
        <v>13</v>
      </c>
    </row>
    <row r="222" spans="2:11" ht="13" x14ac:dyDescent="0.15">
      <c r="B222" s="29" t="s">
        <v>342</v>
      </c>
      <c r="C222" s="29" t="s">
        <v>130</v>
      </c>
      <c r="D222" s="31">
        <f>SUMIFS(D223:D631,K223:K631,"0",B223:B631,"1 2 3 5 5 12 31111 6 M78 10000 226 00I 002*")-SUMIFS(E223:E631,K223:K631,"0",B223:B631,"1 2 3 5 5 12 31111 6 M78 10000 226 00I 002*")</f>
        <v>0</v>
      </c>
      <c r="E222"/>
      <c r="F222" s="31">
        <f>SUMIFS(F223:F631,K223:K631,"0",B223:B631,"1 2 3 5 5 12 31111 6 M78 10000 226 00I 002*")</f>
        <v>4683133.8600000003</v>
      </c>
      <c r="G222" s="31">
        <f>SUMIFS(G223:G631,K223:K631,"0",B223:B631,"1 2 3 5 5 12 31111 6 M78 10000 226 00I 002*")</f>
        <v>0</v>
      </c>
      <c r="H222" s="31">
        <f t="shared" si="3"/>
        <v>4683133.8600000003</v>
      </c>
      <c r="I222" s="31"/>
      <c r="K222" t="s">
        <v>13</v>
      </c>
    </row>
    <row r="223" spans="2:11" ht="13" x14ac:dyDescent="0.15">
      <c r="B223" s="29" t="s">
        <v>343</v>
      </c>
      <c r="C223" s="29" t="s">
        <v>344</v>
      </c>
      <c r="D223" s="31">
        <f>SUMIFS(D224:D631,K224:K631,"0",B224:B631,"1 2 3 5 5 12 31111 6 M78 10000 226 00I 002 61500*")-SUMIFS(E224:E631,K224:K631,"0",B224:B631,"1 2 3 5 5 12 31111 6 M78 10000 226 00I 002 61500*")</f>
        <v>0</v>
      </c>
      <c r="E223"/>
      <c r="F223" s="31">
        <f>SUMIFS(F224:F631,K224:K631,"0",B224:B631,"1 2 3 5 5 12 31111 6 M78 10000 226 00I 002 61500*")</f>
        <v>4683133.8600000003</v>
      </c>
      <c r="G223" s="31">
        <f>SUMIFS(G224:G631,K224:K631,"0",B224:B631,"1 2 3 5 5 12 31111 6 M78 10000 226 00I 002 61500*")</f>
        <v>0</v>
      </c>
      <c r="H223" s="31">
        <f t="shared" si="3"/>
        <v>4683133.8600000003</v>
      </c>
      <c r="I223" s="31"/>
      <c r="K223" t="s">
        <v>13</v>
      </c>
    </row>
    <row r="224" spans="2:11" ht="13" x14ac:dyDescent="0.15">
      <c r="B224" s="29" t="s">
        <v>345</v>
      </c>
      <c r="C224" s="29" t="s">
        <v>134</v>
      </c>
      <c r="D224" s="31">
        <f>SUMIFS(D225:D631,K225:K631,"0",B225:B631,"1 2 3 5 5 12 31111 6 M78 10000 226 00I 002 61500 025*")-SUMIFS(E225:E631,K225:K631,"0",B225:B631,"1 2 3 5 5 12 31111 6 M78 10000 226 00I 002 61500 025*")</f>
        <v>0</v>
      </c>
      <c r="E224"/>
      <c r="F224" s="31">
        <f>SUMIFS(F225:F631,K225:K631,"0",B225:B631,"1 2 3 5 5 12 31111 6 M78 10000 226 00I 002 61500 025*")</f>
        <v>4683133.8600000003</v>
      </c>
      <c r="G224" s="31">
        <f>SUMIFS(G225:G631,K225:K631,"0",B225:B631,"1 2 3 5 5 12 31111 6 M78 10000 226 00I 002 61500 025*")</f>
        <v>0</v>
      </c>
      <c r="H224" s="31">
        <f t="shared" si="3"/>
        <v>4683133.8600000003</v>
      </c>
      <c r="I224" s="31"/>
      <c r="K224" t="s">
        <v>13</v>
      </c>
    </row>
    <row r="225" spans="2:11" ht="22" x14ac:dyDescent="0.15">
      <c r="B225" s="29" t="s">
        <v>346</v>
      </c>
      <c r="C225" s="29" t="s">
        <v>136</v>
      </c>
      <c r="D225" s="31">
        <f>SUMIFS(D226:D631,K226:K631,"0",B226:B631,"1 2 3 5 5 12 31111 6 M78 10000 226 00I 002 61500 025 2210000*")-SUMIFS(E226:E631,K226:K631,"0",B226:B631,"1 2 3 5 5 12 31111 6 M78 10000 226 00I 002 61500 025 2210000*")</f>
        <v>0</v>
      </c>
      <c r="E225"/>
      <c r="F225" s="31">
        <f>SUMIFS(F226:F631,K226:K631,"0",B226:B631,"1 2 3 5 5 12 31111 6 M78 10000 226 00I 002 61500 025 2210000*")</f>
        <v>4683133.8600000003</v>
      </c>
      <c r="G225" s="31">
        <f>SUMIFS(G226:G631,K226:K631,"0",B226:B631,"1 2 3 5 5 12 31111 6 M78 10000 226 00I 002 61500 025 2210000*")</f>
        <v>0</v>
      </c>
      <c r="H225" s="31">
        <f t="shared" si="3"/>
        <v>4683133.8600000003</v>
      </c>
      <c r="I225" s="31"/>
      <c r="K225" t="s">
        <v>13</v>
      </c>
    </row>
    <row r="226" spans="2:11" ht="22" x14ac:dyDescent="0.15">
      <c r="B226" s="29" t="s">
        <v>347</v>
      </c>
      <c r="C226" s="29" t="s">
        <v>138</v>
      </c>
      <c r="D226" s="31">
        <f>SUMIFS(D227:D631,K227:K631,"0",B227:B631,"1 2 3 5 5 12 31111 6 M78 10000 226 00I 002 61500 025 2210000 2024*")-SUMIFS(E227:E631,K227:K631,"0",B227:B631,"1 2 3 5 5 12 31111 6 M78 10000 226 00I 002 61500 025 2210000 2024*")</f>
        <v>0</v>
      </c>
      <c r="E226"/>
      <c r="F226" s="31">
        <f>SUMIFS(F227:F631,K227:K631,"0",B227:B631,"1 2 3 5 5 12 31111 6 M78 10000 226 00I 002 61500 025 2210000 2024*")</f>
        <v>4683133.8600000003</v>
      </c>
      <c r="G226" s="31">
        <f>SUMIFS(G227:G631,K227:K631,"0",B227:B631,"1 2 3 5 5 12 31111 6 M78 10000 226 00I 002 61500 025 2210000 2024*")</f>
        <v>0</v>
      </c>
      <c r="H226" s="31">
        <f t="shared" si="3"/>
        <v>4683133.8600000003</v>
      </c>
      <c r="I226" s="31"/>
      <c r="K226" t="s">
        <v>13</v>
      </c>
    </row>
    <row r="227" spans="2:11" ht="22" x14ac:dyDescent="0.15">
      <c r="B227" s="29" t="s">
        <v>348</v>
      </c>
      <c r="C227" s="29" t="s">
        <v>140</v>
      </c>
      <c r="D227" s="31">
        <f>SUMIFS(D228:D631,K228:K631,"0",B228:B631,"1 2 3 5 5 12 31111 6 M78 10000 226 00I 002 61500 025 2210000 2024 00000000*")-SUMIFS(E228:E631,K228:K631,"0",B228:B631,"1 2 3 5 5 12 31111 6 M78 10000 226 00I 002 61500 025 2210000 2024 00000000*")</f>
        <v>0</v>
      </c>
      <c r="E227"/>
      <c r="F227" s="31">
        <f>SUMIFS(F228:F631,K228:K631,"0",B228:B631,"1 2 3 5 5 12 31111 6 M78 10000 226 00I 002 61500 025 2210000 2024 00000000*")</f>
        <v>4683133.8600000003</v>
      </c>
      <c r="G227" s="31">
        <f>SUMIFS(G228:G631,K228:K631,"0",B228:B631,"1 2 3 5 5 12 31111 6 M78 10000 226 00I 002 61500 025 2210000 2024 00000000*")</f>
        <v>0</v>
      </c>
      <c r="H227" s="31">
        <f t="shared" si="3"/>
        <v>4683133.8600000003</v>
      </c>
      <c r="I227" s="31"/>
      <c r="K227" t="s">
        <v>13</v>
      </c>
    </row>
    <row r="228" spans="2:11" ht="22" x14ac:dyDescent="0.15">
      <c r="B228" s="29" t="s">
        <v>349</v>
      </c>
      <c r="C228" s="29" t="s">
        <v>9</v>
      </c>
      <c r="D228" s="31">
        <f>SUMIFS(D229:D631,K229:K631,"0",B229:B631,"1 2 3 5 5 12 31111 6 M78 10000 226 00I 002 61500 025 2210000 2024 00000000 002*")-SUMIFS(E229:E631,K229:K631,"0",B229:B631,"1 2 3 5 5 12 31111 6 M78 10000 226 00I 002 61500 025 2210000 2024 00000000 002*")</f>
        <v>0</v>
      </c>
      <c r="E228"/>
      <c r="F228" s="31">
        <f>SUMIFS(F229:F631,K229:K631,"0",B229:B631,"1 2 3 5 5 12 31111 6 M78 10000 226 00I 002 61500 025 2210000 2024 00000000 002*")</f>
        <v>4683133.8600000003</v>
      </c>
      <c r="G228" s="31">
        <f>SUMIFS(G229:G631,K229:K631,"0",B229:B631,"1 2 3 5 5 12 31111 6 M78 10000 226 00I 002 61500 025 2210000 2024 00000000 002*")</f>
        <v>0</v>
      </c>
      <c r="H228" s="31">
        <f t="shared" si="3"/>
        <v>4683133.8600000003</v>
      </c>
      <c r="I228" s="31"/>
      <c r="K228" t="s">
        <v>13</v>
      </c>
    </row>
    <row r="229" spans="2:11" ht="22" x14ac:dyDescent="0.15">
      <c r="B229" s="27" t="s">
        <v>350</v>
      </c>
      <c r="C229" s="27" t="s">
        <v>351</v>
      </c>
      <c r="D229" s="30">
        <v>0</v>
      </c>
      <c r="E229" s="30"/>
      <c r="F229" s="30">
        <v>700000</v>
      </c>
      <c r="G229" s="30">
        <v>0</v>
      </c>
      <c r="H229" s="30">
        <f t="shared" si="3"/>
        <v>700000</v>
      </c>
      <c r="I229" s="30"/>
      <c r="K229" t="s">
        <v>37</v>
      </c>
    </row>
    <row r="230" spans="2:11" ht="22" x14ac:dyDescent="0.15">
      <c r="B230" s="27" t="s">
        <v>352</v>
      </c>
      <c r="C230" s="27" t="s">
        <v>353</v>
      </c>
      <c r="D230" s="30">
        <v>0</v>
      </c>
      <c r="E230" s="30"/>
      <c r="F230" s="30">
        <v>1903133.86</v>
      </c>
      <c r="G230" s="30">
        <v>0</v>
      </c>
      <c r="H230" s="30">
        <f t="shared" si="3"/>
        <v>1903133.86</v>
      </c>
      <c r="I230" s="30"/>
      <c r="K230" t="s">
        <v>37</v>
      </c>
    </row>
    <row r="231" spans="2:11" ht="22" x14ac:dyDescent="0.15">
      <c r="B231" s="27" t="s">
        <v>354</v>
      </c>
      <c r="C231" s="27" t="s">
        <v>355</v>
      </c>
      <c r="D231" s="30">
        <v>0</v>
      </c>
      <c r="E231" s="30"/>
      <c r="F231" s="30">
        <v>2080000</v>
      </c>
      <c r="G231" s="30">
        <v>0</v>
      </c>
      <c r="H231" s="30">
        <f t="shared" si="3"/>
        <v>2080000</v>
      </c>
      <c r="I231" s="30"/>
      <c r="K231" t="s">
        <v>37</v>
      </c>
    </row>
    <row r="232" spans="2:11" ht="13" x14ac:dyDescent="0.15">
      <c r="B232" s="29" t="s">
        <v>356</v>
      </c>
      <c r="C232" s="29" t="s">
        <v>357</v>
      </c>
      <c r="D232" s="31">
        <f>SUMIFS(D233:D631,K233:K631,"0",B233:B631,"1 2 4*")-SUMIFS(E233:E631,K233:K631,"0",B233:B631,"1 2 4*")</f>
        <v>1637059.8699999994</v>
      </c>
      <c r="E232"/>
      <c r="F232" s="31">
        <f>SUMIFS(F233:F631,K233:K631,"0",B233:B631,"1 2 4*")</f>
        <v>0</v>
      </c>
      <c r="G232" s="31">
        <f>SUMIFS(G233:G631,K233:K631,"0",B233:B631,"1 2 4*")</f>
        <v>482956.2</v>
      </c>
      <c r="H232" s="31">
        <f t="shared" si="3"/>
        <v>1154103.6699999995</v>
      </c>
      <c r="I232" s="31"/>
      <c r="K232" t="s">
        <v>13</v>
      </c>
    </row>
    <row r="233" spans="2:11" ht="13" x14ac:dyDescent="0.15">
      <c r="B233" s="29" t="s">
        <v>358</v>
      </c>
      <c r="C233" s="29" t="s">
        <v>359</v>
      </c>
      <c r="D233" s="31">
        <f>SUMIFS(D234:D631,K234:K631,"0",B234:B631,"1 2 4 1*")-SUMIFS(E234:E631,K234:K631,"0",B234:B631,"1 2 4 1*")</f>
        <v>1307059.8699999994</v>
      </c>
      <c r="E233"/>
      <c r="F233" s="31">
        <f>SUMIFS(F234:F631,K234:K631,"0",B234:B631,"1 2 4 1*")</f>
        <v>0</v>
      </c>
      <c r="G233" s="31">
        <f>SUMIFS(G234:G631,K234:K631,"0",B234:B631,"1 2 4 1*")</f>
        <v>332956.2</v>
      </c>
      <c r="H233" s="31">
        <f t="shared" si="3"/>
        <v>974103.66999999946</v>
      </c>
      <c r="I233" s="31"/>
      <c r="K233" t="s">
        <v>13</v>
      </c>
    </row>
    <row r="234" spans="2:11" ht="13" x14ac:dyDescent="0.15">
      <c r="B234" s="29" t="s">
        <v>360</v>
      </c>
      <c r="C234" s="29" t="s">
        <v>361</v>
      </c>
      <c r="D234" s="31">
        <f>SUMIFS(D235:D631,K235:K631,"0",B235:B631,"1 2 4 1 1*")-SUMIFS(E235:E631,K235:K631,"0",B235:B631,"1 2 4 1 1*")</f>
        <v>249087.76</v>
      </c>
      <c r="E234"/>
      <c r="F234" s="31">
        <f>SUMIFS(F235:F631,K235:K631,"0",B235:B631,"1 2 4 1 1*")</f>
        <v>0</v>
      </c>
      <c r="G234" s="31">
        <f>SUMIFS(G235:G631,K235:K631,"0",B235:B631,"1 2 4 1 1*")</f>
        <v>28158.959999999999</v>
      </c>
      <c r="H234" s="31">
        <f t="shared" si="3"/>
        <v>220928.80000000002</v>
      </c>
      <c r="I234" s="31"/>
      <c r="K234" t="s">
        <v>13</v>
      </c>
    </row>
    <row r="235" spans="2:11" ht="13" x14ac:dyDescent="0.15">
      <c r="B235" s="29" t="s">
        <v>362</v>
      </c>
      <c r="C235" s="29" t="s">
        <v>24</v>
      </c>
      <c r="D235" s="31">
        <f>SUMIFS(D236:D631,K236:K631,"0",B236:B631,"1 2 4 1 1 12*")-SUMIFS(E236:E631,K236:K631,"0",B236:B631,"1 2 4 1 1 12*")</f>
        <v>249087.76</v>
      </c>
      <c r="E235"/>
      <c r="F235" s="31">
        <f>SUMIFS(F236:F631,K236:K631,"0",B236:B631,"1 2 4 1 1 12*")</f>
        <v>0</v>
      </c>
      <c r="G235" s="31">
        <f>SUMIFS(G236:G631,K236:K631,"0",B236:B631,"1 2 4 1 1 12*")</f>
        <v>28158.959999999999</v>
      </c>
      <c r="H235" s="31">
        <f t="shared" si="3"/>
        <v>220928.80000000002</v>
      </c>
      <c r="I235" s="31"/>
      <c r="K235" t="s">
        <v>13</v>
      </c>
    </row>
    <row r="236" spans="2:11" ht="13" x14ac:dyDescent="0.15">
      <c r="B236" s="29" t="s">
        <v>363</v>
      </c>
      <c r="C236" s="29" t="s">
        <v>26</v>
      </c>
      <c r="D236" s="31">
        <f>SUMIFS(D237:D631,K237:K631,"0",B237:B631,"1 2 4 1 1 12 31111*")-SUMIFS(E237:E631,K237:K631,"0",B237:B631,"1 2 4 1 1 12 31111*")</f>
        <v>249087.76</v>
      </c>
      <c r="E236"/>
      <c r="F236" s="31">
        <f>SUMIFS(F237:F631,K237:K631,"0",B237:B631,"1 2 4 1 1 12 31111*")</f>
        <v>0</v>
      </c>
      <c r="G236" s="31">
        <f>SUMIFS(G237:G631,K237:K631,"0",B237:B631,"1 2 4 1 1 12 31111*")</f>
        <v>28158.959999999999</v>
      </c>
      <c r="H236" s="31">
        <f t="shared" si="3"/>
        <v>220928.80000000002</v>
      </c>
      <c r="I236" s="31"/>
      <c r="K236" t="s">
        <v>13</v>
      </c>
    </row>
    <row r="237" spans="2:11" ht="13" x14ac:dyDescent="0.15">
      <c r="B237" s="29" t="s">
        <v>364</v>
      </c>
      <c r="C237" s="29" t="s">
        <v>28</v>
      </c>
      <c r="D237" s="31">
        <f>SUMIFS(D238:D631,K238:K631,"0",B238:B631,"1 2 4 1 1 12 31111 6*")-SUMIFS(E238:E631,K238:K631,"0",B238:B631,"1 2 4 1 1 12 31111 6*")</f>
        <v>249087.76</v>
      </c>
      <c r="E237"/>
      <c r="F237" s="31">
        <f>SUMIFS(F238:F631,K238:K631,"0",B238:B631,"1 2 4 1 1 12 31111 6*")</f>
        <v>0</v>
      </c>
      <c r="G237" s="31">
        <f>SUMIFS(G238:G631,K238:K631,"0",B238:B631,"1 2 4 1 1 12 31111 6*")</f>
        <v>28158.959999999999</v>
      </c>
      <c r="H237" s="31">
        <f t="shared" si="3"/>
        <v>220928.80000000002</v>
      </c>
      <c r="I237" s="31"/>
      <c r="K237" t="s">
        <v>13</v>
      </c>
    </row>
    <row r="238" spans="2:11" ht="13" x14ac:dyDescent="0.15">
      <c r="B238" s="29" t="s">
        <v>365</v>
      </c>
      <c r="C238" s="29" t="s">
        <v>30</v>
      </c>
      <c r="D238" s="31">
        <f>SUMIFS(D239:D631,K239:K631,"0",B239:B631,"1 2 4 1 1 12 31111 6 M78*")-SUMIFS(E239:E631,K239:K631,"0",B239:B631,"1 2 4 1 1 12 31111 6 M78*")</f>
        <v>249087.76</v>
      </c>
      <c r="E238"/>
      <c r="F238" s="31">
        <f>SUMIFS(F239:F631,K239:K631,"0",B239:B631,"1 2 4 1 1 12 31111 6 M78*")</f>
        <v>0</v>
      </c>
      <c r="G238" s="31">
        <f>SUMIFS(G239:G631,K239:K631,"0",B239:B631,"1 2 4 1 1 12 31111 6 M78*")</f>
        <v>28158.959999999999</v>
      </c>
      <c r="H238" s="31">
        <f t="shared" si="3"/>
        <v>220928.80000000002</v>
      </c>
      <c r="I238" s="31"/>
      <c r="K238" t="s">
        <v>13</v>
      </c>
    </row>
    <row r="239" spans="2:11" ht="13" x14ac:dyDescent="0.15">
      <c r="B239" s="29" t="s">
        <v>366</v>
      </c>
      <c r="C239" s="29" t="s">
        <v>367</v>
      </c>
      <c r="D239" s="31">
        <f>SUMIFS(D240:D631,K240:K631,"0",B240:B631,"1 2 4 1 1 12 31111 6 M78 00000*")-SUMIFS(E240:E631,K240:K631,"0",B240:B631,"1 2 4 1 1 12 31111 6 M78 00000*")</f>
        <v>249087.76</v>
      </c>
      <c r="E239"/>
      <c r="F239" s="31">
        <f>SUMIFS(F240:F631,K240:K631,"0",B240:B631,"1 2 4 1 1 12 31111 6 M78 00000*")</f>
        <v>0</v>
      </c>
      <c r="G239" s="31">
        <f>SUMIFS(G240:G631,K240:K631,"0",B240:B631,"1 2 4 1 1 12 31111 6 M78 00000*")</f>
        <v>22659.96</v>
      </c>
      <c r="H239" s="31">
        <f t="shared" si="3"/>
        <v>226427.80000000002</v>
      </c>
      <c r="I239" s="31"/>
      <c r="K239" t="s">
        <v>13</v>
      </c>
    </row>
    <row r="240" spans="2:11" ht="13" x14ac:dyDescent="0.15">
      <c r="B240" s="29" t="s">
        <v>368</v>
      </c>
      <c r="C240" s="29" t="s">
        <v>57</v>
      </c>
      <c r="D240" s="31">
        <f>SUMIFS(D241:D631,K241:K631,"0",B241:B631,"1 2 4 1 1 12 31111 6 M78 00000 002*")-SUMIFS(E241:E631,K241:K631,"0",B241:B631,"1 2 4 1 1 12 31111 6 M78 00000 002*")</f>
        <v>249087.76</v>
      </c>
      <c r="E240"/>
      <c r="F240" s="31">
        <f>SUMIFS(F241:F631,K241:K631,"0",B241:B631,"1 2 4 1 1 12 31111 6 M78 00000 002*")</f>
        <v>0</v>
      </c>
      <c r="G240" s="31">
        <f>SUMIFS(G241:G631,K241:K631,"0",B241:B631,"1 2 4 1 1 12 31111 6 M78 00000 002*")</f>
        <v>22659.96</v>
      </c>
      <c r="H240" s="31">
        <f t="shared" si="3"/>
        <v>226427.80000000002</v>
      </c>
      <c r="I240" s="31"/>
      <c r="K240" t="s">
        <v>13</v>
      </c>
    </row>
    <row r="241" spans="2:11" ht="13" x14ac:dyDescent="0.15">
      <c r="B241" s="29" t="s">
        <v>369</v>
      </c>
      <c r="C241" s="29" t="s">
        <v>370</v>
      </c>
      <c r="D241" s="31">
        <f>SUMIFS(D242:D631,K242:K631,"0",B242:B631,"1 2 4 1 1 12 31111 6 M78 00000 002 001*")-SUMIFS(E242:E631,K242:K631,"0",B242:B631,"1 2 4 1 1 12 31111 6 M78 00000 002 001*")</f>
        <v>249087.76</v>
      </c>
      <c r="E241"/>
      <c r="F241" s="31">
        <f>SUMIFS(F242:F631,K242:K631,"0",B242:B631,"1 2 4 1 1 12 31111 6 M78 00000 002 001*")</f>
        <v>0</v>
      </c>
      <c r="G241" s="31">
        <f>SUMIFS(G242:G631,K242:K631,"0",B242:B631,"1 2 4 1 1 12 31111 6 M78 00000 002 001*")</f>
        <v>22659.96</v>
      </c>
      <c r="H241" s="31">
        <f t="shared" si="3"/>
        <v>226427.80000000002</v>
      </c>
      <c r="I241" s="31"/>
      <c r="K241" t="s">
        <v>13</v>
      </c>
    </row>
    <row r="242" spans="2:11" ht="13" x14ac:dyDescent="0.15">
      <c r="B242" s="27" t="s">
        <v>371</v>
      </c>
      <c r="C242" s="27" t="s">
        <v>372</v>
      </c>
      <c r="D242" s="30">
        <v>2970</v>
      </c>
      <c r="E242" s="30"/>
      <c r="F242" s="30">
        <v>0</v>
      </c>
      <c r="G242" s="30">
        <v>0</v>
      </c>
      <c r="H242" s="30">
        <f t="shared" si="3"/>
        <v>2970</v>
      </c>
      <c r="I242" s="30"/>
      <c r="K242" t="s">
        <v>37</v>
      </c>
    </row>
    <row r="243" spans="2:11" ht="13" x14ac:dyDescent="0.15">
      <c r="B243" s="27" t="s">
        <v>373</v>
      </c>
      <c r="C243" s="27" t="s">
        <v>372</v>
      </c>
      <c r="D243" s="30">
        <v>2970</v>
      </c>
      <c r="E243" s="30"/>
      <c r="F243" s="30">
        <v>0</v>
      </c>
      <c r="G243" s="30">
        <v>0</v>
      </c>
      <c r="H243" s="30">
        <f t="shared" si="3"/>
        <v>2970</v>
      </c>
      <c r="I243" s="30"/>
      <c r="K243" t="s">
        <v>37</v>
      </c>
    </row>
    <row r="244" spans="2:11" ht="13" x14ac:dyDescent="0.15">
      <c r="B244" s="27" t="s">
        <v>374</v>
      </c>
      <c r="C244" s="27" t="s">
        <v>375</v>
      </c>
      <c r="D244" s="30">
        <v>3102.74</v>
      </c>
      <c r="E244" s="30"/>
      <c r="F244" s="30">
        <v>0</v>
      </c>
      <c r="G244" s="30">
        <v>0</v>
      </c>
      <c r="H244" s="30">
        <f t="shared" si="3"/>
        <v>3102.74</v>
      </c>
      <c r="I244" s="30"/>
      <c r="K244" t="s">
        <v>37</v>
      </c>
    </row>
    <row r="245" spans="2:11" ht="13" x14ac:dyDescent="0.15">
      <c r="B245" s="27" t="s">
        <v>376</v>
      </c>
      <c r="C245" s="27" t="s">
        <v>375</v>
      </c>
      <c r="D245" s="30">
        <v>3102.74</v>
      </c>
      <c r="E245" s="30"/>
      <c r="F245" s="30">
        <v>0</v>
      </c>
      <c r="G245" s="30">
        <v>3102.74</v>
      </c>
      <c r="H245" s="30">
        <f t="shared" si="3"/>
        <v>0</v>
      </c>
      <c r="I245" s="30"/>
      <c r="K245" t="s">
        <v>37</v>
      </c>
    </row>
    <row r="246" spans="2:11" ht="13" x14ac:dyDescent="0.15">
      <c r="B246" s="27" t="s">
        <v>377</v>
      </c>
      <c r="C246" s="27" t="s">
        <v>375</v>
      </c>
      <c r="D246" s="30">
        <v>3102.74</v>
      </c>
      <c r="E246" s="30"/>
      <c r="F246" s="30">
        <v>0</v>
      </c>
      <c r="G246" s="30">
        <v>3102.74</v>
      </c>
      <c r="H246" s="30">
        <f t="shared" si="3"/>
        <v>0</v>
      </c>
      <c r="I246" s="30"/>
      <c r="K246" t="s">
        <v>37</v>
      </c>
    </row>
    <row r="247" spans="2:11" ht="13" x14ac:dyDescent="0.15">
      <c r="B247" s="27" t="s">
        <v>378</v>
      </c>
      <c r="C247" s="27" t="s">
        <v>379</v>
      </c>
      <c r="D247" s="30">
        <v>8051.24</v>
      </c>
      <c r="E247" s="30"/>
      <c r="F247" s="30">
        <v>0</v>
      </c>
      <c r="G247" s="30">
        <v>0</v>
      </c>
      <c r="H247" s="30">
        <f t="shared" si="3"/>
        <v>8051.24</v>
      </c>
      <c r="I247" s="30"/>
      <c r="K247" t="s">
        <v>37</v>
      </c>
    </row>
    <row r="248" spans="2:11" ht="13" x14ac:dyDescent="0.15">
      <c r="B248" s="27" t="s">
        <v>380</v>
      </c>
      <c r="C248" s="27" t="s">
        <v>379</v>
      </c>
      <c r="D248" s="30">
        <v>8051.24</v>
      </c>
      <c r="E248" s="30"/>
      <c r="F248" s="30">
        <v>0</v>
      </c>
      <c r="G248" s="30">
        <v>0</v>
      </c>
      <c r="H248" s="30">
        <f t="shared" si="3"/>
        <v>8051.24</v>
      </c>
      <c r="I248" s="30"/>
      <c r="K248" t="s">
        <v>37</v>
      </c>
    </row>
    <row r="249" spans="2:11" ht="13" x14ac:dyDescent="0.15">
      <c r="B249" s="27" t="s">
        <v>381</v>
      </c>
      <c r="C249" s="27" t="s">
        <v>379</v>
      </c>
      <c r="D249" s="30">
        <v>8051.24</v>
      </c>
      <c r="E249" s="30"/>
      <c r="F249" s="30">
        <v>0</v>
      </c>
      <c r="G249" s="30">
        <v>0</v>
      </c>
      <c r="H249" s="30">
        <f t="shared" si="3"/>
        <v>8051.24</v>
      </c>
      <c r="I249" s="30"/>
      <c r="K249" t="s">
        <v>37</v>
      </c>
    </row>
    <row r="250" spans="2:11" ht="13" x14ac:dyDescent="0.15">
      <c r="B250" s="27" t="s">
        <v>382</v>
      </c>
      <c r="C250" s="27" t="s">
        <v>379</v>
      </c>
      <c r="D250" s="30">
        <v>8051.24</v>
      </c>
      <c r="E250" s="30"/>
      <c r="F250" s="30">
        <v>0</v>
      </c>
      <c r="G250" s="30">
        <v>0</v>
      </c>
      <c r="H250" s="30">
        <f t="shared" si="3"/>
        <v>8051.24</v>
      </c>
      <c r="I250" s="30"/>
      <c r="K250" t="s">
        <v>37</v>
      </c>
    </row>
    <row r="251" spans="2:11" ht="13" x14ac:dyDescent="0.15">
      <c r="B251" s="27" t="s">
        <v>383</v>
      </c>
      <c r="C251" s="27" t="s">
        <v>384</v>
      </c>
      <c r="D251" s="30">
        <v>6484.03</v>
      </c>
      <c r="E251" s="30"/>
      <c r="F251" s="30">
        <v>0</v>
      </c>
      <c r="G251" s="30">
        <v>0</v>
      </c>
      <c r="H251" s="30">
        <f t="shared" si="3"/>
        <v>6484.03</v>
      </c>
      <c r="I251" s="30"/>
      <c r="K251" t="s">
        <v>37</v>
      </c>
    </row>
    <row r="252" spans="2:11" ht="13" x14ac:dyDescent="0.15">
      <c r="B252" s="27" t="s">
        <v>385</v>
      </c>
      <c r="C252" s="27" t="s">
        <v>384</v>
      </c>
      <c r="D252" s="30">
        <v>6484.03</v>
      </c>
      <c r="E252" s="30"/>
      <c r="F252" s="30">
        <v>0</v>
      </c>
      <c r="G252" s="30">
        <v>0</v>
      </c>
      <c r="H252" s="30">
        <f t="shared" si="3"/>
        <v>6484.03</v>
      </c>
      <c r="I252" s="30"/>
      <c r="K252" t="s">
        <v>37</v>
      </c>
    </row>
    <row r="253" spans="2:11" ht="13" x14ac:dyDescent="0.15">
      <c r="B253" s="27" t="s">
        <v>386</v>
      </c>
      <c r="C253" s="27" t="s">
        <v>384</v>
      </c>
      <c r="D253" s="30">
        <v>6484.03</v>
      </c>
      <c r="E253" s="30"/>
      <c r="F253" s="30">
        <v>0</v>
      </c>
      <c r="G253" s="30">
        <v>0</v>
      </c>
      <c r="H253" s="30">
        <f t="shared" si="3"/>
        <v>6484.03</v>
      </c>
      <c r="I253" s="30"/>
      <c r="K253" t="s">
        <v>37</v>
      </c>
    </row>
    <row r="254" spans="2:11" ht="13" x14ac:dyDescent="0.15">
      <c r="B254" s="27" t="s">
        <v>387</v>
      </c>
      <c r="C254" s="27" t="s">
        <v>384</v>
      </c>
      <c r="D254" s="30">
        <v>6484.03</v>
      </c>
      <c r="E254" s="30"/>
      <c r="F254" s="30">
        <v>0</v>
      </c>
      <c r="G254" s="30">
        <v>0</v>
      </c>
      <c r="H254" s="30">
        <f t="shared" si="3"/>
        <v>6484.03</v>
      </c>
      <c r="I254" s="30"/>
      <c r="K254" t="s">
        <v>37</v>
      </c>
    </row>
    <row r="255" spans="2:11" ht="13" x14ac:dyDescent="0.15">
      <c r="B255" s="27" t="s">
        <v>388</v>
      </c>
      <c r="C255" s="27" t="s">
        <v>384</v>
      </c>
      <c r="D255" s="30">
        <v>6484.03</v>
      </c>
      <c r="E255" s="30"/>
      <c r="F255" s="30">
        <v>0</v>
      </c>
      <c r="G255" s="30">
        <v>0</v>
      </c>
      <c r="H255" s="30">
        <f t="shared" si="3"/>
        <v>6484.03</v>
      </c>
      <c r="I255" s="30"/>
      <c r="K255" t="s">
        <v>37</v>
      </c>
    </row>
    <row r="256" spans="2:11" ht="13" x14ac:dyDescent="0.15">
      <c r="B256" s="27" t="s">
        <v>389</v>
      </c>
      <c r="C256" s="27" t="s">
        <v>384</v>
      </c>
      <c r="D256" s="30">
        <v>6484.03</v>
      </c>
      <c r="E256" s="30"/>
      <c r="F256" s="30">
        <v>0</v>
      </c>
      <c r="G256" s="30">
        <v>0</v>
      </c>
      <c r="H256" s="30">
        <f t="shared" si="3"/>
        <v>6484.03</v>
      </c>
      <c r="I256" s="30"/>
      <c r="K256" t="s">
        <v>37</v>
      </c>
    </row>
    <row r="257" spans="2:11" ht="13" x14ac:dyDescent="0.15">
      <c r="B257" s="27" t="s">
        <v>390</v>
      </c>
      <c r="C257" s="27" t="s">
        <v>384</v>
      </c>
      <c r="D257" s="30">
        <v>6484.03</v>
      </c>
      <c r="E257" s="30"/>
      <c r="F257" s="30">
        <v>0</v>
      </c>
      <c r="G257" s="30">
        <v>0</v>
      </c>
      <c r="H257" s="30">
        <f t="shared" si="3"/>
        <v>6484.03</v>
      </c>
      <c r="I257" s="30"/>
      <c r="K257" t="s">
        <v>37</v>
      </c>
    </row>
    <row r="258" spans="2:11" ht="13" x14ac:dyDescent="0.15">
      <c r="B258" s="27" t="s">
        <v>391</v>
      </c>
      <c r="C258" s="27" t="s">
        <v>384</v>
      </c>
      <c r="D258" s="30">
        <v>6484.03</v>
      </c>
      <c r="E258" s="30"/>
      <c r="F258" s="30">
        <v>0</v>
      </c>
      <c r="G258" s="30">
        <v>6484.03</v>
      </c>
      <c r="H258" s="30">
        <f t="shared" si="3"/>
        <v>0</v>
      </c>
      <c r="I258" s="30"/>
      <c r="K258" t="s">
        <v>37</v>
      </c>
    </row>
    <row r="259" spans="2:11" ht="13" x14ac:dyDescent="0.15">
      <c r="B259" s="27" t="s">
        <v>392</v>
      </c>
      <c r="C259" s="27" t="s">
        <v>393</v>
      </c>
      <c r="D259" s="30">
        <v>3892.55</v>
      </c>
      <c r="E259" s="30"/>
      <c r="F259" s="30">
        <v>0</v>
      </c>
      <c r="G259" s="30">
        <v>3892.55</v>
      </c>
      <c r="H259" s="30">
        <f t="shared" si="3"/>
        <v>0</v>
      </c>
      <c r="I259" s="30"/>
      <c r="K259" t="s">
        <v>37</v>
      </c>
    </row>
    <row r="260" spans="2:11" ht="13" x14ac:dyDescent="0.15">
      <c r="B260" s="27" t="s">
        <v>394</v>
      </c>
      <c r="C260" s="27" t="s">
        <v>395</v>
      </c>
      <c r="D260" s="30">
        <v>145869.79</v>
      </c>
      <c r="E260" s="30"/>
      <c r="F260" s="30">
        <v>0</v>
      </c>
      <c r="G260" s="30">
        <v>6077.9</v>
      </c>
      <c r="H260" s="30">
        <f t="shared" si="3"/>
        <v>139791.89000000001</v>
      </c>
      <c r="I260" s="30"/>
      <c r="K260" t="s">
        <v>37</v>
      </c>
    </row>
    <row r="261" spans="2:11" ht="13" x14ac:dyDescent="0.15">
      <c r="B261" s="29" t="s">
        <v>396</v>
      </c>
      <c r="C261" s="29" t="s">
        <v>124</v>
      </c>
      <c r="D261" s="31">
        <f>SUMIFS(D262:D631,K262:K631,"0",B262:B631,"1 2 4 1 1 12 31111 6 M78 10000*")-SUMIFS(E262:E631,K262:K631,"0",B262:B631,"1 2 4 1 1 12 31111 6 M78 10000*")</f>
        <v>0</v>
      </c>
      <c r="E261"/>
      <c r="F261" s="31">
        <f>SUMIFS(F262:F631,K262:K631,"0",B262:B631,"1 2 4 1 1 12 31111 6 M78 10000*")</f>
        <v>0</v>
      </c>
      <c r="G261" s="31">
        <f>SUMIFS(G262:G631,K262:K631,"0",B262:B631,"1 2 4 1 1 12 31111 6 M78 10000*")</f>
        <v>5499</v>
      </c>
      <c r="H261" s="31">
        <f t="shared" si="3"/>
        <v>-5499</v>
      </c>
      <c r="I261" s="31"/>
      <c r="K261" t="s">
        <v>13</v>
      </c>
    </row>
    <row r="262" spans="2:11" ht="13" x14ac:dyDescent="0.15">
      <c r="B262" s="29" t="s">
        <v>397</v>
      </c>
      <c r="C262" s="29" t="s">
        <v>398</v>
      </c>
      <c r="D262" s="31">
        <f>SUMIFS(D263:D631,K263:K631,"0",B263:B631,"1 2 4 1 1 12 31111 6 M78 10000 152*")-SUMIFS(E263:E631,K263:K631,"0",B263:B631,"1 2 4 1 1 12 31111 6 M78 10000 152*")</f>
        <v>0</v>
      </c>
      <c r="E262"/>
      <c r="F262" s="31">
        <f>SUMIFS(F263:F631,K263:K631,"0",B263:B631,"1 2 4 1 1 12 31111 6 M78 10000 152*")</f>
        <v>0</v>
      </c>
      <c r="G262" s="31">
        <f>SUMIFS(G263:G631,K263:K631,"0",B263:B631,"1 2 4 1 1 12 31111 6 M78 10000 152*")</f>
        <v>5499</v>
      </c>
      <c r="H262" s="31">
        <f t="shared" si="3"/>
        <v>-5499</v>
      </c>
      <c r="I262" s="31"/>
      <c r="K262" t="s">
        <v>13</v>
      </c>
    </row>
    <row r="263" spans="2:11" ht="13" x14ac:dyDescent="0.15">
      <c r="B263" s="29" t="s">
        <v>399</v>
      </c>
      <c r="C263" s="29" t="s">
        <v>128</v>
      </c>
      <c r="D263" s="31">
        <f>SUMIFS(D264:D631,K264:K631,"0",B264:B631,"1 2 4 1 1 12 31111 6 M78 10000 152 00I*")-SUMIFS(E264:E631,K264:K631,"0",B264:B631,"1 2 4 1 1 12 31111 6 M78 10000 152 00I*")</f>
        <v>0</v>
      </c>
      <c r="E263"/>
      <c r="F263" s="31">
        <f>SUMIFS(F264:F631,K264:K631,"0",B264:B631,"1 2 4 1 1 12 31111 6 M78 10000 152 00I*")</f>
        <v>0</v>
      </c>
      <c r="G263" s="31">
        <f>SUMIFS(G264:G631,K264:K631,"0",B264:B631,"1 2 4 1 1 12 31111 6 M78 10000 152 00I*")</f>
        <v>5499</v>
      </c>
      <c r="H263" s="31">
        <f t="shared" si="3"/>
        <v>-5499</v>
      </c>
      <c r="I263" s="31"/>
      <c r="K263" t="s">
        <v>13</v>
      </c>
    </row>
    <row r="264" spans="2:11" ht="13" x14ac:dyDescent="0.15">
      <c r="B264" s="29" t="s">
        <v>400</v>
      </c>
      <c r="C264" s="29" t="s">
        <v>130</v>
      </c>
      <c r="D264" s="31">
        <f>SUMIFS(D265:D631,K265:K631,"0",B265:B631,"1 2 4 1 1 12 31111 6 M78 10000 152 00I 002*")-SUMIFS(E265:E631,K265:K631,"0",B265:B631,"1 2 4 1 1 12 31111 6 M78 10000 152 00I 002*")</f>
        <v>0</v>
      </c>
      <c r="E264"/>
      <c r="F264" s="31">
        <f>SUMIFS(F265:F631,K265:K631,"0",B265:B631,"1 2 4 1 1 12 31111 6 M78 10000 152 00I 002*")</f>
        <v>0</v>
      </c>
      <c r="G264" s="31">
        <f>SUMIFS(G265:G631,K265:K631,"0",B265:B631,"1 2 4 1 1 12 31111 6 M78 10000 152 00I 002*")</f>
        <v>5499</v>
      </c>
      <c r="H264" s="31">
        <f t="shared" si="3"/>
        <v>-5499</v>
      </c>
      <c r="I264" s="31"/>
      <c r="K264" t="s">
        <v>13</v>
      </c>
    </row>
    <row r="265" spans="2:11" ht="13" x14ac:dyDescent="0.15">
      <c r="B265" s="29" t="s">
        <v>401</v>
      </c>
      <c r="C265" s="29" t="s">
        <v>402</v>
      </c>
      <c r="D265" s="31">
        <f>SUMIFS(D266:D631,K266:K631,"0",B266:B631,"1 2 4 1 1 12 31111 6 M78 10000 152 00I 002 51101*")-SUMIFS(E266:E631,K266:K631,"0",B266:B631,"1 2 4 1 1 12 31111 6 M78 10000 152 00I 002 51101*")</f>
        <v>0</v>
      </c>
      <c r="E265"/>
      <c r="F265" s="31">
        <f>SUMIFS(F266:F631,K266:K631,"0",B266:B631,"1 2 4 1 1 12 31111 6 M78 10000 152 00I 002 51101*")</f>
        <v>0</v>
      </c>
      <c r="G265" s="31">
        <f>SUMIFS(G266:G631,K266:K631,"0",B266:B631,"1 2 4 1 1 12 31111 6 M78 10000 152 00I 002 51101*")</f>
        <v>5499</v>
      </c>
      <c r="H265" s="31">
        <f t="shared" si="3"/>
        <v>-5499</v>
      </c>
      <c r="I265" s="31"/>
      <c r="K265" t="s">
        <v>13</v>
      </c>
    </row>
    <row r="266" spans="2:11" ht="13" x14ac:dyDescent="0.15">
      <c r="B266" s="29" t="s">
        <v>403</v>
      </c>
      <c r="C266" s="29" t="s">
        <v>134</v>
      </c>
      <c r="D266" s="31">
        <f>SUMIFS(D267:D631,K267:K631,"0",B267:B631,"1 2 4 1 1 12 31111 6 M78 10000 152 00I 002 51101 025*")-SUMIFS(E267:E631,K267:K631,"0",B267:B631,"1 2 4 1 1 12 31111 6 M78 10000 152 00I 002 51101 025*")</f>
        <v>0</v>
      </c>
      <c r="E266"/>
      <c r="F266" s="31">
        <f>SUMIFS(F267:F631,K267:K631,"0",B267:B631,"1 2 4 1 1 12 31111 6 M78 10000 152 00I 002 51101 025*")</f>
        <v>0</v>
      </c>
      <c r="G266" s="31">
        <f>SUMIFS(G267:G631,K267:K631,"0",B267:B631,"1 2 4 1 1 12 31111 6 M78 10000 152 00I 002 51101 025*")</f>
        <v>5499</v>
      </c>
      <c r="H266" s="31">
        <f t="shared" si="3"/>
        <v>-5499</v>
      </c>
      <c r="I266" s="31"/>
      <c r="K266" t="s">
        <v>13</v>
      </c>
    </row>
    <row r="267" spans="2:11" ht="22" x14ac:dyDescent="0.15">
      <c r="B267" s="29" t="s">
        <v>404</v>
      </c>
      <c r="C267" s="29" t="s">
        <v>405</v>
      </c>
      <c r="D267" s="31">
        <f>SUMIFS(D268:D631,K268:K631,"0",B268:B631,"1 2 4 1 1 12 31111 6 M78 10000 152 00I 002 51101 025 2112000*")-SUMIFS(E268:E631,K268:K631,"0",B268:B631,"1 2 4 1 1 12 31111 6 M78 10000 152 00I 002 51101 025 2112000*")</f>
        <v>0</v>
      </c>
      <c r="E267"/>
      <c r="F267" s="31">
        <f>SUMIFS(F268:F631,K268:K631,"0",B268:B631,"1 2 4 1 1 12 31111 6 M78 10000 152 00I 002 51101 025 2112000*")</f>
        <v>0</v>
      </c>
      <c r="G267" s="31">
        <f>SUMIFS(G268:G631,K268:K631,"0",B268:B631,"1 2 4 1 1 12 31111 6 M78 10000 152 00I 002 51101 025 2112000*")</f>
        <v>5499</v>
      </c>
      <c r="H267" s="31">
        <f t="shared" ref="H267:H330" si="4">D267 + F267 - G267</f>
        <v>-5499</v>
      </c>
      <c r="I267" s="31"/>
      <c r="K267" t="s">
        <v>13</v>
      </c>
    </row>
    <row r="268" spans="2:11" ht="22" x14ac:dyDescent="0.15">
      <c r="B268" s="29" t="s">
        <v>406</v>
      </c>
      <c r="C268" s="29" t="s">
        <v>138</v>
      </c>
      <c r="D268" s="31">
        <f>SUMIFS(D269:D631,K269:K631,"0",B269:B631,"1 2 4 1 1 12 31111 6 M78 10000 152 00I 002 51101 025 2112000 2024*")-SUMIFS(E269:E631,K269:K631,"0",B269:B631,"1 2 4 1 1 12 31111 6 M78 10000 152 00I 002 51101 025 2112000 2024*")</f>
        <v>0</v>
      </c>
      <c r="E268"/>
      <c r="F268" s="31">
        <f>SUMIFS(F269:F631,K269:K631,"0",B269:B631,"1 2 4 1 1 12 31111 6 M78 10000 152 00I 002 51101 025 2112000 2024*")</f>
        <v>0</v>
      </c>
      <c r="G268" s="31">
        <f>SUMIFS(G269:G631,K269:K631,"0",B269:B631,"1 2 4 1 1 12 31111 6 M78 10000 152 00I 002 51101 025 2112000 2024*")</f>
        <v>5499</v>
      </c>
      <c r="H268" s="31">
        <f t="shared" si="4"/>
        <v>-5499</v>
      </c>
      <c r="I268" s="31"/>
      <c r="K268" t="s">
        <v>13</v>
      </c>
    </row>
    <row r="269" spans="2:11" ht="22" x14ac:dyDescent="0.15">
      <c r="B269" s="29" t="s">
        <v>407</v>
      </c>
      <c r="C269" s="29" t="s">
        <v>140</v>
      </c>
      <c r="D269" s="31">
        <f>SUMIFS(D270:D631,K270:K631,"0",B270:B631,"1 2 4 1 1 12 31111 6 M78 10000 152 00I 002 51101 025 2112000 2024 00000000*")-SUMIFS(E270:E631,K270:K631,"0",B270:B631,"1 2 4 1 1 12 31111 6 M78 10000 152 00I 002 51101 025 2112000 2024 00000000*")</f>
        <v>0</v>
      </c>
      <c r="E269"/>
      <c r="F269" s="31">
        <f>SUMIFS(F270:F631,K270:K631,"0",B270:B631,"1 2 4 1 1 12 31111 6 M78 10000 152 00I 002 51101 025 2112000 2024 00000000*")</f>
        <v>0</v>
      </c>
      <c r="G269" s="31">
        <f>SUMIFS(G270:G631,K270:K631,"0",B270:B631,"1 2 4 1 1 12 31111 6 M78 10000 152 00I 002 51101 025 2112000 2024 00000000*")</f>
        <v>5499</v>
      </c>
      <c r="H269" s="31">
        <f t="shared" si="4"/>
        <v>-5499</v>
      </c>
      <c r="I269" s="31"/>
      <c r="K269" t="s">
        <v>13</v>
      </c>
    </row>
    <row r="270" spans="2:11" ht="22" x14ac:dyDescent="0.15">
      <c r="B270" s="29" t="s">
        <v>408</v>
      </c>
      <c r="C270" s="29" t="s">
        <v>409</v>
      </c>
      <c r="D270" s="31">
        <f>SUMIFS(D271:D631,K271:K631,"0",B271:B631,"1 2 4 1 1 12 31111 6 M78 10000 152 00I 002 51101 025 2112000 2024 00000000 002*")-SUMIFS(E271:E631,K271:K631,"0",B271:B631,"1 2 4 1 1 12 31111 6 M78 10000 152 00I 002 51101 025 2112000 2024 00000000 002*")</f>
        <v>0</v>
      </c>
      <c r="E270"/>
      <c r="F270" s="31">
        <f>SUMIFS(F271:F631,K271:K631,"0",B271:B631,"1 2 4 1 1 12 31111 6 M78 10000 152 00I 002 51101 025 2112000 2024 00000000 002*")</f>
        <v>0</v>
      </c>
      <c r="G270" s="31">
        <f>SUMIFS(G271:G631,K271:K631,"0",B271:B631,"1 2 4 1 1 12 31111 6 M78 10000 152 00I 002 51101 025 2112000 2024 00000000 002*")</f>
        <v>5499</v>
      </c>
      <c r="H270" s="31">
        <f t="shared" si="4"/>
        <v>-5499</v>
      </c>
      <c r="I270" s="31"/>
      <c r="K270" t="s">
        <v>13</v>
      </c>
    </row>
    <row r="271" spans="2:11" ht="22" x14ac:dyDescent="0.15">
      <c r="B271" s="27" t="s">
        <v>410</v>
      </c>
      <c r="C271" s="27" t="s">
        <v>411</v>
      </c>
      <c r="D271" s="30">
        <v>0</v>
      </c>
      <c r="E271" s="30"/>
      <c r="F271" s="30">
        <v>0</v>
      </c>
      <c r="G271" s="30">
        <v>5499</v>
      </c>
      <c r="H271" s="30">
        <f t="shared" si="4"/>
        <v>-5499</v>
      </c>
      <c r="I271" s="30"/>
      <c r="K271" t="s">
        <v>37</v>
      </c>
    </row>
    <row r="272" spans="2:11" ht="13" x14ac:dyDescent="0.15">
      <c r="B272" s="29" t="s">
        <v>412</v>
      </c>
      <c r="C272" s="29" t="s">
        <v>413</v>
      </c>
      <c r="D272" s="31">
        <f>SUMIFS(D273:D631,K273:K631,"0",B273:B631,"1 2 4 1 3*")-SUMIFS(E273:E631,K273:K631,"0",B273:B631,"1 2 4 1 3*")</f>
        <v>130110.80000000002</v>
      </c>
      <c r="E272"/>
      <c r="F272" s="31">
        <f>SUMIFS(F273:F631,K273:K631,"0",B273:B631,"1 2 4 1 3*")</f>
        <v>0</v>
      </c>
      <c r="G272" s="31">
        <f>SUMIFS(G273:G631,K273:K631,"0",B273:B631,"1 2 4 1 3*")</f>
        <v>15158</v>
      </c>
      <c r="H272" s="31">
        <f t="shared" si="4"/>
        <v>114952.80000000002</v>
      </c>
      <c r="I272" s="31"/>
      <c r="K272" t="s">
        <v>13</v>
      </c>
    </row>
    <row r="273" spans="2:11" ht="13" x14ac:dyDescent="0.15">
      <c r="B273" s="29" t="s">
        <v>414</v>
      </c>
      <c r="C273" s="29" t="s">
        <v>24</v>
      </c>
      <c r="D273" s="31">
        <f>SUMIFS(D274:D631,K274:K631,"0",B274:B631,"1 2 4 1 3 12*")-SUMIFS(E274:E631,K274:K631,"0",B274:B631,"1 2 4 1 3 12*")</f>
        <v>130110.80000000002</v>
      </c>
      <c r="E273"/>
      <c r="F273" s="31">
        <f>SUMIFS(F274:F631,K274:K631,"0",B274:B631,"1 2 4 1 3 12*")</f>
        <v>0</v>
      </c>
      <c r="G273" s="31">
        <f>SUMIFS(G274:G631,K274:K631,"0",B274:B631,"1 2 4 1 3 12*")</f>
        <v>15158</v>
      </c>
      <c r="H273" s="31">
        <f t="shared" si="4"/>
        <v>114952.80000000002</v>
      </c>
      <c r="I273" s="31"/>
      <c r="K273" t="s">
        <v>13</v>
      </c>
    </row>
    <row r="274" spans="2:11" ht="13" x14ac:dyDescent="0.15">
      <c r="B274" s="29" t="s">
        <v>415</v>
      </c>
      <c r="C274" s="29" t="s">
        <v>26</v>
      </c>
      <c r="D274" s="31">
        <f>SUMIFS(D275:D631,K275:K631,"0",B275:B631,"1 2 4 1 3 12 31111*")-SUMIFS(E275:E631,K275:K631,"0",B275:B631,"1 2 4 1 3 12 31111*")</f>
        <v>130110.80000000002</v>
      </c>
      <c r="E274"/>
      <c r="F274" s="31">
        <f>SUMIFS(F275:F631,K275:K631,"0",B275:B631,"1 2 4 1 3 12 31111*")</f>
        <v>0</v>
      </c>
      <c r="G274" s="31">
        <f>SUMIFS(G275:G631,K275:K631,"0",B275:B631,"1 2 4 1 3 12 31111*")</f>
        <v>15158</v>
      </c>
      <c r="H274" s="31">
        <f t="shared" si="4"/>
        <v>114952.80000000002</v>
      </c>
      <c r="I274" s="31"/>
      <c r="K274" t="s">
        <v>13</v>
      </c>
    </row>
    <row r="275" spans="2:11" ht="13" x14ac:dyDescent="0.15">
      <c r="B275" s="29" t="s">
        <v>416</v>
      </c>
      <c r="C275" s="29" t="s">
        <v>28</v>
      </c>
      <c r="D275" s="31">
        <f>SUMIFS(D276:D631,K276:K631,"0",B276:B631,"1 2 4 1 3 12 31111 6*")-SUMIFS(E276:E631,K276:K631,"0",B276:B631,"1 2 4 1 3 12 31111 6*")</f>
        <v>130110.80000000002</v>
      </c>
      <c r="E275"/>
      <c r="F275" s="31">
        <f>SUMIFS(F276:F631,K276:K631,"0",B276:B631,"1 2 4 1 3 12 31111 6*")</f>
        <v>0</v>
      </c>
      <c r="G275" s="31">
        <f>SUMIFS(G276:G631,K276:K631,"0",B276:B631,"1 2 4 1 3 12 31111 6*")</f>
        <v>15158</v>
      </c>
      <c r="H275" s="31">
        <f t="shared" si="4"/>
        <v>114952.80000000002</v>
      </c>
      <c r="I275" s="31"/>
      <c r="K275" t="s">
        <v>13</v>
      </c>
    </row>
    <row r="276" spans="2:11" ht="13" x14ac:dyDescent="0.15">
      <c r="B276" s="29" t="s">
        <v>417</v>
      </c>
      <c r="C276" s="29" t="s">
        <v>30</v>
      </c>
      <c r="D276" s="31">
        <f>SUMIFS(D277:D631,K277:K631,"0",B277:B631,"1 2 4 1 3 12 31111 6 M78*")-SUMIFS(E277:E631,K277:K631,"0",B277:B631,"1 2 4 1 3 12 31111 6 M78*")</f>
        <v>130110.80000000002</v>
      </c>
      <c r="E276"/>
      <c r="F276" s="31">
        <f>SUMIFS(F277:F631,K277:K631,"0",B277:B631,"1 2 4 1 3 12 31111 6 M78*")</f>
        <v>0</v>
      </c>
      <c r="G276" s="31">
        <f>SUMIFS(G277:G631,K277:K631,"0",B277:B631,"1 2 4 1 3 12 31111 6 M78*")</f>
        <v>15158</v>
      </c>
      <c r="H276" s="31">
        <f t="shared" si="4"/>
        <v>114952.80000000002</v>
      </c>
      <c r="I276" s="31"/>
      <c r="K276" t="s">
        <v>13</v>
      </c>
    </row>
    <row r="277" spans="2:11" ht="13" x14ac:dyDescent="0.15">
      <c r="B277" s="29" t="s">
        <v>418</v>
      </c>
      <c r="C277" s="29" t="s">
        <v>367</v>
      </c>
      <c r="D277" s="31">
        <f>SUMIFS(D278:D631,K278:K631,"0",B278:B631,"1 2 4 1 3 12 31111 6 M78 00000*")-SUMIFS(E278:E631,K278:K631,"0",B278:B631,"1 2 4 1 3 12 31111 6 M78 00000*")</f>
        <v>130110.80000000002</v>
      </c>
      <c r="E277"/>
      <c r="F277" s="31">
        <f>SUMIFS(F278:F631,K278:K631,"0",B278:B631,"1 2 4 1 3 12 31111 6 M78 00000*")</f>
        <v>0</v>
      </c>
      <c r="G277" s="31">
        <f>SUMIFS(G278:G631,K278:K631,"0",B278:B631,"1 2 4 1 3 12 31111 6 M78 00000*")</f>
        <v>15158</v>
      </c>
      <c r="H277" s="31">
        <f t="shared" si="4"/>
        <v>114952.80000000002</v>
      </c>
      <c r="I277" s="31"/>
      <c r="K277" t="s">
        <v>13</v>
      </c>
    </row>
    <row r="278" spans="2:11" ht="13" x14ac:dyDescent="0.15">
      <c r="B278" s="29" t="s">
        <v>419</v>
      </c>
      <c r="C278" s="29" t="s">
        <v>420</v>
      </c>
      <c r="D278" s="31">
        <f>SUMIFS(D279:D631,K279:K631,"0",B279:B631,"1 2 4 1 3 12 31111 6 M78 00000 002*")-SUMIFS(E279:E631,K279:K631,"0",B279:B631,"1 2 4 1 3 12 31111 6 M78 00000 002*")</f>
        <v>130110.80000000002</v>
      </c>
      <c r="E278"/>
      <c r="F278" s="31">
        <f>SUMIFS(F279:F631,K279:K631,"0",B279:B631,"1 2 4 1 3 12 31111 6 M78 00000 002*")</f>
        <v>0</v>
      </c>
      <c r="G278" s="31">
        <f>SUMIFS(G279:G631,K279:K631,"0",B279:B631,"1 2 4 1 3 12 31111 6 M78 00000 002*")</f>
        <v>15158</v>
      </c>
      <c r="H278" s="31">
        <f t="shared" si="4"/>
        <v>114952.80000000002</v>
      </c>
      <c r="I278" s="31"/>
      <c r="K278" t="s">
        <v>13</v>
      </c>
    </row>
    <row r="279" spans="2:11" ht="13" x14ac:dyDescent="0.15">
      <c r="B279" s="29" t="s">
        <v>421</v>
      </c>
      <c r="C279" s="29" t="s">
        <v>370</v>
      </c>
      <c r="D279" s="31">
        <f>SUMIFS(D280:D631,K280:K631,"0",B280:B631,"1 2 4 1 3 12 31111 6 M78 00000 002 001*")-SUMIFS(E280:E631,K280:K631,"0",B280:B631,"1 2 4 1 3 12 31111 6 M78 00000 002 001*")</f>
        <v>130110.80000000002</v>
      </c>
      <c r="E279"/>
      <c r="F279" s="31">
        <f>SUMIFS(F280:F631,K280:K631,"0",B280:B631,"1 2 4 1 3 12 31111 6 M78 00000 002 001*")</f>
        <v>0</v>
      </c>
      <c r="G279" s="31">
        <f>SUMIFS(G280:G631,K280:K631,"0",B280:B631,"1 2 4 1 3 12 31111 6 M78 00000 002 001*")</f>
        <v>15158</v>
      </c>
      <c r="H279" s="31">
        <f t="shared" si="4"/>
        <v>114952.80000000002</v>
      </c>
      <c r="I279" s="31"/>
      <c r="K279" t="s">
        <v>13</v>
      </c>
    </row>
    <row r="280" spans="2:11" ht="13" x14ac:dyDescent="0.15">
      <c r="B280" s="27" t="s">
        <v>422</v>
      </c>
      <c r="C280" s="27" t="s">
        <v>423</v>
      </c>
      <c r="D280" s="30">
        <v>12474.35</v>
      </c>
      <c r="E280" s="30"/>
      <c r="F280" s="30">
        <v>0</v>
      </c>
      <c r="G280" s="30">
        <v>0</v>
      </c>
      <c r="H280" s="30">
        <f t="shared" si="4"/>
        <v>12474.35</v>
      </c>
      <c r="I280" s="30"/>
      <c r="K280" t="s">
        <v>37</v>
      </c>
    </row>
    <row r="281" spans="2:11" ht="13" x14ac:dyDescent="0.15">
      <c r="B281" s="27" t="s">
        <v>424</v>
      </c>
      <c r="C281" s="27" t="s">
        <v>423</v>
      </c>
      <c r="D281" s="30">
        <v>12474.35</v>
      </c>
      <c r="E281" s="30"/>
      <c r="F281" s="30">
        <v>0</v>
      </c>
      <c r="G281" s="30">
        <v>0</v>
      </c>
      <c r="H281" s="30">
        <f t="shared" si="4"/>
        <v>12474.35</v>
      </c>
      <c r="I281" s="30"/>
      <c r="K281" t="s">
        <v>37</v>
      </c>
    </row>
    <row r="282" spans="2:11" ht="13" x14ac:dyDescent="0.15">
      <c r="B282" s="27" t="s">
        <v>425</v>
      </c>
      <c r="C282" s="27" t="s">
        <v>423</v>
      </c>
      <c r="D282" s="30">
        <v>12474.35</v>
      </c>
      <c r="E282" s="30"/>
      <c r="F282" s="30">
        <v>0</v>
      </c>
      <c r="G282" s="30">
        <v>0</v>
      </c>
      <c r="H282" s="30">
        <f t="shared" si="4"/>
        <v>12474.35</v>
      </c>
      <c r="I282" s="30"/>
      <c r="K282" t="s">
        <v>37</v>
      </c>
    </row>
    <row r="283" spans="2:11" ht="13" x14ac:dyDescent="0.15">
      <c r="B283" s="27" t="s">
        <v>426</v>
      </c>
      <c r="C283" s="27" t="s">
        <v>423</v>
      </c>
      <c r="D283" s="30">
        <v>12474.35</v>
      </c>
      <c r="E283" s="30"/>
      <c r="F283" s="30">
        <v>0</v>
      </c>
      <c r="G283" s="30">
        <v>0</v>
      </c>
      <c r="H283" s="30">
        <f t="shared" si="4"/>
        <v>12474.35</v>
      </c>
      <c r="I283" s="30"/>
      <c r="K283" t="s">
        <v>37</v>
      </c>
    </row>
    <row r="284" spans="2:11" ht="13" x14ac:dyDescent="0.15">
      <c r="B284" s="27" t="s">
        <v>427</v>
      </c>
      <c r="C284" s="27" t="s">
        <v>423</v>
      </c>
      <c r="D284" s="30">
        <v>12474.35</v>
      </c>
      <c r="E284" s="30"/>
      <c r="F284" s="30">
        <v>0</v>
      </c>
      <c r="G284" s="30">
        <v>0</v>
      </c>
      <c r="H284" s="30">
        <f t="shared" si="4"/>
        <v>12474.35</v>
      </c>
      <c r="I284" s="30"/>
      <c r="K284" t="s">
        <v>37</v>
      </c>
    </row>
    <row r="285" spans="2:11" ht="13" x14ac:dyDescent="0.15">
      <c r="B285" s="27" t="s">
        <v>428</v>
      </c>
      <c r="C285" s="27" t="s">
        <v>423</v>
      </c>
      <c r="D285" s="30">
        <v>12474.35</v>
      </c>
      <c r="E285" s="30"/>
      <c r="F285" s="30">
        <v>0</v>
      </c>
      <c r="G285" s="30">
        <v>0</v>
      </c>
      <c r="H285" s="30">
        <f t="shared" si="4"/>
        <v>12474.35</v>
      </c>
      <c r="I285" s="30"/>
      <c r="K285" t="s">
        <v>37</v>
      </c>
    </row>
    <row r="286" spans="2:11" ht="13" x14ac:dyDescent="0.15">
      <c r="B286" s="27" t="s">
        <v>429</v>
      </c>
      <c r="C286" s="27" t="s">
        <v>423</v>
      </c>
      <c r="D286" s="30">
        <v>12474.35</v>
      </c>
      <c r="E286" s="30"/>
      <c r="F286" s="30">
        <v>0</v>
      </c>
      <c r="G286" s="30">
        <v>0</v>
      </c>
      <c r="H286" s="30">
        <f t="shared" si="4"/>
        <v>12474.35</v>
      </c>
      <c r="I286" s="30"/>
      <c r="K286" t="s">
        <v>37</v>
      </c>
    </row>
    <row r="287" spans="2:11" ht="13" x14ac:dyDescent="0.15">
      <c r="B287" s="27" t="s">
        <v>430</v>
      </c>
      <c r="C287" s="27" t="s">
        <v>423</v>
      </c>
      <c r="D287" s="30">
        <v>12474.35</v>
      </c>
      <c r="E287" s="30"/>
      <c r="F287" s="30">
        <v>0</v>
      </c>
      <c r="G287" s="30">
        <v>0</v>
      </c>
      <c r="H287" s="30">
        <f t="shared" si="4"/>
        <v>12474.35</v>
      </c>
      <c r="I287" s="30"/>
      <c r="K287" t="s">
        <v>37</v>
      </c>
    </row>
    <row r="288" spans="2:11" ht="13" x14ac:dyDescent="0.15">
      <c r="B288" s="27" t="s">
        <v>431</v>
      </c>
      <c r="C288" s="27" t="s">
        <v>432</v>
      </c>
      <c r="D288" s="30">
        <v>3789.5</v>
      </c>
      <c r="E288" s="30"/>
      <c r="F288" s="30">
        <v>0</v>
      </c>
      <c r="G288" s="30">
        <v>0</v>
      </c>
      <c r="H288" s="30">
        <f t="shared" si="4"/>
        <v>3789.5</v>
      </c>
      <c r="I288" s="30"/>
      <c r="K288" t="s">
        <v>37</v>
      </c>
    </row>
    <row r="289" spans="2:11" ht="13" x14ac:dyDescent="0.15">
      <c r="B289" s="27" t="s">
        <v>433</v>
      </c>
      <c r="C289" s="27" t="s">
        <v>432</v>
      </c>
      <c r="D289" s="30">
        <v>3789.5</v>
      </c>
      <c r="E289" s="30"/>
      <c r="F289" s="30">
        <v>0</v>
      </c>
      <c r="G289" s="30">
        <v>0</v>
      </c>
      <c r="H289" s="30">
        <f t="shared" si="4"/>
        <v>3789.5</v>
      </c>
      <c r="I289" s="30"/>
      <c r="K289" t="s">
        <v>37</v>
      </c>
    </row>
    <row r="290" spans="2:11" ht="13" x14ac:dyDescent="0.15">
      <c r="B290" s="27" t="s">
        <v>434</v>
      </c>
      <c r="C290" s="27" t="s">
        <v>432</v>
      </c>
      <c r="D290" s="30">
        <v>3789.5</v>
      </c>
      <c r="E290" s="30"/>
      <c r="F290" s="30">
        <v>0</v>
      </c>
      <c r="G290" s="30">
        <v>0</v>
      </c>
      <c r="H290" s="30">
        <f t="shared" si="4"/>
        <v>3789.5</v>
      </c>
      <c r="I290" s="30"/>
      <c r="K290" t="s">
        <v>37</v>
      </c>
    </row>
    <row r="291" spans="2:11" ht="13" x14ac:dyDescent="0.15">
      <c r="B291" s="27" t="s">
        <v>435</v>
      </c>
      <c r="C291" s="27" t="s">
        <v>432</v>
      </c>
      <c r="D291" s="30">
        <v>3789.5</v>
      </c>
      <c r="E291" s="30"/>
      <c r="F291" s="30">
        <v>0</v>
      </c>
      <c r="G291" s="30">
        <v>0</v>
      </c>
      <c r="H291" s="30">
        <f t="shared" si="4"/>
        <v>3789.5</v>
      </c>
      <c r="I291" s="30"/>
      <c r="K291" t="s">
        <v>37</v>
      </c>
    </row>
    <row r="292" spans="2:11" ht="13" x14ac:dyDescent="0.15">
      <c r="B292" s="27" t="s">
        <v>436</v>
      </c>
      <c r="C292" s="27" t="s">
        <v>432</v>
      </c>
      <c r="D292" s="30">
        <v>3789.5</v>
      </c>
      <c r="E292" s="30"/>
      <c r="F292" s="30">
        <v>0</v>
      </c>
      <c r="G292" s="30">
        <v>3789.5</v>
      </c>
      <c r="H292" s="30">
        <f t="shared" si="4"/>
        <v>0</v>
      </c>
      <c r="I292" s="30"/>
      <c r="K292" t="s">
        <v>37</v>
      </c>
    </row>
    <row r="293" spans="2:11" ht="13" x14ac:dyDescent="0.15">
      <c r="B293" s="27" t="s">
        <v>437</v>
      </c>
      <c r="C293" s="27" t="s">
        <v>432</v>
      </c>
      <c r="D293" s="30">
        <v>3789.5</v>
      </c>
      <c r="E293" s="30"/>
      <c r="F293" s="30">
        <v>0</v>
      </c>
      <c r="G293" s="30">
        <v>3789.5</v>
      </c>
      <c r="H293" s="30">
        <f t="shared" si="4"/>
        <v>0</v>
      </c>
      <c r="I293" s="30"/>
      <c r="K293" t="s">
        <v>37</v>
      </c>
    </row>
    <row r="294" spans="2:11" ht="13" x14ac:dyDescent="0.15">
      <c r="B294" s="27" t="s">
        <v>438</v>
      </c>
      <c r="C294" s="27" t="s">
        <v>432</v>
      </c>
      <c r="D294" s="30">
        <v>3789.5</v>
      </c>
      <c r="E294" s="30"/>
      <c r="F294" s="30">
        <v>0</v>
      </c>
      <c r="G294" s="30">
        <v>3789.5</v>
      </c>
      <c r="H294" s="30">
        <f t="shared" si="4"/>
        <v>0</v>
      </c>
      <c r="I294" s="30"/>
      <c r="K294" t="s">
        <v>37</v>
      </c>
    </row>
    <row r="295" spans="2:11" ht="13" x14ac:dyDescent="0.15">
      <c r="B295" s="27" t="s">
        <v>439</v>
      </c>
      <c r="C295" s="27" t="s">
        <v>432</v>
      </c>
      <c r="D295" s="30">
        <v>3789.5</v>
      </c>
      <c r="E295" s="30"/>
      <c r="F295" s="30">
        <v>0</v>
      </c>
      <c r="G295" s="30">
        <v>3789.5</v>
      </c>
      <c r="H295" s="30">
        <f t="shared" si="4"/>
        <v>0</v>
      </c>
      <c r="I295" s="30"/>
      <c r="K295" t="s">
        <v>37</v>
      </c>
    </row>
    <row r="296" spans="2:11" ht="13" x14ac:dyDescent="0.15">
      <c r="B296" s="29" t="s">
        <v>440</v>
      </c>
      <c r="C296" s="29" t="s">
        <v>441</v>
      </c>
      <c r="D296" s="31">
        <f>SUMIFS(D297:D631,K297:K631,"0",B297:B631,"1 2 4 1 9*")-SUMIFS(E297:E631,K297:K631,"0",B297:B631,"1 2 4 1 9*")</f>
        <v>927861.31</v>
      </c>
      <c r="E296"/>
      <c r="F296" s="31">
        <f>SUMIFS(F297:F631,K297:K631,"0",B297:B631,"1 2 4 1 9*")</f>
        <v>0</v>
      </c>
      <c r="G296" s="31">
        <f>SUMIFS(G297:G631,K297:K631,"0",B297:B631,"1 2 4 1 9*")</f>
        <v>289639.24</v>
      </c>
      <c r="H296" s="31">
        <f t="shared" si="4"/>
        <v>638222.07000000007</v>
      </c>
      <c r="I296" s="31"/>
      <c r="K296" t="s">
        <v>13</v>
      </c>
    </row>
    <row r="297" spans="2:11" ht="13" x14ac:dyDescent="0.15">
      <c r="B297" s="29" t="s">
        <v>442</v>
      </c>
      <c r="C297" s="29" t="s">
        <v>24</v>
      </c>
      <c r="D297" s="31">
        <f>SUMIFS(D298:D631,K298:K631,"0",B298:B631,"1 2 4 1 9 12*")-SUMIFS(E298:E631,K298:K631,"0",B298:B631,"1 2 4 1 9 12*")</f>
        <v>927861.31</v>
      </c>
      <c r="E297"/>
      <c r="F297" s="31">
        <f>SUMIFS(F298:F631,K298:K631,"0",B298:B631,"1 2 4 1 9 12*")</f>
        <v>0</v>
      </c>
      <c r="G297" s="31">
        <f>SUMIFS(G298:G631,K298:K631,"0",B298:B631,"1 2 4 1 9 12*")</f>
        <v>289639.24</v>
      </c>
      <c r="H297" s="31">
        <f t="shared" si="4"/>
        <v>638222.07000000007</v>
      </c>
      <c r="I297" s="31"/>
      <c r="K297" t="s">
        <v>13</v>
      </c>
    </row>
    <row r="298" spans="2:11" ht="13" x14ac:dyDescent="0.15">
      <c r="B298" s="29" t="s">
        <v>443</v>
      </c>
      <c r="C298" s="29" t="s">
        <v>26</v>
      </c>
      <c r="D298" s="31">
        <f>SUMIFS(D299:D631,K299:K631,"0",B299:B631,"1 2 4 1 9 12 31111*")-SUMIFS(E299:E631,K299:K631,"0",B299:B631,"1 2 4 1 9 12 31111*")</f>
        <v>927861.31</v>
      </c>
      <c r="E298"/>
      <c r="F298" s="31">
        <f>SUMIFS(F299:F631,K299:K631,"0",B299:B631,"1 2 4 1 9 12 31111*")</f>
        <v>0</v>
      </c>
      <c r="G298" s="31">
        <f>SUMIFS(G299:G631,K299:K631,"0",B299:B631,"1 2 4 1 9 12 31111*")</f>
        <v>289639.24</v>
      </c>
      <c r="H298" s="31">
        <f t="shared" si="4"/>
        <v>638222.07000000007</v>
      </c>
      <c r="I298" s="31"/>
      <c r="K298" t="s">
        <v>13</v>
      </c>
    </row>
    <row r="299" spans="2:11" ht="13" x14ac:dyDescent="0.15">
      <c r="B299" s="29" t="s">
        <v>444</v>
      </c>
      <c r="C299" s="29" t="s">
        <v>28</v>
      </c>
      <c r="D299" s="31">
        <f>SUMIFS(D300:D631,K300:K631,"0",B300:B631,"1 2 4 1 9 12 31111 6*")-SUMIFS(E300:E631,K300:K631,"0",B300:B631,"1 2 4 1 9 12 31111 6*")</f>
        <v>927861.31</v>
      </c>
      <c r="E299"/>
      <c r="F299" s="31">
        <f>SUMIFS(F300:F631,K300:K631,"0",B300:B631,"1 2 4 1 9 12 31111 6*")</f>
        <v>0</v>
      </c>
      <c r="G299" s="31">
        <f>SUMIFS(G300:G631,K300:K631,"0",B300:B631,"1 2 4 1 9 12 31111 6*")</f>
        <v>289639.24</v>
      </c>
      <c r="H299" s="31">
        <f t="shared" si="4"/>
        <v>638222.07000000007</v>
      </c>
      <c r="I299" s="31"/>
      <c r="K299" t="s">
        <v>13</v>
      </c>
    </row>
    <row r="300" spans="2:11" ht="13" x14ac:dyDescent="0.15">
      <c r="B300" s="29" t="s">
        <v>445</v>
      </c>
      <c r="C300" s="29" t="s">
        <v>30</v>
      </c>
      <c r="D300" s="31">
        <f>SUMIFS(D301:D631,K301:K631,"0",B301:B631,"1 2 4 1 9 12 31111 6 M78*")-SUMIFS(E301:E631,K301:K631,"0",B301:B631,"1 2 4 1 9 12 31111 6 M78*")</f>
        <v>927861.31</v>
      </c>
      <c r="E300"/>
      <c r="F300" s="31">
        <f>SUMIFS(F301:F631,K301:K631,"0",B301:B631,"1 2 4 1 9 12 31111 6 M78*")</f>
        <v>0</v>
      </c>
      <c r="G300" s="31">
        <f>SUMIFS(G301:G631,K301:K631,"0",B301:B631,"1 2 4 1 9 12 31111 6 M78*")</f>
        <v>289639.24</v>
      </c>
      <c r="H300" s="31">
        <f t="shared" si="4"/>
        <v>638222.07000000007</v>
      </c>
      <c r="I300" s="31"/>
      <c r="K300" t="s">
        <v>13</v>
      </c>
    </row>
    <row r="301" spans="2:11" ht="13" x14ac:dyDescent="0.15">
      <c r="B301" s="29" t="s">
        <v>446</v>
      </c>
      <c r="C301" s="29" t="s">
        <v>367</v>
      </c>
      <c r="D301" s="31">
        <f>SUMIFS(D302:D631,K302:K631,"0",B302:B631,"1 2 4 1 9 12 31111 6 M78 00000*")-SUMIFS(E302:E631,K302:K631,"0",B302:B631,"1 2 4 1 9 12 31111 6 M78 00000*")</f>
        <v>927861.31</v>
      </c>
      <c r="E301"/>
      <c r="F301" s="31">
        <f>SUMIFS(F302:F631,K302:K631,"0",B302:B631,"1 2 4 1 9 12 31111 6 M78 00000*")</f>
        <v>0</v>
      </c>
      <c r="G301" s="31">
        <f>SUMIFS(G302:G631,K302:K631,"0",B302:B631,"1 2 4 1 9 12 31111 6 M78 00000*")</f>
        <v>289639.24</v>
      </c>
      <c r="H301" s="31">
        <f t="shared" si="4"/>
        <v>638222.07000000007</v>
      </c>
      <c r="I301" s="31"/>
      <c r="K301" t="s">
        <v>13</v>
      </c>
    </row>
    <row r="302" spans="2:11" ht="13" x14ac:dyDescent="0.15">
      <c r="B302" s="29" t="s">
        <v>447</v>
      </c>
      <c r="C302" s="29" t="s">
        <v>57</v>
      </c>
      <c r="D302" s="31">
        <f>SUMIFS(D303:D631,K303:K631,"0",B303:B631,"1 2 4 1 9 12 31111 6 M78 00000 002*")-SUMIFS(E303:E631,K303:K631,"0",B303:B631,"1 2 4 1 9 12 31111 6 M78 00000 002*")</f>
        <v>927861.31</v>
      </c>
      <c r="E302"/>
      <c r="F302" s="31">
        <f>SUMIFS(F303:F631,K303:K631,"0",B303:B631,"1 2 4 1 9 12 31111 6 M78 00000 002*")</f>
        <v>0</v>
      </c>
      <c r="G302" s="31">
        <f>SUMIFS(G303:G631,K303:K631,"0",B303:B631,"1 2 4 1 9 12 31111 6 M78 00000 002*")</f>
        <v>289639.24</v>
      </c>
      <c r="H302" s="31">
        <f t="shared" si="4"/>
        <v>638222.07000000007</v>
      </c>
      <c r="I302" s="31"/>
      <c r="K302" t="s">
        <v>13</v>
      </c>
    </row>
    <row r="303" spans="2:11" ht="13" x14ac:dyDescent="0.15">
      <c r="B303" s="29" t="s">
        <v>448</v>
      </c>
      <c r="C303" s="29" t="s">
        <v>449</v>
      </c>
      <c r="D303" s="31">
        <f>SUMIFS(D304:D631,K304:K631,"0",B304:B631,"1 2 4 1 9 12 31111 6 M78 00000 002 001*")-SUMIFS(E304:E631,K304:K631,"0",B304:B631,"1 2 4 1 9 12 31111 6 M78 00000 002 001*")</f>
        <v>927861.31</v>
      </c>
      <c r="E303"/>
      <c r="F303" s="31">
        <f>SUMIFS(F304:F631,K304:K631,"0",B304:B631,"1 2 4 1 9 12 31111 6 M78 00000 002 001*")</f>
        <v>0</v>
      </c>
      <c r="G303" s="31">
        <f>SUMIFS(G304:G631,K304:K631,"0",B304:B631,"1 2 4 1 9 12 31111 6 M78 00000 002 001*")</f>
        <v>289639.24</v>
      </c>
      <c r="H303" s="31">
        <f t="shared" si="4"/>
        <v>638222.07000000007</v>
      </c>
      <c r="I303" s="31"/>
      <c r="K303" t="s">
        <v>13</v>
      </c>
    </row>
    <row r="304" spans="2:11" ht="13" x14ac:dyDescent="0.15">
      <c r="B304" s="29" t="s">
        <v>450</v>
      </c>
      <c r="C304" s="29" t="s">
        <v>451</v>
      </c>
      <c r="D304" s="31">
        <f>SUMIFS(D305:D631,K305:K631,"0",B305:B631,"1 2 4 1 9 12 31111 6 M78 00000 002 001 001*")-SUMIFS(E305:E631,K305:K631,"0",B305:B631,"1 2 4 1 9 12 31111 6 M78 00000 002 001 001*")</f>
        <v>927861.31</v>
      </c>
      <c r="E304"/>
      <c r="F304" s="31">
        <f>SUMIFS(F305:F631,K305:K631,"0",B305:B631,"1 2 4 1 9 12 31111 6 M78 00000 002 001 001*")</f>
        <v>0</v>
      </c>
      <c r="G304" s="31">
        <f>SUMIFS(G305:G631,K305:K631,"0",B305:B631,"1 2 4 1 9 12 31111 6 M78 00000 002 001 001*")</f>
        <v>289639.24</v>
      </c>
      <c r="H304" s="31">
        <f t="shared" si="4"/>
        <v>638222.07000000007</v>
      </c>
      <c r="I304" s="31"/>
      <c r="K304" t="s">
        <v>13</v>
      </c>
    </row>
    <row r="305" spans="2:11" ht="22" x14ac:dyDescent="0.15">
      <c r="B305" s="27" t="s">
        <v>452</v>
      </c>
      <c r="C305" s="27" t="s">
        <v>453</v>
      </c>
      <c r="D305" s="30">
        <v>23188.59</v>
      </c>
      <c r="E305" s="30"/>
      <c r="F305" s="30">
        <v>0</v>
      </c>
      <c r="G305" s="30">
        <v>0</v>
      </c>
      <c r="H305" s="30">
        <f t="shared" si="4"/>
        <v>23188.59</v>
      </c>
      <c r="I305" s="30"/>
      <c r="K305" t="s">
        <v>37</v>
      </c>
    </row>
    <row r="306" spans="2:11" ht="22" x14ac:dyDescent="0.15">
      <c r="B306" s="27" t="s">
        <v>454</v>
      </c>
      <c r="C306" s="27" t="s">
        <v>453</v>
      </c>
      <c r="D306" s="30">
        <v>23188.59</v>
      </c>
      <c r="E306" s="30"/>
      <c r="F306" s="30">
        <v>0</v>
      </c>
      <c r="G306" s="30">
        <v>0</v>
      </c>
      <c r="H306" s="30">
        <f t="shared" si="4"/>
        <v>23188.59</v>
      </c>
      <c r="I306" s="30"/>
      <c r="K306" t="s">
        <v>37</v>
      </c>
    </row>
    <row r="307" spans="2:11" ht="22" x14ac:dyDescent="0.15">
      <c r="B307" s="27" t="s">
        <v>455</v>
      </c>
      <c r="C307" s="27" t="s">
        <v>453</v>
      </c>
      <c r="D307" s="30">
        <v>23188.59</v>
      </c>
      <c r="E307" s="30"/>
      <c r="F307" s="30">
        <v>0</v>
      </c>
      <c r="G307" s="30">
        <v>0</v>
      </c>
      <c r="H307" s="30">
        <f t="shared" si="4"/>
        <v>23188.59</v>
      </c>
      <c r="I307" s="30"/>
      <c r="K307" t="s">
        <v>37</v>
      </c>
    </row>
    <row r="308" spans="2:11" ht="22" x14ac:dyDescent="0.15">
      <c r="B308" s="27" t="s">
        <v>456</v>
      </c>
      <c r="C308" s="27" t="s">
        <v>453</v>
      </c>
      <c r="D308" s="30">
        <v>23188.59</v>
      </c>
      <c r="E308" s="30"/>
      <c r="F308" s="30">
        <v>0</v>
      </c>
      <c r="G308" s="30">
        <v>0</v>
      </c>
      <c r="H308" s="30">
        <f t="shared" si="4"/>
        <v>23188.59</v>
      </c>
      <c r="I308" s="30"/>
      <c r="K308" t="s">
        <v>37</v>
      </c>
    </row>
    <row r="309" spans="2:11" ht="22" x14ac:dyDescent="0.15">
      <c r="B309" s="27" t="s">
        <v>457</v>
      </c>
      <c r="C309" s="27" t="s">
        <v>453</v>
      </c>
      <c r="D309" s="30">
        <v>23188.59</v>
      </c>
      <c r="E309" s="30"/>
      <c r="F309" s="30">
        <v>0</v>
      </c>
      <c r="G309" s="30">
        <v>0</v>
      </c>
      <c r="H309" s="30">
        <f t="shared" si="4"/>
        <v>23188.59</v>
      </c>
      <c r="I309" s="30"/>
      <c r="K309" t="s">
        <v>37</v>
      </c>
    </row>
    <row r="310" spans="2:11" ht="22" x14ac:dyDescent="0.15">
      <c r="B310" s="27" t="s">
        <v>458</v>
      </c>
      <c r="C310" s="27" t="s">
        <v>453</v>
      </c>
      <c r="D310" s="30">
        <v>23188.59</v>
      </c>
      <c r="E310" s="30"/>
      <c r="F310" s="30">
        <v>0</v>
      </c>
      <c r="G310" s="30">
        <v>0</v>
      </c>
      <c r="H310" s="30">
        <f t="shared" si="4"/>
        <v>23188.59</v>
      </c>
      <c r="I310" s="30"/>
      <c r="K310" t="s">
        <v>37</v>
      </c>
    </row>
    <row r="311" spans="2:11" ht="22" x14ac:dyDescent="0.15">
      <c r="B311" s="27" t="s">
        <v>459</v>
      </c>
      <c r="C311" s="27" t="s">
        <v>453</v>
      </c>
      <c r="D311" s="30">
        <v>23188.59</v>
      </c>
      <c r="E311" s="30"/>
      <c r="F311" s="30">
        <v>0</v>
      </c>
      <c r="G311" s="30">
        <v>0</v>
      </c>
      <c r="H311" s="30">
        <f t="shared" si="4"/>
        <v>23188.59</v>
      </c>
      <c r="I311" s="30"/>
      <c r="K311" t="s">
        <v>37</v>
      </c>
    </row>
    <row r="312" spans="2:11" ht="22" x14ac:dyDescent="0.15">
      <c r="B312" s="27" t="s">
        <v>460</v>
      </c>
      <c r="C312" s="27" t="s">
        <v>453</v>
      </c>
      <c r="D312" s="30">
        <v>23188.59</v>
      </c>
      <c r="E312" s="30"/>
      <c r="F312" s="30">
        <v>0</v>
      </c>
      <c r="G312" s="30">
        <v>0</v>
      </c>
      <c r="H312" s="30">
        <f t="shared" si="4"/>
        <v>23188.59</v>
      </c>
      <c r="I312" s="30"/>
      <c r="K312" t="s">
        <v>37</v>
      </c>
    </row>
    <row r="313" spans="2:11" ht="22" x14ac:dyDescent="0.15">
      <c r="B313" s="27" t="s">
        <v>461</v>
      </c>
      <c r="C313" s="27" t="s">
        <v>453</v>
      </c>
      <c r="D313" s="30">
        <v>23188.59</v>
      </c>
      <c r="E313" s="30"/>
      <c r="F313" s="30">
        <v>0</v>
      </c>
      <c r="G313" s="30">
        <v>0</v>
      </c>
      <c r="H313" s="30">
        <f t="shared" si="4"/>
        <v>23188.59</v>
      </c>
      <c r="I313" s="30"/>
      <c r="K313" t="s">
        <v>37</v>
      </c>
    </row>
    <row r="314" spans="2:11" ht="22" x14ac:dyDescent="0.15">
      <c r="B314" s="27" t="s">
        <v>462</v>
      </c>
      <c r="C314" s="27" t="s">
        <v>453</v>
      </c>
      <c r="D314" s="30">
        <v>23188.59</v>
      </c>
      <c r="E314" s="30"/>
      <c r="F314" s="30">
        <v>0</v>
      </c>
      <c r="G314" s="30">
        <v>0</v>
      </c>
      <c r="H314" s="30">
        <f t="shared" si="4"/>
        <v>23188.59</v>
      </c>
      <c r="I314" s="30"/>
      <c r="K314" t="s">
        <v>37</v>
      </c>
    </row>
    <row r="315" spans="2:11" ht="22" x14ac:dyDescent="0.15">
      <c r="B315" s="27" t="s">
        <v>463</v>
      </c>
      <c r="C315" s="27" t="s">
        <v>453</v>
      </c>
      <c r="D315" s="30">
        <v>23188.59</v>
      </c>
      <c r="E315" s="30"/>
      <c r="F315" s="30">
        <v>0</v>
      </c>
      <c r="G315" s="30">
        <v>0</v>
      </c>
      <c r="H315" s="30">
        <f t="shared" si="4"/>
        <v>23188.59</v>
      </c>
      <c r="I315" s="30"/>
      <c r="K315" t="s">
        <v>37</v>
      </c>
    </row>
    <row r="316" spans="2:11" ht="22" x14ac:dyDescent="0.15">
      <c r="B316" s="27" t="s">
        <v>464</v>
      </c>
      <c r="C316" s="27" t="s">
        <v>453</v>
      </c>
      <c r="D316" s="30">
        <v>23188.59</v>
      </c>
      <c r="E316" s="30"/>
      <c r="F316" s="30">
        <v>0</v>
      </c>
      <c r="G316" s="30">
        <v>0</v>
      </c>
      <c r="H316" s="30">
        <f t="shared" si="4"/>
        <v>23188.59</v>
      </c>
      <c r="I316" s="30"/>
      <c r="K316" t="s">
        <v>37</v>
      </c>
    </row>
    <row r="317" spans="2:11" ht="22" x14ac:dyDescent="0.15">
      <c r="B317" s="27" t="s">
        <v>465</v>
      </c>
      <c r="C317" s="27" t="s">
        <v>453</v>
      </c>
      <c r="D317" s="30">
        <v>23188.59</v>
      </c>
      <c r="E317" s="30"/>
      <c r="F317" s="30">
        <v>0</v>
      </c>
      <c r="G317" s="30">
        <v>0</v>
      </c>
      <c r="H317" s="30">
        <f t="shared" si="4"/>
        <v>23188.59</v>
      </c>
      <c r="I317" s="30"/>
      <c r="K317" t="s">
        <v>37</v>
      </c>
    </row>
    <row r="318" spans="2:11" ht="22" x14ac:dyDescent="0.15">
      <c r="B318" s="27" t="s">
        <v>466</v>
      </c>
      <c r="C318" s="27" t="s">
        <v>453</v>
      </c>
      <c r="D318" s="30">
        <v>23188.59</v>
      </c>
      <c r="E318" s="30"/>
      <c r="F318" s="30">
        <v>0</v>
      </c>
      <c r="G318" s="30">
        <v>0</v>
      </c>
      <c r="H318" s="30">
        <f t="shared" si="4"/>
        <v>23188.59</v>
      </c>
      <c r="I318" s="30"/>
      <c r="K318" t="s">
        <v>37</v>
      </c>
    </row>
    <row r="319" spans="2:11" ht="22" x14ac:dyDescent="0.15">
      <c r="B319" s="27" t="s">
        <v>467</v>
      </c>
      <c r="C319" s="27" t="s">
        <v>453</v>
      </c>
      <c r="D319" s="30">
        <v>23188.59</v>
      </c>
      <c r="E319" s="30"/>
      <c r="F319" s="30">
        <v>0</v>
      </c>
      <c r="G319" s="30">
        <v>0</v>
      </c>
      <c r="H319" s="30">
        <f t="shared" si="4"/>
        <v>23188.59</v>
      </c>
      <c r="I319" s="30"/>
      <c r="K319" t="s">
        <v>37</v>
      </c>
    </row>
    <row r="320" spans="2:11" ht="22" x14ac:dyDescent="0.15">
      <c r="B320" s="27" t="s">
        <v>468</v>
      </c>
      <c r="C320" s="27" t="s">
        <v>453</v>
      </c>
      <c r="D320" s="30">
        <v>23188.59</v>
      </c>
      <c r="E320" s="30"/>
      <c r="F320" s="30">
        <v>0</v>
      </c>
      <c r="G320" s="30">
        <v>0</v>
      </c>
      <c r="H320" s="30">
        <f t="shared" si="4"/>
        <v>23188.59</v>
      </c>
      <c r="I320" s="30"/>
      <c r="K320" t="s">
        <v>37</v>
      </c>
    </row>
    <row r="321" spans="2:11" ht="22" x14ac:dyDescent="0.15">
      <c r="B321" s="27" t="s">
        <v>469</v>
      </c>
      <c r="C321" s="27" t="s">
        <v>453</v>
      </c>
      <c r="D321" s="30">
        <v>23188.59</v>
      </c>
      <c r="E321" s="30"/>
      <c r="F321" s="30">
        <v>0</v>
      </c>
      <c r="G321" s="30">
        <v>0</v>
      </c>
      <c r="H321" s="30">
        <f t="shared" si="4"/>
        <v>23188.59</v>
      </c>
      <c r="I321" s="30"/>
      <c r="K321" t="s">
        <v>37</v>
      </c>
    </row>
    <row r="322" spans="2:11" ht="22" x14ac:dyDescent="0.15">
      <c r="B322" s="27" t="s">
        <v>470</v>
      </c>
      <c r="C322" s="27" t="s">
        <v>453</v>
      </c>
      <c r="D322" s="30">
        <v>23188.59</v>
      </c>
      <c r="E322" s="30"/>
      <c r="F322" s="30">
        <v>0</v>
      </c>
      <c r="G322" s="30">
        <v>0</v>
      </c>
      <c r="H322" s="30">
        <f t="shared" si="4"/>
        <v>23188.59</v>
      </c>
      <c r="I322" s="30"/>
      <c r="K322" t="s">
        <v>37</v>
      </c>
    </row>
    <row r="323" spans="2:11" ht="22" x14ac:dyDescent="0.15">
      <c r="B323" s="27" t="s">
        <v>471</v>
      </c>
      <c r="C323" s="27" t="s">
        <v>453</v>
      </c>
      <c r="D323" s="30">
        <v>23188.59</v>
      </c>
      <c r="E323" s="30"/>
      <c r="F323" s="30">
        <v>0</v>
      </c>
      <c r="G323" s="30">
        <v>0</v>
      </c>
      <c r="H323" s="30">
        <f t="shared" si="4"/>
        <v>23188.59</v>
      </c>
      <c r="I323" s="30"/>
      <c r="K323" t="s">
        <v>37</v>
      </c>
    </row>
    <row r="324" spans="2:11" ht="22" x14ac:dyDescent="0.15">
      <c r="B324" s="27" t="s">
        <v>472</v>
      </c>
      <c r="C324" s="27" t="s">
        <v>453</v>
      </c>
      <c r="D324" s="30">
        <v>23188.59</v>
      </c>
      <c r="E324" s="30"/>
      <c r="F324" s="30">
        <v>0</v>
      </c>
      <c r="G324" s="30">
        <v>0</v>
      </c>
      <c r="H324" s="30">
        <f t="shared" si="4"/>
        <v>23188.59</v>
      </c>
      <c r="I324" s="30"/>
      <c r="K324" t="s">
        <v>37</v>
      </c>
    </row>
    <row r="325" spans="2:11" ht="22" x14ac:dyDescent="0.15">
      <c r="B325" s="27" t="s">
        <v>473</v>
      </c>
      <c r="C325" s="27" t="s">
        <v>453</v>
      </c>
      <c r="D325" s="30">
        <v>23188.59</v>
      </c>
      <c r="E325" s="30"/>
      <c r="F325" s="30">
        <v>0</v>
      </c>
      <c r="G325" s="30">
        <v>23188.59</v>
      </c>
      <c r="H325" s="30">
        <f t="shared" si="4"/>
        <v>0</v>
      </c>
      <c r="I325" s="30"/>
      <c r="K325" t="s">
        <v>37</v>
      </c>
    </row>
    <row r="326" spans="2:11" ht="22" x14ac:dyDescent="0.15">
      <c r="B326" s="27" t="s">
        <v>474</v>
      </c>
      <c r="C326" s="27" t="s">
        <v>453</v>
      </c>
      <c r="D326" s="30">
        <v>23188.59</v>
      </c>
      <c r="E326" s="30"/>
      <c r="F326" s="30">
        <v>0</v>
      </c>
      <c r="G326" s="30">
        <v>0</v>
      </c>
      <c r="H326" s="30">
        <f t="shared" si="4"/>
        <v>23188.59</v>
      </c>
      <c r="I326" s="30"/>
      <c r="K326" t="s">
        <v>37</v>
      </c>
    </row>
    <row r="327" spans="2:11" ht="22" x14ac:dyDescent="0.15">
      <c r="B327" s="27" t="s">
        <v>475</v>
      </c>
      <c r="C327" s="27" t="s">
        <v>453</v>
      </c>
      <c r="D327" s="30">
        <v>23188.59</v>
      </c>
      <c r="E327" s="30"/>
      <c r="F327" s="30">
        <v>0</v>
      </c>
      <c r="G327" s="30">
        <v>0</v>
      </c>
      <c r="H327" s="30">
        <f t="shared" si="4"/>
        <v>23188.59</v>
      </c>
      <c r="I327" s="30"/>
      <c r="K327" t="s">
        <v>37</v>
      </c>
    </row>
    <row r="328" spans="2:11" ht="22" x14ac:dyDescent="0.15">
      <c r="B328" s="27" t="s">
        <v>476</v>
      </c>
      <c r="C328" s="27" t="s">
        <v>453</v>
      </c>
      <c r="D328" s="30">
        <v>23188.59</v>
      </c>
      <c r="E328" s="30"/>
      <c r="F328" s="30">
        <v>0</v>
      </c>
      <c r="G328" s="30">
        <v>23188.59</v>
      </c>
      <c r="H328" s="30">
        <f t="shared" si="4"/>
        <v>0</v>
      </c>
      <c r="I328" s="30"/>
      <c r="K328" t="s">
        <v>37</v>
      </c>
    </row>
    <row r="329" spans="2:11" ht="22" x14ac:dyDescent="0.15">
      <c r="B329" s="27" t="s">
        <v>477</v>
      </c>
      <c r="C329" s="27" t="s">
        <v>453</v>
      </c>
      <c r="D329" s="30">
        <v>23188.59</v>
      </c>
      <c r="E329" s="30"/>
      <c r="F329" s="30">
        <v>0</v>
      </c>
      <c r="G329" s="30">
        <v>0</v>
      </c>
      <c r="H329" s="30">
        <f t="shared" si="4"/>
        <v>23188.59</v>
      </c>
      <c r="I329" s="30"/>
      <c r="K329" t="s">
        <v>37</v>
      </c>
    </row>
    <row r="330" spans="2:11" ht="22" x14ac:dyDescent="0.15">
      <c r="B330" s="27" t="s">
        <v>478</v>
      </c>
      <c r="C330" s="27" t="s">
        <v>479</v>
      </c>
      <c r="D330" s="30">
        <v>11533.58</v>
      </c>
      <c r="E330" s="30"/>
      <c r="F330" s="30">
        <v>0</v>
      </c>
      <c r="G330" s="30">
        <v>11533.58</v>
      </c>
      <c r="H330" s="30">
        <f t="shared" si="4"/>
        <v>0</v>
      </c>
      <c r="I330" s="30"/>
      <c r="K330" t="s">
        <v>37</v>
      </c>
    </row>
    <row r="331" spans="2:11" ht="22" x14ac:dyDescent="0.15">
      <c r="B331" s="27" t="s">
        <v>480</v>
      </c>
      <c r="C331" s="27" t="s">
        <v>479</v>
      </c>
      <c r="D331" s="30">
        <v>11533.58</v>
      </c>
      <c r="E331" s="30"/>
      <c r="F331" s="30">
        <v>0</v>
      </c>
      <c r="G331" s="30">
        <v>11533.58</v>
      </c>
      <c r="H331" s="30">
        <f t="shared" ref="H331:H351" si="5">D331 + F331 - G331</f>
        <v>0</v>
      </c>
      <c r="I331" s="30"/>
      <c r="K331" t="s">
        <v>37</v>
      </c>
    </row>
    <row r="332" spans="2:11" ht="22" x14ac:dyDescent="0.15">
      <c r="B332" s="27" t="s">
        <v>481</v>
      </c>
      <c r="C332" s="27" t="s">
        <v>479</v>
      </c>
      <c r="D332" s="30">
        <v>11553.6</v>
      </c>
      <c r="E332" s="30"/>
      <c r="F332" s="30">
        <v>0</v>
      </c>
      <c r="G332" s="30">
        <v>11553.6</v>
      </c>
      <c r="H332" s="30">
        <f t="shared" si="5"/>
        <v>0</v>
      </c>
      <c r="I332" s="30"/>
      <c r="K332" t="s">
        <v>37</v>
      </c>
    </row>
    <row r="333" spans="2:11" ht="22" x14ac:dyDescent="0.15">
      <c r="B333" s="27" t="s">
        <v>482</v>
      </c>
      <c r="C333" s="27" t="s">
        <v>479</v>
      </c>
      <c r="D333" s="30">
        <v>11553.6</v>
      </c>
      <c r="E333" s="30"/>
      <c r="F333" s="30">
        <v>0</v>
      </c>
      <c r="G333" s="30">
        <v>11553.6</v>
      </c>
      <c r="H333" s="30">
        <f t="shared" si="5"/>
        <v>0</v>
      </c>
      <c r="I333" s="30"/>
      <c r="K333" t="s">
        <v>37</v>
      </c>
    </row>
    <row r="334" spans="2:11" ht="13" x14ac:dyDescent="0.15">
      <c r="B334" s="27" t="s">
        <v>483</v>
      </c>
      <c r="C334" s="27" t="s">
        <v>484</v>
      </c>
      <c r="D334" s="30">
        <v>22685</v>
      </c>
      <c r="E334" s="30"/>
      <c r="F334" s="30">
        <v>0</v>
      </c>
      <c r="G334" s="30">
        <v>0</v>
      </c>
      <c r="H334" s="30">
        <f t="shared" si="5"/>
        <v>22685</v>
      </c>
      <c r="I334" s="30"/>
      <c r="K334" t="s">
        <v>37</v>
      </c>
    </row>
    <row r="335" spans="2:11" ht="13" x14ac:dyDescent="0.15">
      <c r="B335" s="27" t="s">
        <v>485</v>
      </c>
      <c r="C335" s="27" t="s">
        <v>486</v>
      </c>
      <c r="D335" s="30">
        <v>38020</v>
      </c>
      <c r="E335" s="30"/>
      <c r="F335" s="30">
        <v>0</v>
      </c>
      <c r="G335" s="30">
        <v>7604</v>
      </c>
      <c r="H335" s="30">
        <f t="shared" si="5"/>
        <v>30416</v>
      </c>
      <c r="I335" s="30"/>
      <c r="K335" t="s">
        <v>37</v>
      </c>
    </row>
    <row r="336" spans="2:11" ht="13" x14ac:dyDescent="0.15">
      <c r="B336" s="27" t="s">
        <v>487</v>
      </c>
      <c r="C336" s="27" t="s">
        <v>488</v>
      </c>
      <c r="D336" s="30">
        <v>45150</v>
      </c>
      <c r="E336" s="30"/>
      <c r="F336" s="30">
        <v>0</v>
      </c>
      <c r="G336" s="30">
        <v>7525</v>
      </c>
      <c r="H336" s="30">
        <f t="shared" si="5"/>
        <v>37625</v>
      </c>
      <c r="I336" s="30"/>
      <c r="K336" t="s">
        <v>37</v>
      </c>
    </row>
    <row r="337" spans="2:11" ht="13" x14ac:dyDescent="0.15">
      <c r="B337" s="27" t="s">
        <v>489</v>
      </c>
      <c r="C337" s="27" t="s">
        <v>490</v>
      </c>
      <c r="D337" s="30">
        <v>71292.5</v>
      </c>
      <c r="E337" s="30"/>
      <c r="F337" s="30">
        <v>0</v>
      </c>
      <c r="G337" s="30">
        <v>57134</v>
      </c>
      <c r="H337" s="30">
        <f t="shared" si="5"/>
        <v>14158.5</v>
      </c>
      <c r="I337" s="30"/>
      <c r="K337" t="s">
        <v>37</v>
      </c>
    </row>
    <row r="338" spans="2:11" ht="13" x14ac:dyDescent="0.15">
      <c r="B338" s="27" t="s">
        <v>491</v>
      </c>
      <c r="C338" s="27" t="s">
        <v>492</v>
      </c>
      <c r="D338" s="30">
        <v>124824.7</v>
      </c>
      <c r="E338" s="30"/>
      <c r="F338" s="30">
        <v>0</v>
      </c>
      <c r="G338" s="30">
        <v>124824.7</v>
      </c>
      <c r="H338" s="30">
        <f t="shared" si="5"/>
        <v>0</v>
      </c>
      <c r="I338" s="30"/>
      <c r="K338" t="s">
        <v>37</v>
      </c>
    </row>
    <row r="339" spans="2:11" ht="13" x14ac:dyDescent="0.15">
      <c r="B339" s="29" t="s">
        <v>493</v>
      </c>
      <c r="C339" s="29" t="s">
        <v>494</v>
      </c>
      <c r="D339" s="31">
        <f>SUMIFS(D340:D631,K340:K631,"0",B340:B631,"1 2 4 4*")-SUMIFS(E340:E631,K340:K631,"0",B340:B631,"1 2 4 4*")</f>
        <v>330000</v>
      </c>
      <c r="E339"/>
      <c r="F339" s="31">
        <f>SUMIFS(F340:F631,K340:K631,"0",B340:B631,"1 2 4 4*")</f>
        <v>0</v>
      </c>
      <c r="G339" s="31">
        <f>SUMIFS(G340:G631,K340:K631,"0",B340:B631,"1 2 4 4*")</f>
        <v>150000</v>
      </c>
      <c r="H339" s="31">
        <f t="shared" si="5"/>
        <v>180000</v>
      </c>
      <c r="I339" s="31"/>
      <c r="K339" t="s">
        <v>13</v>
      </c>
    </row>
    <row r="340" spans="2:11" ht="13" x14ac:dyDescent="0.15">
      <c r="B340" s="29" t="s">
        <v>495</v>
      </c>
      <c r="C340" s="29" t="s">
        <v>496</v>
      </c>
      <c r="D340" s="31">
        <f>SUMIFS(D341:D631,K341:K631,"0",B341:B631,"1 2 4 4 1*")-SUMIFS(E341:E631,K341:K631,"0",B341:B631,"1 2 4 4 1*")</f>
        <v>330000</v>
      </c>
      <c r="E340"/>
      <c r="F340" s="31">
        <f>SUMIFS(F341:F631,K341:K631,"0",B341:B631,"1 2 4 4 1*")</f>
        <v>0</v>
      </c>
      <c r="G340" s="31">
        <f>SUMIFS(G341:G631,K341:K631,"0",B341:B631,"1 2 4 4 1*")</f>
        <v>150000</v>
      </c>
      <c r="H340" s="31">
        <f t="shared" si="5"/>
        <v>180000</v>
      </c>
      <c r="I340" s="31"/>
      <c r="K340" t="s">
        <v>13</v>
      </c>
    </row>
    <row r="341" spans="2:11" ht="13" x14ac:dyDescent="0.15">
      <c r="B341" s="29" t="s">
        <v>497</v>
      </c>
      <c r="C341" s="29" t="s">
        <v>24</v>
      </c>
      <c r="D341" s="31">
        <f>SUMIFS(D342:D631,K342:K631,"0",B342:B631,"1 2 4 4 1 12*")-SUMIFS(E342:E631,K342:K631,"0",B342:B631,"1 2 4 4 1 12*")</f>
        <v>330000</v>
      </c>
      <c r="E341"/>
      <c r="F341" s="31">
        <f>SUMIFS(F342:F631,K342:K631,"0",B342:B631,"1 2 4 4 1 12*")</f>
        <v>0</v>
      </c>
      <c r="G341" s="31">
        <f>SUMIFS(G342:G631,K342:K631,"0",B342:B631,"1 2 4 4 1 12*")</f>
        <v>150000</v>
      </c>
      <c r="H341" s="31">
        <f t="shared" si="5"/>
        <v>180000</v>
      </c>
      <c r="I341" s="31"/>
      <c r="K341" t="s">
        <v>13</v>
      </c>
    </row>
    <row r="342" spans="2:11" ht="13" x14ac:dyDescent="0.15">
      <c r="B342" s="29" t="s">
        <v>498</v>
      </c>
      <c r="C342" s="29" t="s">
        <v>26</v>
      </c>
      <c r="D342" s="31">
        <f>SUMIFS(D343:D631,K343:K631,"0",B343:B631,"1 2 4 4 1 12 31111*")-SUMIFS(E343:E631,K343:K631,"0",B343:B631,"1 2 4 4 1 12 31111*")</f>
        <v>330000</v>
      </c>
      <c r="E342"/>
      <c r="F342" s="31">
        <f>SUMIFS(F343:F631,K343:K631,"0",B343:B631,"1 2 4 4 1 12 31111*")</f>
        <v>0</v>
      </c>
      <c r="G342" s="31">
        <f>SUMIFS(G343:G631,K343:K631,"0",B343:B631,"1 2 4 4 1 12 31111*")</f>
        <v>150000</v>
      </c>
      <c r="H342" s="31">
        <f t="shared" si="5"/>
        <v>180000</v>
      </c>
      <c r="I342" s="31"/>
      <c r="K342" t="s">
        <v>13</v>
      </c>
    </row>
    <row r="343" spans="2:11" ht="13" x14ac:dyDescent="0.15">
      <c r="B343" s="29" t="s">
        <v>499</v>
      </c>
      <c r="C343" s="29" t="s">
        <v>28</v>
      </c>
      <c r="D343" s="31">
        <f>SUMIFS(D344:D631,K344:K631,"0",B344:B631,"1 2 4 4 1 12 31111 6*")-SUMIFS(E344:E631,K344:K631,"0",B344:B631,"1 2 4 4 1 12 31111 6*")</f>
        <v>330000</v>
      </c>
      <c r="E343"/>
      <c r="F343" s="31">
        <f>SUMIFS(F344:F631,K344:K631,"0",B344:B631,"1 2 4 4 1 12 31111 6*")</f>
        <v>0</v>
      </c>
      <c r="G343" s="31">
        <f>SUMIFS(G344:G631,K344:K631,"0",B344:B631,"1 2 4 4 1 12 31111 6*")</f>
        <v>150000</v>
      </c>
      <c r="H343" s="31">
        <f t="shared" si="5"/>
        <v>180000</v>
      </c>
      <c r="I343" s="31"/>
      <c r="K343" t="s">
        <v>13</v>
      </c>
    </row>
    <row r="344" spans="2:11" ht="13" x14ac:dyDescent="0.15">
      <c r="B344" s="29" t="s">
        <v>500</v>
      </c>
      <c r="C344" s="29" t="s">
        <v>30</v>
      </c>
      <c r="D344" s="31">
        <f>SUMIFS(D345:D631,K345:K631,"0",B345:B631,"1 2 4 4 1 12 31111 6 M78*")-SUMIFS(E345:E631,K345:K631,"0",B345:B631,"1 2 4 4 1 12 31111 6 M78*")</f>
        <v>330000</v>
      </c>
      <c r="E344"/>
      <c r="F344" s="31">
        <f>SUMIFS(F345:F631,K345:K631,"0",B345:B631,"1 2 4 4 1 12 31111 6 M78*")</f>
        <v>0</v>
      </c>
      <c r="G344" s="31">
        <f>SUMIFS(G345:G631,K345:K631,"0",B345:B631,"1 2 4 4 1 12 31111 6 M78*")</f>
        <v>150000</v>
      </c>
      <c r="H344" s="31">
        <f t="shared" si="5"/>
        <v>180000</v>
      </c>
      <c r="I344" s="31"/>
      <c r="K344" t="s">
        <v>13</v>
      </c>
    </row>
    <row r="345" spans="2:11" ht="13" x14ac:dyDescent="0.15">
      <c r="B345" s="29" t="s">
        <v>501</v>
      </c>
      <c r="C345" s="29" t="s">
        <v>367</v>
      </c>
      <c r="D345" s="31">
        <f>SUMIFS(D346:D631,K346:K631,"0",B346:B631,"1 2 4 4 1 12 31111 6 M78 00000*")-SUMIFS(E346:E631,K346:K631,"0",B346:B631,"1 2 4 4 1 12 31111 6 M78 00000*")</f>
        <v>330000</v>
      </c>
      <c r="E345"/>
      <c r="F345" s="31">
        <f>SUMIFS(F346:F631,K346:K631,"0",B346:B631,"1 2 4 4 1 12 31111 6 M78 00000*")</f>
        <v>0</v>
      </c>
      <c r="G345" s="31">
        <f>SUMIFS(G346:G631,K346:K631,"0",B346:B631,"1 2 4 4 1 12 31111 6 M78 00000*")</f>
        <v>150000</v>
      </c>
      <c r="H345" s="31">
        <f t="shared" si="5"/>
        <v>180000</v>
      </c>
      <c r="I345" s="31"/>
      <c r="K345" t="s">
        <v>13</v>
      </c>
    </row>
    <row r="346" spans="2:11" ht="13" x14ac:dyDescent="0.15">
      <c r="B346" s="29" t="s">
        <v>502</v>
      </c>
      <c r="C346" s="29" t="s">
        <v>503</v>
      </c>
      <c r="D346" s="31">
        <f>SUMIFS(D347:D631,K347:K631,"0",B347:B631,"1 2 4 4 1 12 31111 6 M78 00000 002*")-SUMIFS(E347:E631,K347:K631,"0",B347:B631,"1 2 4 4 1 12 31111 6 M78 00000 002*")</f>
        <v>330000</v>
      </c>
      <c r="E346"/>
      <c r="F346" s="31">
        <f>SUMIFS(F347:F631,K347:K631,"0",B347:B631,"1 2 4 4 1 12 31111 6 M78 00000 002*")</f>
        <v>0</v>
      </c>
      <c r="G346" s="31">
        <f>SUMIFS(G347:G631,K347:K631,"0",B347:B631,"1 2 4 4 1 12 31111 6 M78 00000 002*")</f>
        <v>150000</v>
      </c>
      <c r="H346" s="31">
        <f t="shared" si="5"/>
        <v>180000</v>
      </c>
      <c r="I346" s="31"/>
      <c r="K346" t="s">
        <v>13</v>
      </c>
    </row>
    <row r="347" spans="2:11" ht="13" x14ac:dyDescent="0.15">
      <c r="B347" s="29" t="s">
        <v>504</v>
      </c>
      <c r="C347" s="29" t="s">
        <v>57</v>
      </c>
      <c r="D347" s="31">
        <f>SUMIFS(D348:D631,K348:K631,"0",B348:B631,"1 2 4 4 1 12 31111 6 M78 00000 002 002*")-SUMIFS(E348:E631,K348:K631,"0",B348:B631,"1 2 4 4 1 12 31111 6 M78 00000 002 002*")</f>
        <v>330000</v>
      </c>
      <c r="E347"/>
      <c r="F347" s="31">
        <f>SUMIFS(F348:F631,K348:K631,"0",B348:B631,"1 2 4 4 1 12 31111 6 M78 00000 002 002*")</f>
        <v>0</v>
      </c>
      <c r="G347" s="31">
        <f>SUMIFS(G348:G631,K348:K631,"0",B348:B631,"1 2 4 4 1 12 31111 6 M78 00000 002 002*")</f>
        <v>150000</v>
      </c>
      <c r="H347" s="31">
        <f t="shared" si="5"/>
        <v>180000</v>
      </c>
      <c r="I347" s="31"/>
      <c r="K347" t="s">
        <v>13</v>
      </c>
    </row>
    <row r="348" spans="2:11" ht="13" x14ac:dyDescent="0.15">
      <c r="B348" s="29" t="s">
        <v>505</v>
      </c>
      <c r="C348" s="29" t="s">
        <v>506</v>
      </c>
      <c r="D348" s="31">
        <f>SUMIFS(D349:D631,K349:K631,"0",B349:B631,"1 2 4 4 1 12 31111 6 M78 00000 002 002 001*")-SUMIFS(E349:E631,K349:K631,"0",B349:B631,"1 2 4 4 1 12 31111 6 M78 00000 002 002 001*")</f>
        <v>330000</v>
      </c>
      <c r="E348"/>
      <c r="F348" s="31">
        <f>SUMIFS(F349:F631,K349:K631,"0",B349:B631,"1 2 4 4 1 12 31111 6 M78 00000 002 002 001*")</f>
        <v>0</v>
      </c>
      <c r="G348" s="31">
        <f>SUMIFS(G349:G631,K349:K631,"0",B349:B631,"1 2 4 4 1 12 31111 6 M78 00000 002 002 001*")</f>
        <v>150000</v>
      </c>
      <c r="H348" s="31">
        <f t="shared" si="5"/>
        <v>180000</v>
      </c>
      <c r="I348" s="31"/>
      <c r="K348" t="s">
        <v>13</v>
      </c>
    </row>
    <row r="349" spans="2:11" ht="13" x14ac:dyDescent="0.15">
      <c r="B349" s="27" t="s">
        <v>507</v>
      </c>
      <c r="C349" s="27" t="s">
        <v>508</v>
      </c>
      <c r="D349" s="30">
        <v>180000</v>
      </c>
      <c r="E349" s="30"/>
      <c r="F349" s="30">
        <v>0</v>
      </c>
      <c r="G349" s="30">
        <v>0</v>
      </c>
      <c r="H349" s="30">
        <f t="shared" si="5"/>
        <v>180000</v>
      </c>
      <c r="I349" s="30"/>
      <c r="K349" t="s">
        <v>37</v>
      </c>
    </row>
    <row r="350" spans="2:11" ht="13" x14ac:dyDescent="0.15">
      <c r="B350" s="27" t="s">
        <v>509</v>
      </c>
      <c r="C350" s="27" t="s">
        <v>510</v>
      </c>
      <c r="D350" s="30">
        <v>150000</v>
      </c>
      <c r="E350" s="30"/>
      <c r="F350" s="30">
        <v>0</v>
      </c>
      <c r="G350" s="30">
        <v>150000</v>
      </c>
      <c r="H350" s="30">
        <f t="shared" si="5"/>
        <v>0</v>
      </c>
      <c r="I350" s="30"/>
      <c r="K350" t="s">
        <v>37</v>
      </c>
    </row>
    <row r="351" spans="2:11" ht="13" x14ac:dyDescent="0.15">
      <c r="B351" s="29" t="s">
        <v>511</v>
      </c>
      <c r="C351" s="29" t="s">
        <v>512</v>
      </c>
      <c r="D351" s="31">
        <f>SUMIFS(D352:D631,K352:K631,"0",B352:B631,"1 2 5*")-SUMIFS(E352:E631,K352:K631,"0",B352:B631,"1 2 5*")</f>
        <v>0</v>
      </c>
      <c r="E351"/>
      <c r="F351" s="31">
        <f>SUMIFS(F352:F631,K352:K631,"0",B352:B631,"1 2 5*")</f>
        <v>0</v>
      </c>
      <c r="G351" s="31">
        <f>SUMIFS(G352:G631,K352:K631,"0",B352:B631,"1 2 5*")</f>
        <v>0</v>
      </c>
      <c r="H351" s="31">
        <f t="shared" si="5"/>
        <v>0</v>
      </c>
      <c r="I351" s="31"/>
      <c r="K351" t="s">
        <v>13</v>
      </c>
    </row>
    <row r="352" spans="2:11" ht="13" x14ac:dyDescent="0.15">
      <c r="B352" s="29" t="s">
        <v>513</v>
      </c>
      <c r="C352" s="29" t="s">
        <v>514</v>
      </c>
      <c r="D352"/>
      <c r="E352" s="31">
        <f>SUMIFS(E353:E631,K353:K631,"0",B353:B631,"1 2 6*")-SUMIFS(D353:D631,K353:K631,"0",B353:B631,"1 2 6*")</f>
        <v>0</v>
      </c>
      <c r="F352" s="31">
        <f>SUMIFS(F353:F631,K353:K631,"0",B353:B631,"1 2 6*")</f>
        <v>0</v>
      </c>
      <c r="G352" s="31">
        <f>SUMIFS(G353:G631,K353:K631,"0",B353:B631,"1 2 6*")</f>
        <v>0</v>
      </c>
      <c r="H352" s="31"/>
      <c r="I352" s="31">
        <f>E352 - F352 + G352</f>
        <v>0</v>
      </c>
      <c r="K352" t="s">
        <v>13</v>
      </c>
    </row>
    <row r="353" spans="2:11" ht="13" x14ac:dyDescent="0.15">
      <c r="B353" s="29" t="s">
        <v>515</v>
      </c>
      <c r="C353" s="29" t="s">
        <v>516</v>
      </c>
      <c r="D353" s="31">
        <f>SUMIFS(D354:D631,K354:K631,"0",B354:B631,"1 2 7*")-SUMIFS(E354:E631,K354:K631,"0",B354:B631,"1 2 7*")</f>
        <v>0</v>
      </c>
      <c r="E353"/>
      <c r="F353" s="31">
        <f>SUMIFS(F354:F631,K354:K631,"0",B354:B631,"1 2 7*")</f>
        <v>0</v>
      </c>
      <c r="G353" s="31">
        <f>SUMIFS(G354:G631,K354:K631,"0",B354:B631,"1 2 7*")</f>
        <v>0</v>
      </c>
      <c r="H353" s="31">
        <f>D353 + F353 - G353</f>
        <v>0</v>
      </c>
      <c r="I353" s="31"/>
      <c r="K353" t="s">
        <v>13</v>
      </c>
    </row>
    <row r="354" spans="2:11" ht="13" x14ac:dyDescent="0.15">
      <c r="B354" s="29" t="s">
        <v>517</v>
      </c>
      <c r="C354" s="29" t="s">
        <v>518</v>
      </c>
      <c r="D354" s="31">
        <f>SUMIFS(D355:D631,K355:K631,"0",B355:B631,"1 2 8*")-SUMIFS(E355:E631,K355:K631,"0",B355:B631,"1 2 8*")</f>
        <v>0</v>
      </c>
      <c r="E354"/>
      <c r="F354" s="31">
        <f>SUMIFS(F355:F631,K355:K631,"0",B355:B631,"1 2 8*")</f>
        <v>0</v>
      </c>
      <c r="G354" s="31">
        <f>SUMIFS(G355:G631,K355:K631,"0",B355:B631,"1 2 8*")</f>
        <v>0</v>
      </c>
      <c r="H354" s="31">
        <f>D354 + F354 - G354</f>
        <v>0</v>
      </c>
      <c r="I354" s="31"/>
      <c r="K354" t="s">
        <v>13</v>
      </c>
    </row>
    <row r="355" spans="2:11" ht="13" x14ac:dyDescent="0.15">
      <c r="B355" s="29" t="s">
        <v>519</v>
      </c>
      <c r="C355" s="29" t="s">
        <v>520</v>
      </c>
      <c r="D355" s="31">
        <f>SUMIFS(D356:D631,K356:K631,"0",B356:B631,"1 2 9*")-SUMIFS(E356:E631,K356:K631,"0",B356:B631,"1 2 9*")</f>
        <v>0</v>
      </c>
      <c r="E355"/>
      <c r="F355" s="31">
        <f>SUMIFS(F356:F631,K356:K631,"0",B356:B631,"1 2 9*")</f>
        <v>0</v>
      </c>
      <c r="G355" s="31">
        <f>SUMIFS(G356:G631,K356:K631,"0",B356:B631,"1 2 9*")</f>
        <v>0</v>
      </c>
      <c r="H355" s="31">
        <f>D355 + F355 - G355</f>
        <v>0</v>
      </c>
      <c r="I355" s="31"/>
      <c r="K355" t="s">
        <v>13</v>
      </c>
    </row>
    <row r="356" spans="2:11" ht="13" x14ac:dyDescent="0.15">
      <c r="B356" s="29" t="s">
        <v>521</v>
      </c>
      <c r="C356" s="29" t="s">
        <v>522</v>
      </c>
      <c r="D356"/>
      <c r="E356" s="31">
        <f>SUMIFS(E357:E631,K357:K631,"0",B357:B631,"2*")-SUMIFS(D357:D631,K357:K631,"0",B357:B631,"2*")</f>
        <v>34653.269999999997</v>
      </c>
      <c r="F356" s="31">
        <f>SUMIFS(F357:F631,K357:K631,"0",B357:B631,"2*")</f>
        <v>70600156.25999999</v>
      </c>
      <c r="G356" s="31">
        <f>SUMIFS(G357:G631,K357:K631,"0",B357:B631,"2*")</f>
        <v>70565861.879999995</v>
      </c>
      <c r="H356" s="31"/>
      <c r="I356" s="31">
        <f t="shared" ref="I356:I387" si="6">E356 - F356 + G356</f>
        <v>358.89000000059605</v>
      </c>
      <c r="K356" t="s">
        <v>13</v>
      </c>
    </row>
    <row r="357" spans="2:11" ht="13" x14ac:dyDescent="0.15">
      <c r="B357" s="29" t="s">
        <v>523</v>
      </c>
      <c r="C357" s="29" t="s">
        <v>524</v>
      </c>
      <c r="D357"/>
      <c r="E357" s="31">
        <f>SUMIFS(E358:E631,K358:K631,"0",B358:B631,"2 1*")-SUMIFS(D358:D631,K358:K631,"0",B358:B631,"2 1*")</f>
        <v>34653.269999999997</v>
      </c>
      <c r="F357" s="31">
        <f>SUMIFS(F358:F631,K358:K631,"0",B358:B631,"2 1*")</f>
        <v>70600156.25999999</v>
      </c>
      <c r="G357" s="31">
        <f>SUMIFS(G358:G631,K358:K631,"0",B358:B631,"2 1*")</f>
        <v>70565861.879999995</v>
      </c>
      <c r="H357" s="31"/>
      <c r="I357" s="31">
        <f t="shared" si="6"/>
        <v>358.89000000059605</v>
      </c>
      <c r="K357" t="s">
        <v>13</v>
      </c>
    </row>
    <row r="358" spans="2:11" ht="13" x14ac:dyDescent="0.15">
      <c r="B358" s="29" t="s">
        <v>525</v>
      </c>
      <c r="C358" s="29" t="s">
        <v>526</v>
      </c>
      <c r="D358"/>
      <c r="E358" s="31">
        <f>SUMIFS(E359:E631,K359:K631,"0",B359:B631,"2 1 1*")-SUMIFS(D359:D631,K359:K631,"0",B359:B631,"2 1 1*")</f>
        <v>34653.269999999997</v>
      </c>
      <c r="F358" s="31">
        <f>SUMIFS(F359:F631,K359:K631,"0",B359:B631,"2 1 1*")</f>
        <v>70600156.25999999</v>
      </c>
      <c r="G358" s="31">
        <f>SUMIFS(G359:G631,K359:K631,"0",B359:B631,"2 1 1*")</f>
        <v>70565861.879999995</v>
      </c>
      <c r="H358" s="31"/>
      <c r="I358" s="31">
        <f t="shared" si="6"/>
        <v>358.89000000059605</v>
      </c>
      <c r="K358" t="s">
        <v>13</v>
      </c>
    </row>
    <row r="359" spans="2:11" ht="13" x14ac:dyDescent="0.15">
      <c r="B359" s="29" t="s">
        <v>527</v>
      </c>
      <c r="C359" s="29" t="s">
        <v>528</v>
      </c>
      <c r="D359"/>
      <c r="E359" s="31">
        <f>SUMIFS(E360:E631,K360:K631,"0",B360:B631,"2 1 1 2*")-SUMIFS(D360:D631,K360:K631,"0",B360:B631,"2 1 1 2*")</f>
        <v>29095.43</v>
      </c>
      <c r="F359" s="31">
        <f>SUMIFS(F360:F631,K360:K631,"0",B360:B631,"2 1 1 2*")</f>
        <v>2121555.2800000003</v>
      </c>
      <c r="G359" s="31">
        <f>SUMIFS(G360:G631,K360:K631,"0",B360:B631,"2 1 1 2*")</f>
        <v>2092459.85</v>
      </c>
      <c r="H359" s="31"/>
      <c r="I359" s="31">
        <f t="shared" si="6"/>
        <v>0</v>
      </c>
      <c r="K359" t="s">
        <v>13</v>
      </c>
    </row>
    <row r="360" spans="2:11" ht="13" x14ac:dyDescent="0.15">
      <c r="B360" s="29" t="s">
        <v>529</v>
      </c>
      <c r="C360" s="29" t="s">
        <v>530</v>
      </c>
      <c r="D360"/>
      <c r="E360" s="31">
        <f>SUMIFS(E361:E631,K361:K631,"0",B361:B631,"2 1 1 2 1*")-SUMIFS(D361:D631,K361:K631,"0",B361:B631,"2 1 1 2 1*")</f>
        <v>29095.43</v>
      </c>
      <c r="F360" s="31">
        <f>SUMIFS(F361:F631,K361:K631,"0",B361:B631,"2 1 1 2 1*")</f>
        <v>2121555.2800000003</v>
      </c>
      <c r="G360" s="31">
        <f>SUMIFS(G361:G631,K361:K631,"0",B361:B631,"2 1 1 2 1*")</f>
        <v>2092459.85</v>
      </c>
      <c r="H360" s="31"/>
      <c r="I360" s="31">
        <f t="shared" si="6"/>
        <v>0</v>
      </c>
      <c r="K360" t="s">
        <v>13</v>
      </c>
    </row>
    <row r="361" spans="2:11" ht="13" x14ac:dyDescent="0.15">
      <c r="B361" s="29" t="s">
        <v>531</v>
      </c>
      <c r="C361" s="29" t="s">
        <v>24</v>
      </c>
      <c r="D361"/>
      <c r="E361" s="31">
        <f>SUMIFS(E362:E631,K362:K631,"0",B362:B631,"2 1 1 2 1 12*")-SUMIFS(D362:D631,K362:K631,"0",B362:B631,"2 1 1 2 1 12*")</f>
        <v>29095.43</v>
      </c>
      <c r="F361" s="31">
        <f>SUMIFS(F362:F631,K362:K631,"0",B362:B631,"2 1 1 2 1 12*")</f>
        <v>2121555.2800000003</v>
      </c>
      <c r="G361" s="31">
        <f>SUMIFS(G362:G631,K362:K631,"0",B362:B631,"2 1 1 2 1 12*")</f>
        <v>2092459.85</v>
      </c>
      <c r="H361" s="31"/>
      <c r="I361" s="31">
        <f t="shared" si="6"/>
        <v>0</v>
      </c>
      <c r="K361" t="s">
        <v>13</v>
      </c>
    </row>
    <row r="362" spans="2:11" ht="13" x14ac:dyDescent="0.15">
      <c r="B362" s="29" t="s">
        <v>532</v>
      </c>
      <c r="C362" s="29" t="s">
        <v>26</v>
      </c>
      <c r="D362"/>
      <c r="E362" s="31">
        <f>SUMIFS(E363:E631,K363:K631,"0",B363:B631,"2 1 1 2 1 12 31111*")-SUMIFS(D363:D631,K363:K631,"0",B363:B631,"2 1 1 2 1 12 31111*")</f>
        <v>29095.43</v>
      </c>
      <c r="F362" s="31">
        <f>SUMIFS(F363:F631,K363:K631,"0",B363:B631,"2 1 1 2 1 12 31111*")</f>
        <v>2121555.2800000003</v>
      </c>
      <c r="G362" s="31">
        <f>SUMIFS(G363:G631,K363:K631,"0",B363:B631,"2 1 1 2 1 12 31111*")</f>
        <v>2092459.85</v>
      </c>
      <c r="H362" s="31"/>
      <c r="I362" s="31">
        <f t="shared" si="6"/>
        <v>0</v>
      </c>
      <c r="K362" t="s">
        <v>13</v>
      </c>
    </row>
    <row r="363" spans="2:11" ht="13" x14ac:dyDescent="0.15">
      <c r="B363" s="29" t="s">
        <v>533</v>
      </c>
      <c r="C363" s="29" t="s">
        <v>28</v>
      </c>
      <c r="D363"/>
      <c r="E363" s="31">
        <f>SUMIFS(E364:E631,K364:K631,"0",B364:B631,"2 1 1 2 1 12 31111 6*")-SUMIFS(D364:D631,K364:K631,"0",B364:B631,"2 1 1 2 1 12 31111 6*")</f>
        <v>29095.43</v>
      </c>
      <c r="F363" s="31">
        <f>SUMIFS(F364:F631,K364:K631,"0",B364:B631,"2 1 1 2 1 12 31111 6*")</f>
        <v>2121555.2800000003</v>
      </c>
      <c r="G363" s="31">
        <f>SUMIFS(G364:G631,K364:K631,"0",B364:B631,"2 1 1 2 1 12 31111 6*")</f>
        <v>2092459.85</v>
      </c>
      <c r="H363" s="31"/>
      <c r="I363" s="31">
        <f t="shared" si="6"/>
        <v>0</v>
      </c>
      <c r="K363" t="s">
        <v>13</v>
      </c>
    </row>
    <row r="364" spans="2:11" ht="13" x14ac:dyDescent="0.15">
      <c r="B364" s="29" t="s">
        <v>534</v>
      </c>
      <c r="C364" s="29" t="s">
        <v>30</v>
      </c>
      <c r="D364"/>
      <c r="E364" s="31">
        <f>SUMIFS(E365:E631,K365:K631,"0",B365:B631,"2 1 1 2 1 12 31111 6 M78*")-SUMIFS(D365:D631,K365:K631,"0",B365:B631,"2 1 1 2 1 12 31111 6 M78*")</f>
        <v>29095.43</v>
      </c>
      <c r="F364" s="31">
        <f>SUMIFS(F365:F631,K365:K631,"0",B365:B631,"2 1 1 2 1 12 31111 6 M78*")</f>
        <v>2121555.2800000003</v>
      </c>
      <c r="G364" s="31">
        <f>SUMIFS(G365:G631,K365:K631,"0",B365:B631,"2 1 1 2 1 12 31111 6 M78*")</f>
        <v>2092459.85</v>
      </c>
      <c r="H364" s="31"/>
      <c r="I364" s="31">
        <f t="shared" si="6"/>
        <v>0</v>
      </c>
      <c r="K364" t="s">
        <v>13</v>
      </c>
    </row>
    <row r="365" spans="2:11" ht="13" x14ac:dyDescent="0.15">
      <c r="B365" s="29" t="s">
        <v>535</v>
      </c>
      <c r="C365" s="29" t="s">
        <v>536</v>
      </c>
      <c r="D365"/>
      <c r="E365" s="31">
        <f>SUMIFS(E366:E631,K366:K631,"0",B366:B631,"2 1 1 2 1 12 31111 6 M78 00002*")-SUMIFS(D366:D631,K366:K631,"0",B366:B631,"2 1 1 2 1 12 31111 6 M78 00002*")</f>
        <v>29095.43</v>
      </c>
      <c r="F365" s="31">
        <f>SUMIFS(F366:F631,K366:K631,"0",B366:B631,"2 1 1 2 1 12 31111 6 M78 00002*")</f>
        <v>2121555.2800000003</v>
      </c>
      <c r="G365" s="31">
        <f>SUMIFS(G366:G631,K366:K631,"0",B366:B631,"2 1 1 2 1 12 31111 6 M78 00002*")</f>
        <v>2092459.85</v>
      </c>
      <c r="H365" s="31"/>
      <c r="I365" s="31">
        <f t="shared" si="6"/>
        <v>0</v>
      </c>
      <c r="K365" t="s">
        <v>13</v>
      </c>
    </row>
    <row r="366" spans="2:11" ht="13" x14ac:dyDescent="0.15">
      <c r="B366" s="27" t="s">
        <v>537</v>
      </c>
      <c r="C366" s="27" t="s">
        <v>97</v>
      </c>
      <c r="D366" s="30"/>
      <c r="E366" s="30">
        <v>0</v>
      </c>
      <c r="F366" s="30">
        <v>1051962.6000000001</v>
      </c>
      <c r="G366" s="30">
        <v>1051962.6000000001</v>
      </c>
      <c r="H366" s="30"/>
      <c r="I366" s="30">
        <f t="shared" si="6"/>
        <v>0</v>
      </c>
      <c r="K366" t="s">
        <v>37</v>
      </c>
    </row>
    <row r="367" spans="2:11" ht="13" x14ac:dyDescent="0.15">
      <c r="B367" s="27" t="s">
        <v>538</v>
      </c>
      <c r="C367" s="27" t="s">
        <v>539</v>
      </c>
      <c r="D367" s="30"/>
      <c r="E367" s="30">
        <v>0</v>
      </c>
      <c r="F367" s="30">
        <v>406000</v>
      </c>
      <c r="G367" s="30">
        <v>406000</v>
      </c>
      <c r="H367" s="30"/>
      <c r="I367" s="30">
        <f t="shared" si="6"/>
        <v>0</v>
      </c>
      <c r="K367" t="s">
        <v>37</v>
      </c>
    </row>
    <row r="368" spans="2:11" ht="13" x14ac:dyDescent="0.15">
      <c r="B368" s="27" t="s">
        <v>540</v>
      </c>
      <c r="C368" s="27" t="s">
        <v>541</v>
      </c>
      <c r="D368" s="30"/>
      <c r="E368" s="30">
        <v>0</v>
      </c>
      <c r="F368" s="30">
        <v>634497.25</v>
      </c>
      <c r="G368" s="30">
        <v>634497.25</v>
      </c>
      <c r="H368" s="30"/>
      <c r="I368" s="30">
        <f t="shared" si="6"/>
        <v>0</v>
      </c>
      <c r="K368" t="s">
        <v>37</v>
      </c>
    </row>
    <row r="369" spans="2:11" ht="13" x14ac:dyDescent="0.15">
      <c r="B369" s="27" t="s">
        <v>542</v>
      </c>
      <c r="C369" s="27" t="s">
        <v>543</v>
      </c>
      <c r="D369" s="30"/>
      <c r="E369" s="30">
        <v>29095.43</v>
      </c>
      <c r="F369" s="30">
        <v>29095.43</v>
      </c>
      <c r="G369" s="30">
        <v>0</v>
      </c>
      <c r="H369" s="30"/>
      <c r="I369" s="30">
        <f t="shared" si="6"/>
        <v>0</v>
      </c>
      <c r="K369" t="s">
        <v>37</v>
      </c>
    </row>
    <row r="370" spans="2:11" ht="13" x14ac:dyDescent="0.15">
      <c r="B370" s="29" t="s">
        <v>544</v>
      </c>
      <c r="C370" s="29" t="s">
        <v>545</v>
      </c>
      <c r="D370"/>
      <c r="E370" s="31">
        <f>SUMIFS(E371:E631,K371:K631,"0",B371:B631,"2 1 1 3*")-SUMIFS(D371:D631,K371:K631,"0",B371:B631,"2 1 1 3*")</f>
        <v>0</v>
      </c>
      <c r="F370" s="31">
        <f>SUMIFS(F371:F631,K371:K631,"0",B371:B631,"2 1 1 3*")</f>
        <v>68179431.089999989</v>
      </c>
      <c r="G370" s="31">
        <f>SUMIFS(G371:G631,K371:K631,"0",B371:B631,"2 1 1 3*")</f>
        <v>68179431.089999989</v>
      </c>
      <c r="H370" s="31"/>
      <c r="I370" s="31">
        <f t="shared" si="6"/>
        <v>0</v>
      </c>
      <c r="K370" t="s">
        <v>13</v>
      </c>
    </row>
    <row r="371" spans="2:11" ht="13" x14ac:dyDescent="0.15">
      <c r="B371" s="29" t="s">
        <v>546</v>
      </c>
      <c r="C371" s="29" t="s">
        <v>547</v>
      </c>
      <c r="D371"/>
      <c r="E371" s="31">
        <f>SUMIFS(E372:E631,K372:K631,"0",B372:B631,"2 1 1 3 1*")-SUMIFS(D372:D631,K372:K631,"0",B372:B631,"2 1 1 3 1*")</f>
        <v>0</v>
      </c>
      <c r="F371" s="31">
        <f>SUMIFS(F372:F631,K372:K631,"0",B372:B631,"2 1 1 3 1*")</f>
        <v>68179431.089999989</v>
      </c>
      <c r="G371" s="31">
        <f>SUMIFS(G372:G631,K372:K631,"0",B372:B631,"2 1 1 3 1*")</f>
        <v>68179431.089999989</v>
      </c>
      <c r="H371" s="31"/>
      <c r="I371" s="31">
        <f t="shared" si="6"/>
        <v>0</v>
      </c>
      <c r="K371" t="s">
        <v>13</v>
      </c>
    </row>
    <row r="372" spans="2:11" ht="13" x14ac:dyDescent="0.15">
      <c r="B372" s="29" t="s">
        <v>548</v>
      </c>
      <c r="C372" s="29" t="s">
        <v>24</v>
      </c>
      <c r="D372"/>
      <c r="E372" s="31">
        <f>SUMIFS(E373:E631,K373:K631,"0",B373:B631,"2 1 1 3 1 12*")-SUMIFS(D373:D631,K373:K631,"0",B373:B631,"2 1 1 3 1 12*")</f>
        <v>0</v>
      </c>
      <c r="F372" s="31">
        <f>SUMIFS(F373:F631,K373:K631,"0",B373:B631,"2 1 1 3 1 12*")</f>
        <v>68179431.089999989</v>
      </c>
      <c r="G372" s="31">
        <f>SUMIFS(G373:G631,K373:K631,"0",B373:B631,"2 1 1 3 1 12*")</f>
        <v>68179431.089999989</v>
      </c>
      <c r="H372" s="31"/>
      <c r="I372" s="31">
        <f t="shared" si="6"/>
        <v>0</v>
      </c>
      <c r="K372" t="s">
        <v>13</v>
      </c>
    </row>
    <row r="373" spans="2:11" ht="13" x14ac:dyDescent="0.15">
      <c r="B373" s="29" t="s">
        <v>549</v>
      </c>
      <c r="C373" s="29" t="s">
        <v>26</v>
      </c>
      <c r="D373"/>
      <c r="E373" s="31">
        <f>SUMIFS(E374:E631,K374:K631,"0",B374:B631,"2 1 1 3 1 12 31111*")-SUMIFS(D374:D631,K374:K631,"0",B374:B631,"2 1 1 3 1 12 31111*")</f>
        <v>0</v>
      </c>
      <c r="F373" s="31">
        <f>SUMIFS(F374:F631,K374:K631,"0",B374:B631,"2 1 1 3 1 12 31111*")</f>
        <v>68179431.089999989</v>
      </c>
      <c r="G373" s="31">
        <f>SUMIFS(G374:G631,K374:K631,"0",B374:B631,"2 1 1 3 1 12 31111*")</f>
        <v>68179431.089999989</v>
      </c>
      <c r="H373" s="31"/>
      <c r="I373" s="31">
        <f t="shared" si="6"/>
        <v>0</v>
      </c>
      <c r="K373" t="s">
        <v>13</v>
      </c>
    </row>
    <row r="374" spans="2:11" ht="13" x14ac:dyDescent="0.15">
      <c r="B374" s="29" t="s">
        <v>550</v>
      </c>
      <c r="C374" s="29" t="s">
        <v>28</v>
      </c>
      <c r="D374"/>
      <c r="E374" s="31">
        <f>SUMIFS(E375:E631,K375:K631,"0",B375:B631,"2 1 1 3 1 12 31111 6*")-SUMIFS(D375:D631,K375:K631,"0",B375:B631,"2 1 1 3 1 12 31111 6*")</f>
        <v>0</v>
      </c>
      <c r="F374" s="31">
        <f>SUMIFS(F375:F631,K375:K631,"0",B375:B631,"2 1 1 3 1 12 31111 6*")</f>
        <v>68179431.089999989</v>
      </c>
      <c r="G374" s="31">
        <f>SUMIFS(G375:G631,K375:K631,"0",B375:B631,"2 1 1 3 1 12 31111 6*")</f>
        <v>68179431.089999989</v>
      </c>
      <c r="H374" s="31"/>
      <c r="I374" s="31">
        <f t="shared" si="6"/>
        <v>0</v>
      </c>
      <c r="K374" t="s">
        <v>13</v>
      </c>
    </row>
    <row r="375" spans="2:11" ht="13" x14ac:dyDescent="0.15">
      <c r="B375" s="29" t="s">
        <v>551</v>
      </c>
      <c r="C375" s="29" t="s">
        <v>30</v>
      </c>
      <c r="D375"/>
      <c r="E375" s="31">
        <f>SUMIFS(E376:E631,K376:K631,"0",B376:B631,"2 1 1 3 1 12 31111 6 M78*")-SUMIFS(D376:D631,K376:K631,"0",B376:B631,"2 1 1 3 1 12 31111 6 M78*")</f>
        <v>0</v>
      </c>
      <c r="F375" s="31">
        <f>SUMIFS(F376:F631,K376:K631,"0",B376:B631,"2 1 1 3 1 12 31111 6 M78*")</f>
        <v>68179431.089999989</v>
      </c>
      <c r="G375" s="31">
        <f>SUMIFS(G376:G631,K376:K631,"0",B376:B631,"2 1 1 3 1 12 31111 6 M78*")</f>
        <v>68179431.089999989</v>
      </c>
      <c r="H375" s="31"/>
      <c r="I375" s="31">
        <f t="shared" si="6"/>
        <v>0</v>
      </c>
      <c r="K375" t="s">
        <v>13</v>
      </c>
    </row>
    <row r="376" spans="2:11" ht="13" x14ac:dyDescent="0.15">
      <c r="B376" s="29" t="s">
        <v>552</v>
      </c>
      <c r="C376" s="29" t="s">
        <v>553</v>
      </c>
      <c r="D376"/>
      <c r="E376" s="31">
        <f>SUMIFS(E377:E631,K377:K631,"0",B377:B631,"2 1 1 3 1 12 31111 6 M78 00002*")-SUMIFS(D377:D631,K377:K631,"0",B377:B631,"2 1 1 3 1 12 31111 6 M78 00002*")</f>
        <v>0</v>
      </c>
      <c r="F376" s="31">
        <f>SUMIFS(F377:F631,K377:K631,"0",B377:B631,"2 1 1 3 1 12 31111 6 M78 00002*")</f>
        <v>68179431.089999989</v>
      </c>
      <c r="G376" s="31">
        <f>SUMIFS(G377:G631,K377:K631,"0",B377:B631,"2 1 1 3 1 12 31111 6 M78 00002*")</f>
        <v>68179431.089999989</v>
      </c>
      <c r="H376" s="31"/>
      <c r="I376" s="31">
        <f t="shared" si="6"/>
        <v>0</v>
      </c>
      <c r="K376" t="s">
        <v>13</v>
      </c>
    </row>
    <row r="377" spans="2:11" ht="13" x14ac:dyDescent="0.15">
      <c r="B377" s="27" t="s">
        <v>554</v>
      </c>
      <c r="C377" s="27" t="s">
        <v>555</v>
      </c>
      <c r="D377" s="30"/>
      <c r="E377" s="30">
        <v>0</v>
      </c>
      <c r="F377" s="30">
        <v>11204703.15</v>
      </c>
      <c r="G377" s="30">
        <v>11204703.15</v>
      </c>
      <c r="H377" s="30"/>
      <c r="I377" s="30">
        <f t="shared" si="6"/>
        <v>0</v>
      </c>
      <c r="K377" t="s">
        <v>37</v>
      </c>
    </row>
    <row r="378" spans="2:11" ht="13" x14ac:dyDescent="0.15">
      <c r="B378" s="27" t="s">
        <v>556</v>
      </c>
      <c r="C378" s="27" t="s">
        <v>557</v>
      </c>
      <c r="D378" s="30"/>
      <c r="E378" s="30">
        <v>0</v>
      </c>
      <c r="F378" s="30">
        <v>18706401.219999999</v>
      </c>
      <c r="G378" s="30">
        <v>18706401.219999999</v>
      </c>
      <c r="H378" s="30"/>
      <c r="I378" s="30">
        <f t="shared" si="6"/>
        <v>0</v>
      </c>
      <c r="K378" t="s">
        <v>37</v>
      </c>
    </row>
    <row r="379" spans="2:11" ht="13" x14ac:dyDescent="0.15">
      <c r="B379" s="27" t="s">
        <v>558</v>
      </c>
      <c r="C379" s="27" t="s">
        <v>559</v>
      </c>
      <c r="D379" s="30"/>
      <c r="E379" s="30">
        <v>0</v>
      </c>
      <c r="F379" s="30">
        <v>10070182.869999999</v>
      </c>
      <c r="G379" s="30">
        <v>10070182.869999999</v>
      </c>
      <c r="H379" s="30"/>
      <c r="I379" s="30">
        <f t="shared" si="6"/>
        <v>0</v>
      </c>
      <c r="K379" t="s">
        <v>37</v>
      </c>
    </row>
    <row r="380" spans="2:11" ht="13" x14ac:dyDescent="0.15">
      <c r="B380" s="27" t="s">
        <v>560</v>
      </c>
      <c r="C380" s="27" t="s">
        <v>561</v>
      </c>
      <c r="D380" s="30"/>
      <c r="E380" s="30">
        <v>0</v>
      </c>
      <c r="F380" s="30">
        <v>3268890.37</v>
      </c>
      <c r="G380" s="30">
        <v>3268890.37</v>
      </c>
      <c r="H380" s="30"/>
      <c r="I380" s="30">
        <f t="shared" si="6"/>
        <v>0</v>
      </c>
      <c r="K380" t="s">
        <v>37</v>
      </c>
    </row>
    <row r="381" spans="2:11" ht="13" x14ac:dyDescent="0.15">
      <c r="B381" s="27" t="s">
        <v>562</v>
      </c>
      <c r="C381" s="27" t="s">
        <v>563</v>
      </c>
      <c r="D381" s="30"/>
      <c r="E381" s="30">
        <v>0</v>
      </c>
      <c r="F381" s="30">
        <v>5497610.2199999997</v>
      </c>
      <c r="G381" s="30">
        <v>5497610.2199999997</v>
      </c>
      <c r="H381" s="30"/>
      <c r="I381" s="30">
        <f t="shared" si="6"/>
        <v>0</v>
      </c>
      <c r="K381" t="s">
        <v>37</v>
      </c>
    </row>
    <row r="382" spans="2:11" ht="13" x14ac:dyDescent="0.15">
      <c r="B382" s="27" t="s">
        <v>564</v>
      </c>
      <c r="C382" s="27" t="s">
        <v>565</v>
      </c>
      <c r="D382" s="30"/>
      <c r="E382" s="30">
        <v>0</v>
      </c>
      <c r="F382" s="30">
        <v>7020480.9000000004</v>
      </c>
      <c r="G382" s="30">
        <v>7020480.9000000004</v>
      </c>
      <c r="H382" s="30"/>
      <c r="I382" s="30">
        <f t="shared" si="6"/>
        <v>0</v>
      </c>
      <c r="K382" t="s">
        <v>37</v>
      </c>
    </row>
    <row r="383" spans="2:11" ht="13" x14ac:dyDescent="0.15">
      <c r="B383" s="27" t="s">
        <v>566</v>
      </c>
      <c r="C383" s="27" t="s">
        <v>567</v>
      </c>
      <c r="D383" s="30"/>
      <c r="E383" s="30">
        <v>0</v>
      </c>
      <c r="F383" s="30">
        <v>9222616.7699999996</v>
      </c>
      <c r="G383" s="30">
        <v>9222616.7699999996</v>
      </c>
      <c r="H383" s="30"/>
      <c r="I383" s="30">
        <f t="shared" si="6"/>
        <v>0</v>
      </c>
      <c r="K383" t="s">
        <v>37</v>
      </c>
    </row>
    <row r="384" spans="2:11" ht="13" x14ac:dyDescent="0.15">
      <c r="B384" s="27" t="s">
        <v>568</v>
      </c>
      <c r="C384" s="27" t="s">
        <v>569</v>
      </c>
      <c r="D384" s="30"/>
      <c r="E384" s="30">
        <v>0</v>
      </c>
      <c r="F384" s="30">
        <v>3188545.59</v>
      </c>
      <c r="G384" s="30">
        <v>3188545.59</v>
      </c>
      <c r="H384" s="30"/>
      <c r="I384" s="30">
        <f t="shared" si="6"/>
        <v>0</v>
      </c>
      <c r="K384" t="s">
        <v>37</v>
      </c>
    </row>
    <row r="385" spans="2:11" ht="13" x14ac:dyDescent="0.15">
      <c r="B385" s="29" t="s">
        <v>570</v>
      </c>
      <c r="C385" s="29" t="s">
        <v>571</v>
      </c>
      <c r="D385"/>
      <c r="E385" s="31">
        <f>SUMIFS(E386:E631,K386:K631,"0",B386:B631,"2 1 1 7*")-SUMIFS(D386:D631,K386:K631,"0",B386:B631,"2 1 1 7*")</f>
        <v>5557.8399999999992</v>
      </c>
      <c r="F385" s="31">
        <f>SUMIFS(F386:F631,K386:K631,"0",B386:B631,"2 1 1 7*")</f>
        <v>299169.89</v>
      </c>
      <c r="G385" s="31">
        <f>SUMIFS(G386:G631,K386:K631,"0",B386:B631,"2 1 1 7*")</f>
        <v>293970.94</v>
      </c>
      <c r="H385" s="31"/>
      <c r="I385" s="31">
        <f t="shared" si="6"/>
        <v>358.89000000001397</v>
      </c>
      <c r="K385" t="s">
        <v>13</v>
      </c>
    </row>
    <row r="386" spans="2:11" ht="13" x14ac:dyDescent="0.15">
      <c r="B386" s="29" t="s">
        <v>572</v>
      </c>
      <c r="C386" s="29" t="s">
        <v>573</v>
      </c>
      <c r="D386"/>
      <c r="E386" s="31">
        <f>SUMIFS(E387:E631,K387:K631,"0",B387:B631,"2 1 1 7 5*")-SUMIFS(D387:D631,K387:K631,"0",B387:B631,"2 1 1 7 5*")</f>
        <v>5557.8399999999992</v>
      </c>
      <c r="F386" s="31">
        <f>SUMIFS(F387:F631,K387:K631,"0",B387:B631,"2 1 1 7 5*")</f>
        <v>299169.89</v>
      </c>
      <c r="G386" s="31">
        <f>SUMIFS(G387:G631,K387:K631,"0",B387:B631,"2 1 1 7 5*")</f>
        <v>293970.94</v>
      </c>
      <c r="H386" s="31"/>
      <c r="I386" s="31">
        <f t="shared" si="6"/>
        <v>358.89000000001397</v>
      </c>
      <c r="K386" t="s">
        <v>13</v>
      </c>
    </row>
    <row r="387" spans="2:11" ht="13" x14ac:dyDescent="0.15">
      <c r="B387" s="29" t="s">
        <v>574</v>
      </c>
      <c r="C387" s="29" t="s">
        <v>24</v>
      </c>
      <c r="D387"/>
      <c r="E387" s="31">
        <f>SUMIFS(E388:E631,K388:K631,"0",B388:B631,"2 1 1 7 5 12*")-SUMIFS(D388:D631,K388:K631,"0",B388:B631,"2 1 1 7 5 12*")</f>
        <v>5557.8399999999992</v>
      </c>
      <c r="F387" s="31">
        <f>SUMIFS(F388:F631,K388:K631,"0",B388:B631,"2 1 1 7 5 12*")</f>
        <v>299169.89</v>
      </c>
      <c r="G387" s="31">
        <f>SUMIFS(G388:G631,K388:K631,"0",B388:B631,"2 1 1 7 5 12*")</f>
        <v>293970.94</v>
      </c>
      <c r="H387" s="31"/>
      <c r="I387" s="31">
        <f t="shared" si="6"/>
        <v>358.89000000001397</v>
      </c>
      <c r="K387" t="s">
        <v>13</v>
      </c>
    </row>
    <row r="388" spans="2:11" ht="13" x14ac:dyDescent="0.15">
      <c r="B388" s="29" t="s">
        <v>575</v>
      </c>
      <c r="C388" s="29" t="s">
        <v>26</v>
      </c>
      <c r="D388"/>
      <c r="E388" s="31">
        <f>SUMIFS(E389:E631,K389:K631,"0",B389:B631,"2 1 1 7 5 12 31111*")-SUMIFS(D389:D631,K389:K631,"0",B389:B631,"2 1 1 7 5 12 31111*")</f>
        <v>5557.8399999999992</v>
      </c>
      <c r="F388" s="31">
        <f>SUMIFS(F389:F631,K389:K631,"0",B389:B631,"2 1 1 7 5 12 31111*")</f>
        <v>299169.89</v>
      </c>
      <c r="G388" s="31">
        <f>SUMIFS(G389:G631,K389:K631,"0",B389:B631,"2 1 1 7 5 12 31111*")</f>
        <v>293970.94</v>
      </c>
      <c r="H388" s="31"/>
      <c r="I388" s="31">
        <f t="shared" ref="I388:I419" si="7">E388 - F388 + G388</f>
        <v>358.89000000001397</v>
      </c>
      <c r="K388" t="s">
        <v>13</v>
      </c>
    </row>
    <row r="389" spans="2:11" ht="13" x14ac:dyDescent="0.15">
      <c r="B389" s="29" t="s">
        <v>576</v>
      </c>
      <c r="C389" s="29" t="s">
        <v>28</v>
      </c>
      <c r="D389"/>
      <c r="E389" s="31">
        <f>SUMIFS(E390:E631,K390:K631,"0",B390:B631,"2 1 1 7 5 12 31111 6*")-SUMIFS(D390:D631,K390:K631,"0",B390:B631,"2 1 1 7 5 12 31111 6*")</f>
        <v>5557.8399999999992</v>
      </c>
      <c r="F389" s="31">
        <f>SUMIFS(F390:F631,K390:K631,"0",B390:B631,"2 1 1 7 5 12 31111 6*")</f>
        <v>299169.89</v>
      </c>
      <c r="G389" s="31">
        <f>SUMIFS(G390:G631,K390:K631,"0",B390:B631,"2 1 1 7 5 12 31111 6*")</f>
        <v>293970.94</v>
      </c>
      <c r="H389" s="31"/>
      <c r="I389" s="31">
        <f t="shared" si="7"/>
        <v>358.89000000001397</v>
      </c>
      <c r="K389" t="s">
        <v>13</v>
      </c>
    </row>
    <row r="390" spans="2:11" ht="13" x14ac:dyDescent="0.15">
      <c r="B390" s="29" t="s">
        <v>577</v>
      </c>
      <c r="C390" s="29" t="s">
        <v>30</v>
      </c>
      <c r="D390"/>
      <c r="E390" s="31">
        <f>SUMIFS(E391:E631,K391:K631,"0",B391:B631,"2 1 1 7 5 12 31111 6 M78*")-SUMIFS(D391:D631,K391:K631,"0",B391:B631,"2 1 1 7 5 12 31111 6 M78*")</f>
        <v>5557.8399999999992</v>
      </c>
      <c r="F390" s="31">
        <f>SUMIFS(F391:F631,K391:K631,"0",B391:B631,"2 1 1 7 5 12 31111 6 M78*")</f>
        <v>299169.89</v>
      </c>
      <c r="G390" s="31">
        <f>SUMIFS(G391:G631,K391:K631,"0",B391:B631,"2 1 1 7 5 12 31111 6 M78*")</f>
        <v>293970.94</v>
      </c>
      <c r="H390" s="31"/>
      <c r="I390" s="31">
        <f t="shared" si="7"/>
        <v>358.89000000001397</v>
      </c>
      <c r="K390" t="s">
        <v>13</v>
      </c>
    </row>
    <row r="391" spans="2:11" ht="13" x14ac:dyDescent="0.15">
      <c r="B391" s="29" t="s">
        <v>578</v>
      </c>
      <c r="C391" s="29" t="s">
        <v>579</v>
      </c>
      <c r="D391"/>
      <c r="E391" s="31">
        <f>SUMIFS(E392:E631,K392:K631,"0",B392:B631,"2 1 1 7 5 12 31111 6 M78 00002*")-SUMIFS(D392:D631,K392:K631,"0",B392:B631,"2 1 1 7 5 12 31111 6 M78 00002*")</f>
        <v>5557.8399999999992</v>
      </c>
      <c r="F391" s="31">
        <f>SUMIFS(F392:F631,K392:K631,"0",B392:B631,"2 1 1 7 5 12 31111 6 M78 00002*")</f>
        <v>299169.89</v>
      </c>
      <c r="G391" s="31">
        <f>SUMIFS(G392:G631,K392:K631,"0",B392:B631,"2 1 1 7 5 12 31111 6 M78 00002*")</f>
        <v>293970.94</v>
      </c>
      <c r="H391" s="31"/>
      <c r="I391" s="31">
        <f t="shared" si="7"/>
        <v>358.89000000001397</v>
      </c>
      <c r="K391" t="s">
        <v>13</v>
      </c>
    </row>
    <row r="392" spans="2:11" ht="13" x14ac:dyDescent="0.15">
      <c r="B392" s="27" t="s">
        <v>580</v>
      </c>
      <c r="C392" s="27" t="s">
        <v>581</v>
      </c>
      <c r="D392" s="30"/>
      <c r="E392" s="30">
        <v>0.55000000000000004</v>
      </c>
      <c r="F392" s="30">
        <v>0.55000000000000004</v>
      </c>
      <c r="G392" s="30">
        <v>0</v>
      </c>
      <c r="H392" s="30"/>
      <c r="I392" s="30">
        <f t="shared" si="7"/>
        <v>0</v>
      </c>
      <c r="K392" t="s">
        <v>37</v>
      </c>
    </row>
    <row r="393" spans="2:11" ht="13" x14ac:dyDescent="0.15">
      <c r="B393" s="27" t="s">
        <v>582</v>
      </c>
      <c r="C393" s="27" t="s">
        <v>583</v>
      </c>
      <c r="D393" s="30"/>
      <c r="E393" s="30">
        <v>2510.91</v>
      </c>
      <c r="F393" s="30">
        <v>2510.91</v>
      </c>
      <c r="G393" s="30">
        <v>0</v>
      </c>
      <c r="H393" s="30"/>
      <c r="I393" s="30">
        <f t="shared" si="7"/>
        <v>0</v>
      </c>
      <c r="K393" t="s">
        <v>37</v>
      </c>
    </row>
    <row r="394" spans="2:11" ht="13" x14ac:dyDescent="0.15">
      <c r="B394" s="27" t="s">
        <v>584</v>
      </c>
      <c r="C394" s="27" t="s">
        <v>585</v>
      </c>
      <c r="D394" s="30"/>
      <c r="E394" s="30">
        <v>3100.43</v>
      </c>
      <c r="F394" s="30">
        <v>3100.43</v>
      </c>
      <c r="G394" s="30">
        <v>0</v>
      </c>
      <c r="H394" s="30"/>
      <c r="I394" s="30">
        <f t="shared" si="7"/>
        <v>0</v>
      </c>
      <c r="K394" t="s">
        <v>37</v>
      </c>
    </row>
    <row r="395" spans="2:11" ht="13" x14ac:dyDescent="0.15">
      <c r="B395" s="27" t="s">
        <v>586</v>
      </c>
      <c r="C395" s="27" t="s">
        <v>587</v>
      </c>
      <c r="D395" s="30"/>
      <c r="E395" s="30">
        <v>-54.05</v>
      </c>
      <c r="F395" s="30">
        <v>0</v>
      </c>
      <c r="G395" s="30">
        <v>54.05</v>
      </c>
      <c r="H395" s="30"/>
      <c r="I395" s="30">
        <f t="shared" si="7"/>
        <v>0</v>
      </c>
      <c r="K395" t="s">
        <v>37</v>
      </c>
    </row>
    <row r="396" spans="2:11" ht="13" x14ac:dyDescent="0.15">
      <c r="B396" s="27" t="s">
        <v>588</v>
      </c>
      <c r="C396" s="27" t="s">
        <v>589</v>
      </c>
      <c r="D396" s="30"/>
      <c r="E396" s="30">
        <v>0</v>
      </c>
      <c r="F396" s="30">
        <v>293558</v>
      </c>
      <c r="G396" s="30">
        <v>293916.89</v>
      </c>
      <c r="H396" s="30"/>
      <c r="I396" s="30">
        <f t="shared" si="7"/>
        <v>358.89000000001397</v>
      </c>
      <c r="K396" t="s">
        <v>37</v>
      </c>
    </row>
    <row r="397" spans="2:11" ht="13" x14ac:dyDescent="0.15">
      <c r="B397" s="29" t="s">
        <v>590</v>
      </c>
      <c r="C397" s="29" t="s">
        <v>591</v>
      </c>
      <c r="D397"/>
      <c r="E397" s="31">
        <f>SUMIFS(E398:E631,K398:K631,"0",B398:B631,"2 1 2*")-SUMIFS(D398:D631,K398:K631,"0",B398:B631,"2 1 2*")</f>
        <v>0</v>
      </c>
      <c r="F397" s="31">
        <f>SUMIFS(F398:F631,K398:K631,"0",B398:B631,"2 1 2*")</f>
        <v>0</v>
      </c>
      <c r="G397" s="31">
        <f>SUMIFS(G398:G631,K398:K631,"0",B398:B631,"2 1 2*")</f>
        <v>0</v>
      </c>
      <c r="H397" s="31"/>
      <c r="I397" s="31">
        <f t="shared" si="7"/>
        <v>0</v>
      </c>
      <c r="K397" t="s">
        <v>13</v>
      </c>
    </row>
    <row r="398" spans="2:11" ht="13" x14ac:dyDescent="0.15">
      <c r="B398" s="29" t="s">
        <v>592</v>
      </c>
      <c r="C398" s="29" t="s">
        <v>593</v>
      </c>
      <c r="D398"/>
      <c r="E398" s="31">
        <f>SUMIFS(E399:E631,K399:K631,"0",B399:B631,"2 1 3*")-SUMIFS(D399:D631,K399:K631,"0",B399:B631,"2 1 3*")</f>
        <v>0</v>
      </c>
      <c r="F398" s="31">
        <f>SUMIFS(F399:F631,K399:K631,"0",B399:B631,"2 1 3*")</f>
        <v>0</v>
      </c>
      <c r="G398" s="31">
        <f>SUMIFS(G399:G631,K399:K631,"0",B399:B631,"2 1 3*")</f>
        <v>0</v>
      </c>
      <c r="H398" s="31"/>
      <c r="I398" s="31">
        <f t="shared" si="7"/>
        <v>0</v>
      </c>
      <c r="K398" t="s">
        <v>13</v>
      </c>
    </row>
    <row r="399" spans="2:11" ht="13" x14ac:dyDescent="0.15">
      <c r="B399" s="29" t="s">
        <v>594</v>
      </c>
      <c r="C399" s="29" t="s">
        <v>595</v>
      </c>
      <c r="D399"/>
      <c r="E399" s="31">
        <f>SUMIFS(E400:E631,K400:K631,"0",B400:B631,"2 1 4*")-SUMIFS(D400:D631,K400:K631,"0",B400:B631,"2 1 4*")</f>
        <v>0</v>
      </c>
      <c r="F399" s="31">
        <f>SUMIFS(F400:F631,K400:K631,"0",B400:B631,"2 1 4*")</f>
        <v>0</v>
      </c>
      <c r="G399" s="31">
        <f>SUMIFS(G400:G631,K400:K631,"0",B400:B631,"2 1 4*")</f>
        <v>0</v>
      </c>
      <c r="H399" s="31"/>
      <c r="I399" s="31">
        <f t="shared" si="7"/>
        <v>0</v>
      </c>
      <c r="K399" t="s">
        <v>13</v>
      </c>
    </row>
    <row r="400" spans="2:11" ht="13" x14ac:dyDescent="0.15">
      <c r="B400" s="29" t="s">
        <v>596</v>
      </c>
      <c r="C400" s="29" t="s">
        <v>597</v>
      </c>
      <c r="D400"/>
      <c r="E400" s="31">
        <f>SUMIFS(E401:E631,K401:K631,"0",B401:B631,"2 1 5*")-SUMIFS(D401:D631,K401:K631,"0",B401:B631,"2 1 5*")</f>
        <v>0</v>
      </c>
      <c r="F400" s="31">
        <f>SUMIFS(F401:F631,K401:K631,"0",B401:B631,"2 1 5*")</f>
        <v>0</v>
      </c>
      <c r="G400" s="31">
        <f>SUMIFS(G401:G631,K401:K631,"0",B401:B631,"2 1 5*")</f>
        <v>0</v>
      </c>
      <c r="H400" s="31"/>
      <c r="I400" s="31">
        <f t="shared" si="7"/>
        <v>0</v>
      </c>
      <c r="K400" t="s">
        <v>13</v>
      </c>
    </row>
    <row r="401" spans="2:11" ht="13" x14ac:dyDescent="0.15">
      <c r="B401" s="29" t="s">
        <v>598</v>
      </c>
      <c r="C401" s="29" t="s">
        <v>599</v>
      </c>
      <c r="D401"/>
      <c r="E401" s="31">
        <f>SUMIFS(E402:E631,K402:K631,"0",B402:B631,"2 1 6*")-SUMIFS(D402:D631,K402:K631,"0",B402:B631,"2 1 6*")</f>
        <v>0</v>
      </c>
      <c r="F401" s="31">
        <f>SUMIFS(F402:F631,K402:K631,"0",B402:B631,"2 1 6*")</f>
        <v>0</v>
      </c>
      <c r="G401" s="31">
        <f>SUMIFS(G402:G631,K402:K631,"0",B402:B631,"2 1 6*")</f>
        <v>0</v>
      </c>
      <c r="H401" s="31"/>
      <c r="I401" s="31">
        <f t="shared" si="7"/>
        <v>0</v>
      </c>
      <c r="K401" t="s">
        <v>13</v>
      </c>
    </row>
    <row r="402" spans="2:11" ht="13" x14ac:dyDescent="0.15">
      <c r="B402" s="29" t="s">
        <v>600</v>
      </c>
      <c r="C402" s="29" t="s">
        <v>601</v>
      </c>
      <c r="D402"/>
      <c r="E402" s="31">
        <f>SUMIFS(E403:E631,K403:K631,"0",B403:B631,"2 1 7*")-SUMIFS(D403:D631,K403:K631,"0",B403:B631,"2 1 7*")</f>
        <v>0</v>
      </c>
      <c r="F402" s="31">
        <f>SUMIFS(F403:F631,K403:K631,"0",B403:B631,"2 1 7*")</f>
        <v>0</v>
      </c>
      <c r="G402" s="31">
        <f>SUMIFS(G403:G631,K403:K631,"0",B403:B631,"2 1 7*")</f>
        <v>0</v>
      </c>
      <c r="H402" s="31"/>
      <c r="I402" s="31">
        <f t="shared" si="7"/>
        <v>0</v>
      </c>
      <c r="K402" t="s">
        <v>13</v>
      </c>
    </row>
    <row r="403" spans="2:11" ht="13" x14ac:dyDescent="0.15">
      <c r="B403" s="29" t="s">
        <v>602</v>
      </c>
      <c r="C403" s="29" t="s">
        <v>603</v>
      </c>
      <c r="D403"/>
      <c r="E403" s="31">
        <f>SUMIFS(E404:E631,K404:K631,"0",B404:B631,"2 1 9*")-SUMIFS(D404:D631,K404:K631,"0",B404:B631,"2 1 9*")</f>
        <v>0</v>
      </c>
      <c r="F403" s="31">
        <f>SUMIFS(F404:F631,K404:K631,"0",B404:B631,"2 1 9*")</f>
        <v>0</v>
      </c>
      <c r="G403" s="31">
        <f>SUMIFS(G404:G631,K404:K631,"0",B404:B631,"2 1 9*")</f>
        <v>0</v>
      </c>
      <c r="H403" s="31"/>
      <c r="I403" s="31">
        <f t="shared" si="7"/>
        <v>0</v>
      </c>
      <c r="K403" t="s">
        <v>13</v>
      </c>
    </row>
    <row r="404" spans="2:11" ht="13" x14ac:dyDescent="0.15">
      <c r="B404" s="29" t="s">
        <v>604</v>
      </c>
      <c r="C404" s="29" t="s">
        <v>605</v>
      </c>
      <c r="D404"/>
      <c r="E404" s="31">
        <f>SUMIFS(E405:E631,K405:K631,"0",B405:B631,"2 2*")-SUMIFS(D405:D631,K405:K631,"0",B405:B631,"2 2*")</f>
        <v>0</v>
      </c>
      <c r="F404" s="31">
        <f>SUMIFS(F405:F631,K405:K631,"0",B405:B631,"2 2*")</f>
        <v>0</v>
      </c>
      <c r="G404" s="31">
        <f>SUMIFS(G405:G631,K405:K631,"0",B405:B631,"2 2*")</f>
        <v>0</v>
      </c>
      <c r="H404" s="31"/>
      <c r="I404" s="31">
        <f t="shared" si="7"/>
        <v>0</v>
      </c>
      <c r="K404" t="s">
        <v>13</v>
      </c>
    </row>
    <row r="405" spans="2:11" ht="13" x14ac:dyDescent="0.15">
      <c r="B405" s="29" t="s">
        <v>606</v>
      </c>
      <c r="C405" s="29" t="s">
        <v>607</v>
      </c>
      <c r="D405"/>
      <c r="E405" s="31">
        <f>SUMIFS(E406:E631,K406:K631,"0",B406:B631,"2 2 1*")-SUMIFS(D406:D631,K406:K631,"0",B406:B631,"2 2 1*")</f>
        <v>0</v>
      </c>
      <c r="F405" s="31">
        <f>SUMIFS(F406:F631,K406:K631,"0",B406:B631,"2 2 1*")</f>
        <v>0</v>
      </c>
      <c r="G405" s="31">
        <f>SUMIFS(G406:G631,K406:K631,"0",B406:B631,"2 2 1*")</f>
        <v>0</v>
      </c>
      <c r="H405" s="31"/>
      <c r="I405" s="31">
        <f t="shared" si="7"/>
        <v>0</v>
      </c>
      <c r="K405" t="s">
        <v>13</v>
      </c>
    </row>
    <row r="406" spans="2:11" ht="13" x14ac:dyDescent="0.15">
      <c r="B406" s="29" t="s">
        <v>608</v>
      </c>
      <c r="C406" s="29" t="s">
        <v>609</v>
      </c>
      <c r="D406"/>
      <c r="E406" s="31">
        <f>SUMIFS(E407:E631,K407:K631,"0",B407:B631,"2 2 2*")-SUMIFS(D407:D631,K407:K631,"0",B407:B631,"2 2 2*")</f>
        <v>0</v>
      </c>
      <c r="F406" s="31">
        <f>SUMIFS(F407:F631,K407:K631,"0",B407:B631,"2 2 2*")</f>
        <v>0</v>
      </c>
      <c r="G406" s="31">
        <f>SUMIFS(G407:G631,K407:K631,"0",B407:B631,"2 2 2*")</f>
        <v>0</v>
      </c>
      <c r="H406" s="31"/>
      <c r="I406" s="31">
        <f t="shared" si="7"/>
        <v>0</v>
      </c>
      <c r="K406" t="s">
        <v>13</v>
      </c>
    </row>
    <row r="407" spans="2:11" ht="13" x14ac:dyDescent="0.15">
      <c r="B407" s="29" t="s">
        <v>610</v>
      </c>
      <c r="C407" s="29" t="s">
        <v>611</v>
      </c>
      <c r="D407"/>
      <c r="E407" s="31">
        <f>SUMIFS(E408:E631,K408:K631,"0",B408:B631,"2 2 3*")-SUMIFS(D408:D631,K408:K631,"0",B408:B631,"2 2 3*")</f>
        <v>0</v>
      </c>
      <c r="F407" s="31">
        <f>SUMIFS(F408:F631,K408:K631,"0",B408:B631,"2 2 3*")</f>
        <v>0</v>
      </c>
      <c r="G407" s="31">
        <f>SUMIFS(G408:G631,K408:K631,"0",B408:B631,"2 2 3*")</f>
        <v>0</v>
      </c>
      <c r="H407" s="31"/>
      <c r="I407" s="31">
        <f t="shared" si="7"/>
        <v>0</v>
      </c>
      <c r="K407" t="s">
        <v>13</v>
      </c>
    </row>
    <row r="408" spans="2:11" ht="13" x14ac:dyDescent="0.15">
      <c r="B408" s="29" t="s">
        <v>612</v>
      </c>
      <c r="C408" s="29" t="s">
        <v>613</v>
      </c>
      <c r="D408"/>
      <c r="E408" s="31">
        <f>SUMIFS(E409:E631,K409:K631,"0",B409:B631,"2 2 4*")-SUMIFS(D409:D631,K409:K631,"0",B409:B631,"2 2 4*")</f>
        <v>0</v>
      </c>
      <c r="F408" s="31">
        <f>SUMIFS(F409:F631,K409:K631,"0",B409:B631,"2 2 4*")</f>
        <v>0</v>
      </c>
      <c r="G408" s="31">
        <f>SUMIFS(G409:G631,K409:K631,"0",B409:B631,"2 2 4*")</f>
        <v>0</v>
      </c>
      <c r="H408" s="31"/>
      <c r="I408" s="31">
        <f t="shared" si="7"/>
        <v>0</v>
      </c>
      <c r="K408" t="s">
        <v>13</v>
      </c>
    </row>
    <row r="409" spans="2:11" ht="13" x14ac:dyDescent="0.15">
      <c r="B409" s="29" t="s">
        <v>614</v>
      </c>
      <c r="C409" s="29" t="s">
        <v>615</v>
      </c>
      <c r="D409"/>
      <c r="E409" s="31">
        <f>SUMIFS(E410:E631,K410:K631,"0",B410:B631,"2 2 5*")-SUMIFS(D410:D631,K410:K631,"0",B410:B631,"2 2 5*")</f>
        <v>0</v>
      </c>
      <c r="F409" s="31">
        <f>SUMIFS(F410:F631,K410:K631,"0",B410:B631,"2 2 5*")</f>
        <v>0</v>
      </c>
      <c r="G409" s="31">
        <f>SUMIFS(G410:G631,K410:K631,"0",B410:B631,"2 2 5*")</f>
        <v>0</v>
      </c>
      <c r="H409" s="31"/>
      <c r="I409" s="31">
        <f t="shared" si="7"/>
        <v>0</v>
      </c>
      <c r="K409" t="s">
        <v>13</v>
      </c>
    </row>
    <row r="410" spans="2:11" ht="13" x14ac:dyDescent="0.15">
      <c r="B410" s="29" t="s">
        <v>616</v>
      </c>
      <c r="C410" s="29" t="s">
        <v>617</v>
      </c>
      <c r="D410"/>
      <c r="E410" s="31">
        <f>SUMIFS(E411:E631,K411:K631,"0",B411:B631,"2 2 6*")-SUMIFS(D411:D631,K411:K631,"0",B411:B631,"2 2 6*")</f>
        <v>0</v>
      </c>
      <c r="F410" s="31">
        <f>SUMIFS(F411:F631,K411:K631,"0",B411:B631,"2 2 6*")</f>
        <v>0</v>
      </c>
      <c r="G410" s="31">
        <f>SUMIFS(G411:G631,K411:K631,"0",B411:B631,"2 2 6*")</f>
        <v>0</v>
      </c>
      <c r="H410" s="31"/>
      <c r="I410" s="31">
        <f t="shared" si="7"/>
        <v>0</v>
      </c>
      <c r="K410" t="s">
        <v>13</v>
      </c>
    </row>
    <row r="411" spans="2:11" ht="13" x14ac:dyDescent="0.15">
      <c r="B411" s="29" t="s">
        <v>618</v>
      </c>
      <c r="C411" s="29" t="s">
        <v>619</v>
      </c>
      <c r="D411"/>
      <c r="E411" s="31">
        <f>SUMIFS(E412:E631,K412:K631,"0",B412:B631,"3*")-SUMIFS(D412:D631,K412:K631,"0",B412:B631,"3*")</f>
        <v>1650385.33</v>
      </c>
      <c r="F411" s="31">
        <f>SUMIFS(F412:F631,K412:K631,"0",B412:B631,"3*")</f>
        <v>482956.2</v>
      </c>
      <c r="G411" s="31">
        <f>SUMIFS(G412:G631,K412:K631,"0",B412:B631,"3*")</f>
        <v>32142.39</v>
      </c>
      <c r="H411" s="31"/>
      <c r="I411" s="31">
        <f t="shared" si="7"/>
        <v>1199571.52</v>
      </c>
      <c r="K411" t="s">
        <v>13</v>
      </c>
    </row>
    <row r="412" spans="2:11" ht="13" x14ac:dyDescent="0.15">
      <c r="B412" s="29" t="s">
        <v>620</v>
      </c>
      <c r="C412" s="29" t="s">
        <v>621</v>
      </c>
      <c r="D412"/>
      <c r="E412" s="31">
        <f>SUMIFS(E413:E631,K413:K631,"0",B413:B631,"3 1*")-SUMIFS(D413:D631,K413:K631,"0",B413:B631,"3 1*")</f>
        <v>1637059.87</v>
      </c>
      <c r="F412" s="31">
        <f>SUMIFS(F413:F631,K413:K631,"0",B413:B631,"3 1*")</f>
        <v>150000</v>
      </c>
      <c r="G412" s="31">
        <f>SUMIFS(G413:G631,K413:K631,"0",B413:B631,"3 1*")</f>
        <v>0</v>
      </c>
      <c r="H412" s="31"/>
      <c r="I412" s="31">
        <f t="shared" si="7"/>
        <v>1487059.87</v>
      </c>
      <c r="K412" t="s">
        <v>13</v>
      </c>
    </row>
    <row r="413" spans="2:11" ht="13" x14ac:dyDescent="0.15">
      <c r="B413" s="29" t="s">
        <v>622</v>
      </c>
      <c r="C413" s="29" t="s">
        <v>623</v>
      </c>
      <c r="D413"/>
      <c r="E413" s="31">
        <f>SUMIFS(E414:E631,K414:K631,"0",B414:B631,"3 1 1*")-SUMIFS(D414:D631,K414:K631,"0",B414:B631,"3 1 1*")</f>
        <v>1637059.87</v>
      </c>
      <c r="F413" s="31">
        <f>SUMIFS(F414:F631,K414:K631,"0",B414:B631,"3 1 1*")</f>
        <v>150000</v>
      </c>
      <c r="G413" s="31">
        <f>SUMIFS(G414:G631,K414:K631,"0",B414:B631,"3 1 1*")</f>
        <v>0</v>
      </c>
      <c r="H413" s="31"/>
      <c r="I413" s="31">
        <f t="shared" si="7"/>
        <v>1487059.87</v>
      </c>
      <c r="K413" t="s">
        <v>13</v>
      </c>
    </row>
    <row r="414" spans="2:11" ht="13" x14ac:dyDescent="0.15">
      <c r="B414" s="29" t="s">
        <v>624</v>
      </c>
      <c r="C414" s="29" t="s">
        <v>623</v>
      </c>
      <c r="D414"/>
      <c r="E414" s="31">
        <f>SUMIFS(E415:E631,K415:K631,"0",B415:B631,"3 1 1 1*")-SUMIFS(D415:D631,K415:K631,"0",B415:B631,"3 1 1 1*")</f>
        <v>1637059.87</v>
      </c>
      <c r="F414" s="31">
        <f>SUMIFS(F415:F631,K415:K631,"0",B415:B631,"3 1 1 1*")</f>
        <v>150000</v>
      </c>
      <c r="G414" s="31">
        <f>SUMIFS(G415:G631,K415:K631,"0",B415:B631,"3 1 1 1*")</f>
        <v>0</v>
      </c>
      <c r="H414" s="31"/>
      <c r="I414" s="31">
        <f t="shared" si="7"/>
        <v>1487059.87</v>
      </c>
      <c r="K414" t="s">
        <v>13</v>
      </c>
    </row>
    <row r="415" spans="2:11" ht="13" x14ac:dyDescent="0.15">
      <c r="B415" s="29" t="s">
        <v>625</v>
      </c>
      <c r="C415" s="29" t="s">
        <v>623</v>
      </c>
      <c r="D415"/>
      <c r="E415" s="31">
        <f>SUMIFS(E416:E631,K416:K631,"0",B416:B631,"3 1 1 1 1*")-SUMIFS(D416:D631,K416:K631,"0",B416:B631,"3 1 1 1 1*")</f>
        <v>1637059.87</v>
      </c>
      <c r="F415" s="31">
        <f>SUMIFS(F416:F631,K416:K631,"0",B416:B631,"3 1 1 1 1*")</f>
        <v>150000</v>
      </c>
      <c r="G415" s="31">
        <f>SUMIFS(G416:G631,K416:K631,"0",B416:B631,"3 1 1 1 1*")</f>
        <v>0</v>
      </c>
      <c r="H415" s="31"/>
      <c r="I415" s="31">
        <f t="shared" si="7"/>
        <v>1487059.87</v>
      </c>
      <c r="K415" t="s">
        <v>13</v>
      </c>
    </row>
    <row r="416" spans="2:11" ht="13" x14ac:dyDescent="0.15">
      <c r="B416" s="29" t="s">
        <v>626</v>
      </c>
      <c r="C416" s="29" t="s">
        <v>24</v>
      </c>
      <c r="D416"/>
      <c r="E416" s="31">
        <f>SUMIFS(E417:E631,K417:K631,"0",B417:B631,"3 1 1 1 1 12*")-SUMIFS(D417:D631,K417:K631,"0",B417:B631,"3 1 1 1 1 12*")</f>
        <v>1637059.87</v>
      </c>
      <c r="F416" s="31">
        <f>SUMIFS(F417:F631,K417:K631,"0",B417:B631,"3 1 1 1 1 12*")</f>
        <v>150000</v>
      </c>
      <c r="G416" s="31">
        <f>SUMIFS(G417:G631,K417:K631,"0",B417:B631,"3 1 1 1 1 12*")</f>
        <v>0</v>
      </c>
      <c r="H416" s="31"/>
      <c r="I416" s="31">
        <f t="shared" si="7"/>
        <v>1487059.87</v>
      </c>
      <c r="K416" t="s">
        <v>13</v>
      </c>
    </row>
    <row r="417" spans="2:11" ht="13" x14ac:dyDescent="0.15">
      <c r="B417" s="29" t="s">
        <v>627</v>
      </c>
      <c r="C417" s="29" t="s">
        <v>26</v>
      </c>
      <c r="D417"/>
      <c r="E417" s="31">
        <f>SUMIFS(E418:E631,K418:K631,"0",B418:B631,"3 1 1 1 1 12 31111*")-SUMIFS(D418:D631,K418:K631,"0",B418:B631,"3 1 1 1 1 12 31111*")</f>
        <v>1637059.87</v>
      </c>
      <c r="F417" s="31">
        <f>SUMIFS(F418:F631,K418:K631,"0",B418:B631,"3 1 1 1 1 12 31111*")</f>
        <v>150000</v>
      </c>
      <c r="G417" s="31">
        <f>SUMIFS(G418:G631,K418:K631,"0",B418:B631,"3 1 1 1 1 12 31111*")</f>
        <v>0</v>
      </c>
      <c r="H417" s="31"/>
      <c r="I417" s="31">
        <f t="shared" si="7"/>
        <v>1487059.87</v>
      </c>
      <c r="K417" t="s">
        <v>13</v>
      </c>
    </row>
    <row r="418" spans="2:11" ht="13" x14ac:dyDescent="0.15">
      <c r="B418" s="29" t="s">
        <v>628</v>
      </c>
      <c r="C418" s="29" t="s">
        <v>28</v>
      </c>
      <c r="D418"/>
      <c r="E418" s="31">
        <f>SUMIFS(E419:E631,K419:K631,"0",B419:B631,"3 1 1 1 1 12 31111 6*")-SUMIFS(D419:D631,K419:K631,"0",B419:B631,"3 1 1 1 1 12 31111 6*")</f>
        <v>1637059.87</v>
      </c>
      <c r="F418" s="31">
        <f>SUMIFS(F419:F631,K419:K631,"0",B419:B631,"3 1 1 1 1 12 31111 6*")</f>
        <v>150000</v>
      </c>
      <c r="G418" s="31">
        <f>SUMIFS(G419:G631,K419:K631,"0",B419:B631,"3 1 1 1 1 12 31111 6*")</f>
        <v>0</v>
      </c>
      <c r="H418" s="31"/>
      <c r="I418" s="31">
        <f t="shared" si="7"/>
        <v>1487059.87</v>
      </c>
      <c r="K418" t="s">
        <v>13</v>
      </c>
    </row>
    <row r="419" spans="2:11" ht="13" x14ac:dyDescent="0.15">
      <c r="B419" s="29" t="s">
        <v>629</v>
      </c>
      <c r="C419" s="29" t="s">
        <v>30</v>
      </c>
      <c r="D419"/>
      <c r="E419" s="31">
        <f>SUMIFS(E420:E631,K420:K631,"0",B420:B631,"3 1 1 1 1 12 31111 6 M78*")-SUMIFS(D420:D631,K420:K631,"0",B420:B631,"3 1 1 1 1 12 31111 6 M78*")</f>
        <v>1637059.87</v>
      </c>
      <c r="F419" s="31">
        <f>SUMIFS(F420:F631,K420:K631,"0",B420:B631,"3 1 1 1 1 12 31111 6 M78*")</f>
        <v>150000</v>
      </c>
      <c r="G419" s="31">
        <f>SUMIFS(G420:G631,K420:K631,"0",B420:B631,"3 1 1 1 1 12 31111 6 M78*")</f>
        <v>0</v>
      </c>
      <c r="H419" s="31"/>
      <c r="I419" s="31">
        <f t="shared" si="7"/>
        <v>1487059.87</v>
      </c>
      <c r="K419" t="s">
        <v>13</v>
      </c>
    </row>
    <row r="420" spans="2:11" ht="13" x14ac:dyDescent="0.15">
      <c r="B420" s="27" t="s">
        <v>630</v>
      </c>
      <c r="C420" s="27" t="s">
        <v>57</v>
      </c>
      <c r="D420" s="30"/>
      <c r="E420" s="30">
        <v>1637059.87</v>
      </c>
      <c r="F420" s="30">
        <v>150000</v>
      </c>
      <c r="G420" s="30">
        <v>0</v>
      </c>
      <c r="H420" s="30"/>
      <c r="I420" s="30">
        <f t="shared" ref="I420:I451" si="8">E420 - F420 + G420</f>
        <v>1487059.87</v>
      </c>
      <c r="K420" t="s">
        <v>37</v>
      </c>
    </row>
    <row r="421" spans="2:11" ht="13" x14ac:dyDescent="0.15">
      <c r="B421" s="29" t="s">
        <v>631</v>
      </c>
      <c r="C421" s="29" t="s">
        <v>632</v>
      </c>
      <c r="D421"/>
      <c r="E421" s="31">
        <f>SUMIFS(E422:E631,K422:K631,"0",B422:B631,"3 1 2*")-SUMIFS(D422:D631,K422:K631,"0",B422:B631,"3 1 2*")</f>
        <v>0</v>
      </c>
      <c r="F421" s="31">
        <f>SUMIFS(F422:F631,K422:K631,"0",B422:B631,"3 1 2*")</f>
        <v>0</v>
      </c>
      <c r="G421" s="31">
        <f>SUMIFS(G422:G631,K422:K631,"0",B422:B631,"3 1 2*")</f>
        <v>0</v>
      </c>
      <c r="H421" s="31"/>
      <c r="I421" s="31">
        <f t="shared" si="8"/>
        <v>0</v>
      </c>
      <c r="K421" t="s">
        <v>13</v>
      </c>
    </row>
    <row r="422" spans="2:11" ht="13" x14ac:dyDescent="0.15">
      <c r="B422" s="29" t="s">
        <v>633</v>
      </c>
      <c r="C422" s="29" t="s">
        <v>634</v>
      </c>
      <c r="D422"/>
      <c r="E422" s="31">
        <f>SUMIFS(E423:E631,K423:K631,"0",B423:B631,"3 1 3*")-SUMIFS(D423:D631,K423:K631,"0",B423:B631,"3 1 3*")</f>
        <v>0</v>
      </c>
      <c r="F422" s="31">
        <f>SUMIFS(F423:F631,K423:K631,"0",B423:B631,"3 1 3*")</f>
        <v>0</v>
      </c>
      <c r="G422" s="31">
        <f>SUMIFS(G423:G631,K423:K631,"0",B423:B631,"3 1 3*")</f>
        <v>0</v>
      </c>
      <c r="H422" s="31"/>
      <c r="I422" s="31">
        <f t="shared" si="8"/>
        <v>0</v>
      </c>
      <c r="K422" t="s">
        <v>13</v>
      </c>
    </row>
    <row r="423" spans="2:11" ht="13" x14ac:dyDescent="0.15">
      <c r="B423" s="29" t="s">
        <v>635</v>
      </c>
      <c r="C423" s="29" t="s">
        <v>636</v>
      </c>
      <c r="D423"/>
      <c r="E423" s="31">
        <f>SUMIFS(E424:E631,K424:K631,"0",B424:B631,"3 2*")-SUMIFS(D424:D631,K424:K631,"0",B424:B631,"3 2*")</f>
        <v>13325.46</v>
      </c>
      <c r="F423" s="31">
        <f>SUMIFS(F424:F631,K424:K631,"0",B424:B631,"3 2*")</f>
        <v>332956.2</v>
      </c>
      <c r="G423" s="31">
        <f>SUMIFS(G424:G631,K424:K631,"0",B424:B631,"3 2*")</f>
        <v>32142.39</v>
      </c>
      <c r="H423" s="31"/>
      <c r="I423" s="31">
        <f t="shared" si="8"/>
        <v>-287488.34999999998</v>
      </c>
      <c r="K423" t="s">
        <v>13</v>
      </c>
    </row>
    <row r="424" spans="2:11" ht="13" x14ac:dyDescent="0.15">
      <c r="B424" s="29" t="s">
        <v>637</v>
      </c>
      <c r="C424" s="29" t="s">
        <v>638</v>
      </c>
      <c r="D424"/>
      <c r="E424" s="31">
        <f>SUMIFS(E425:E631,K425:K631,"0",B425:B631,"3 2 1*")-SUMIFS(D425:D631,K425:K631,"0",B425:B631,"3 2 1*")</f>
        <v>0</v>
      </c>
      <c r="F424" s="31">
        <f>SUMIFS(F425:F631,K425:K631,"0",B425:B631,"3 2 1*")</f>
        <v>0</v>
      </c>
      <c r="G424" s="31">
        <f>SUMIFS(G425:G631,K425:K631,"0",B425:B631,"3 2 1*")</f>
        <v>0</v>
      </c>
      <c r="H424" s="31"/>
      <c r="I424" s="31">
        <f t="shared" si="8"/>
        <v>0</v>
      </c>
      <c r="K424" t="s">
        <v>13</v>
      </c>
    </row>
    <row r="425" spans="2:11" ht="13" x14ac:dyDescent="0.15">
      <c r="B425" s="29" t="s">
        <v>639</v>
      </c>
      <c r="C425" s="29" t="s">
        <v>640</v>
      </c>
      <c r="D425"/>
      <c r="E425" s="31">
        <f>SUMIFS(E426:E631,K426:K631,"0",B426:B631,"3 2 2*")-SUMIFS(D426:D631,K426:K631,"0",B426:B631,"3 2 2*")</f>
        <v>13325.46</v>
      </c>
      <c r="F425" s="31">
        <f>SUMIFS(F426:F631,K426:K631,"0",B426:B631,"3 2 2*")</f>
        <v>332956.2</v>
      </c>
      <c r="G425" s="31">
        <f>SUMIFS(G426:G631,K426:K631,"0",B426:B631,"3 2 2*")</f>
        <v>32142.39</v>
      </c>
      <c r="H425" s="31"/>
      <c r="I425" s="31">
        <f t="shared" si="8"/>
        <v>-287488.34999999998</v>
      </c>
      <c r="K425" t="s">
        <v>13</v>
      </c>
    </row>
    <row r="426" spans="2:11" ht="13" x14ac:dyDescent="0.15">
      <c r="B426" s="29" t="s">
        <v>641</v>
      </c>
      <c r="C426" s="29" t="s">
        <v>640</v>
      </c>
      <c r="D426"/>
      <c r="E426" s="31">
        <f>SUMIFS(E427:E631,K427:K631,"0",B427:B631,"3 2 2 1*")-SUMIFS(D427:D631,K427:K631,"0",B427:B631,"3 2 2 1*")</f>
        <v>13325.46</v>
      </c>
      <c r="F426" s="31">
        <f>SUMIFS(F427:F631,K427:K631,"0",B427:B631,"3 2 2 1*")</f>
        <v>332956.2</v>
      </c>
      <c r="G426" s="31">
        <f>SUMIFS(G427:G631,K427:K631,"0",B427:B631,"3 2 2 1*")</f>
        <v>32142.39</v>
      </c>
      <c r="H426" s="31"/>
      <c r="I426" s="31">
        <f t="shared" si="8"/>
        <v>-287488.34999999998</v>
      </c>
      <c r="K426" t="s">
        <v>13</v>
      </c>
    </row>
    <row r="427" spans="2:11" ht="13" x14ac:dyDescent="0.15">
      <c r="B427" s="29" t="s">
        <v>642</v>
      </c>
      <c r="C427" s="29" t="s">
        <v>643</v>
      </c>
      <c r="D427"/>
      <c r="E427" s="31">
        <f>SUMIFS(E428:E631,K428:K631,"0",B428:B631,"3 2 2 1 1*")-SUMIFS(D428:D631,K428:K631,"0",B428:B631,"3 2 2 1 1*")</f>
        <v>13325.46</v>
      </c>
      <c r="F427" s="31">
        <f>SUMIFS(F428:F631,K428:K631,"0",B428:B631,"3 2 2 1 1*")</f>
        <v>332956.2</v>
      </c>
      <c r="G427" s="31">
        <f>SUMIFS(G428:G631,K428:K631,"0",B428:B631,"3 2 2 1 1*")</f>
        <v>32142.39</v>
      </c>
      <c r="H427" s="31"/>
      <c r="I427" s="31">
        <f t="shared" si="8"/>
        <v>-287488.34999999998</v>
      </c>
      <c r="K427" t="s">
        <v>13</v>
      </c>
    </row>
    <row r="428" spans="2:11" ht="13" x14ac:dyDescent="0.15">
      <c r="B428" s="29" t="s">
        <v>644</v>
      </c>
      <c r="C428" s="29" t="s">
        <v>24</v>
      </c>
      <c r="D428"/>
      <c r="E428" s="31">
        <f>SUMIFS(E429:E631,K429:K631,"0",B429:B631,"3 2 2 1 1 12*")-SUMIFS(D429:D631,K429:K631,"0",B429:B631,"3 2 2 1 1 12*")</f>
        <v>13325.46</v>
      </c>
      <c r="F428" s="31">
        <f>SUMIFS(F429:F631,K429:K631,"0",B429:B631,"3 2 2 1 1 12*")</f>
        <v>332956.2</v>
      </c>
      <c r="G428" s="31">
        <f>SUMIFS(G429:G631,K429:K631,"0",B429:B631,"3 2 2 1 1 12*")</f>
        <v>32142.39</v>
      </c>
      <c r="H428" s="31"/>
      <c r="I428" s="31">
        <f t="shared" si="8"/>
        <v>-287488.34999999998</v>
      </c>
      <c r="K428" t="s">
        <v>13</v>
      </c>
    </row>
    <row r="429" spans="2:11" ht="13" x14ac:dyDescent="0.15">
      <c r="B429" s="29" t="s">
        <v>645</v>
      </c>
      <c r="C429" s="29" t="s">
        <v>26</v>
      </c>
      <c r="D429"/>
      <c r="E429" s="31">
        <f>SUMIFS(E430:E631,K430:K631,"0",B430:B631,"3 2 2 1 1 12 31111*")-SUMIFS(D430:D631,K430:K631,"0",B430:B631,"3 2 2 1 1 12 31111*")</f>
        <v>13325.46</v>
      </c>
      <c r="F429" s="31">
        <f>SUMIFS(F430:F631,K430:K631,"0",B430:B631,"3 2 2 1 1 12 31111*")</f>
        <v>332956.2</v>
      </c>
      <c r="G429" s="31">
        <f>SUMIFS(G430:G631,K430:K631,"0",B430:B631,"3 2 2 1 1 12 31111*")</f>
        <v>32142.39</v>
      </c>
      <c r="H429" s="31"/>
      <c r="I429" s="31">
        <f t="shared" si="8"/>
        <v>-287488.34999999998</v>
      </c>
      <c r="K429" t="s">
        <v>13</v>
      </c>
    </row>
    <row r="430" spans="2:11" ht="13" x14ac:dyDescent="0.15">
      <c r="B430" s="29" t="s">
        <v>646</v>
      </c>
      <c r="C430" s="29" t="s">
        <v>28</v>
      </c>
      <c r="D430"/>
      <c r="E430" s="31">
        <f>SUMIFS(E431:E631,K431:K631,"0",B431:B631,"3 2 2 1 1 12 31111 6*")-SUMIFS(D431:D631,K431:K631,"0",B431:B631,"3 2 2 1 1 12 31111 6*")</f>
        <v>13325.46</v>
      </c>
      <c r="F430" s="31">
        <f>SUMIFS(F431:F631,K431:K631,"0",B431:B631,"3 2 2 1 1 12 31111 6*")</f>
        <v>332956.2</v>
      </c>
      <c r="G430" s="31">
        <f>SUMIFS(G431:G631,K431:K631,"0",B431:B631,"3 2 2 1 1 12 31111 6*")</f>
        <v>32142.39</v>
      </c>
      <c r="H430" s="31"/>
      <c r="I430" s="31">
        <f t="shared" si="8"/>
        <v>-287488.34999999998</v>
      </c>
      <c r="K430" t="s">
        <v>13</v>
      </c>
    </row>
    <row r="431" spans="2:11" ht="13" x14ac:dyDescent="0.15">
      <c r="B431" s="29" t="s">
        <v>647</v>
      </c>
      <c r="C431" s="29" t="s">
        <v>30</v>
      </c>
      <c r="D431"/>
      <c r="E431" s="31">
        <f>SUMIFS(E432:E631,K432:K631,"0",B432:B631,"3 2 2 1 1 12 31111 6 M78*")-SUMIFS(D432:D631,K432:K631,"0",B432:B631,"3 2 2 1 1 12 31111 6 M78*")</f>
        <v>13325.46</v>
      </c>
      <c r="F431" s="31">
        <f>SUMIFS(F432:F631,K432:K631,"0",B432:B631,"3 2 2 1 1 12 31111 6 M78*")</f>
        <v>332956.2</v>
      </c>
      <c r="G431" s="31">
        <f>SUMIFS(G432:G631,K432:K631,"0",B432:B631,"3 2 2 1 1 12 31111 6 M78*")</f>
        <v>32142.39</v>
      </c>
      <c r="H431" s="31"/>
      <c r="I431" s="31">
        <f t="shared" si="8"/>
        <v>-287488.34999999998</v>
      </c>
      <c r="K431" t="s">
        <v>13</v>
      </c>
    </row>
    <row r="432" spans="2:11" ht="13" x14ac:dyDescent="0.15">
      <c r="B432" s="27" t="s">
        <v>648</v>
      </c>
      <c r="C432" s="27" t="s">
        <v>57</v>
      </c>
      <c r="D432" s="30"/>
      <c r="E432" s="30">
        <v>13325.46</v>
      </c>
      <c r="F432" s="30">
        <v>332956.2</v>
      </c>
      <c r="G432" s="30">
        <v>32142.39</v>
      </c>
      <c r="H432" s="30"/>
      <c r="I432" s="30">
        <f t="shared" si="8"/>
        <v>-287488.34999999998</v>
      </c>
      <c r="K432" t="s">
        <v>37</v>
      </c>
    </row>
    <row r="433" spans="2:11" ht="13" x14ac:dyDescent="0.15">
      <c r="B433" s="29" t="s">
        <v>649</v>
      </c>
      <c r="C433" s="29" t="s">
        <v>650</v>
      </c>
      <c r="D433"/>
      <c r="E433" s="31">
        <f>SUMIFS(E434:E631,K434:K631,"0",B434:B631,"3 2 3*")-SUMIFS(D434:D631,K434:K631,"0",B434:B631,"3 2 3*")</f>
        <v>0</v>
      </c>
      <c r="F433" s="31">
        <f>SUMIFS(F434:F631,K434:K631,"0",B434:B631,"3 2 3*")</f>
        <v>0</v>
      </c>
      <c r="G433" s="31">
        <f>SUMIFS(G434:G631,K434:K631,"0",B434:B631,"3 2 3*")</f>
        <v>0</v>
      </c>
      <c r="H433" s="31"/>
      <c r="I433" s="31">
        <f t="shared" si="8"/>
        <v>0</v>
      </c>
      <c r="K433" t="s">
        <v>13</v>
      </c>
    </row>
    <row r="434" spans="2:11" ht="13" x14ac:dyDescent="0.15">
      <c r="B434" s="29" t="s">
        <v>651</v>
      </c>
      <c r="C434" s="29" t="s">
        <v>652</v>
      </c>
      <c r="D434"/>
      <c r="E434" s="31">
        <f>SUMIFS(E435:E631,K435:K631,"0",B435:B631,"3 2 4*")-SUMIFS(D435:D631,K435:K631,"0",B435:B631,"3 2 4*")</f>
        <v>0</v>
      </c>
      <c r="F434" s="31">
        <f>SUMIFS(F435:F631,K435:K631,"0",B435:B631,"3 2 4*")</f>
        <v>0</v>
      </c>
      <c r="G434" s="31">
        <f>SUMIFS(G435:G631,K435:K631,"0",B435:B631,"3 2 4*")</f>
        <v>0</v>
      </c>
      <c r="H434" s="31"/>
      <c r="I434" s="31">
        <f t="shared" si="8"/>
        <v>0</v>
      </c>
      <c r="K434" t="s">
        <v>13</v>
      </c>
    </row>
    <row r="435" spans="2:11" ht="13" x14ac:dyDescent="0.15">
      <c r="B435" s="29" t="s">
        <v>653</v>
      </c>
      <c r="C435" s="29" t="s">
        <v>654</v>
      </c>
      <c r="D435"/>
      <c r="E435" s="31">
        <f>SUMIFS(E436:E631,K436:K631,"0",B436:B631,"3 2 5*")-SUMIFS(D436:D631,K436:K631,"0",B436:B631,"3 2 5*")</f>
        <v>0</v>
      </c>
      <c r="F435" s="31">
        <f>SUMIFS(F436:F631,K436:K631,"0",B436:B631,"3 2 5*")</f>
        <v>0</v>
      </c>
      <c r="G435" s="31">
        <f>SUMIFS(G436:G631,K436:K631,"0",B436:B631,"3 2 5*")</f>
        <v>0</v>
      </c>
      <c r="H435" s="31"/>
      <c r="I435" s="31">
        <f t="shared" si="8"/>
        <v>0</v>
      </c>
      <c r="K435" t="s">
        <v>13</v>
      </c>
    </row>
    <row r="436" spans="2:11" ht="13" x14ac:dyDescent="0.15">
      <c r="B436" s="29" t="s">
        <v>655</v>
      </c>
      <c r="C436" s="29" t="s">
        <v>656</v>
      </c>
      <c r="D436"/>
      <c r="E436" s="31">
        <f>SUMIFS(E437:E631,K437:K631,"0",B437:B631,"3 3*")-SUMIFS(D437:D631,K437:K631,"0",B437:B631,"3 3*")</f>
        <v>0</v>
      </c>
      <c r="F436" s="31">
        <f>SUMIFS(F437:F631,K437:K631,"0",B437:B631,"3 3*")</f>
        <v>0</v>
      </c>
      <c r="G436" s="31">
        <f>SUMIFS(G437:G631,K437:K631,"0",B437:B631,"3 3*")</f>
        <v>0</v>
      </c>
      <c r="H436" s="31"/>
      <c r="I436" s="31">
        <f t="shared" si="8"/>
        <v>0</v>
      </c>
      <c r="K436" t="s">
        <v>13</v>
      </c>
    </row>
    <row r="437" spans="2:11" ht="13" x14ac:dyDescent="0.15">
      <c r="B437" s="29" t="s">
        <v>657</v>
      </c>
      <c r="C437" s="29" t="s">
        <v>658</v>
      </c>
      <c r="D437"/>
      <c r="E437" s="31">
        <f>SUMIFS(E438:E631,K438:K631,"0",B438:B631,"3 3 1*")-SUMIFS(D438:D631,K438:K631,"0",B438:B631,"3 3 1*")</f>
        <v>0</v>
      </c>
      <c r="F437" s="31">
        <f>SUMIFS(F438:F631,K438:K631,"0",B438:B631,"3 3 1*")</f>
        <v>0</v>
      </c>
      <c r="G437" s="31">
        <f>SUMIFS(G438:G631,K438:K631,"0",B438:B631,"3 3 1*")</f>
        <v>0</v>
      </c>
      <c r="H437" s="31"/>
      <c r="I437" s="31">
        <f t="shared" si="8"/>
        <v>0</v>
      </c>
      <c r="K437" t="s">
        <v>13</v>
      </c>
    </row>
    <row r="438" spans="2:11" ht="13" x14ac:dyDescent="0.15">
      <c r="B438" s="29" t="s">
        <v>659</v>
      </c>
      <c r="C438" s="29" t="s">
        <v>660</v>
      </c>
      <c r="D438"/>
      <c r="E438" s="31">
        <f>SUMIFS(E439:E631,K439:K631,"0",B439:B631,"3 3 2*")-SUMIFS(D439:D631,K439:K631,"0",B439:B631,"3 3 2*")</f>
        <v>0</v>
      </c>
      <c r="F438" s="31">
        <f>SUMIFS(F439:F631,K439:K631,"0",B439:B631,"3 3 2*")</f>
        <v>0</v>
      </c>
      <c r="G438" s="31">
        <f>SUMIFS(G439:G631,K439:K631,"0",B439:B631,"3 3 2*")</f>
        <v>0</v>
      </c>
      <c r="H438" s="31"/>
      <c r="I438" s="31">
        <f t="shared" si="8"/>
        <v>0</v>
      </c>
      <c r="K438" t="s">
        <v>13</v>
      </c>
    </row>
    <row r="439" spans="2:11" ht="13" x14ac:dyDescent="0.15">
      <c r="B439" s="29" t="s">
        <v>661</v>
      </c>
      <c r="C439" s="29" t="s">
        <v>662</v>
      </c>
      <c r="D439"/>
      <c r="E439" s="31">
        <f>SUMIFS(E440:E631,K440:K631,"0",B440:B631,"4*")-SUMIFS(D440:D631,K440:K631,"0",B440:B631,"4*")</f>
        <v>0</v>
      </c>
      <c r="F439" s="31">
        <f>SUMIFS(F440:F631,K440:K631,"0",B440:B631,"4*")</f>
        <v>0</v>
      </c>
      <c r="G439" s="31">
        <f>SUMIFS(G440:G631,K440:K631,"0",B440:B631,"4*")</f>
        <v>70274945.269999996</v>
      </c>
      <c r="H439" s="31"/>
      <c r="I439" s="31">
        <f t="shared" si="8"/>
        <v>70274945.269999996</v>
      </c>
      <c r="K439" t="s">
        <v>13</v>
      </c>
    </row>
    <row r="440" spans="2:11" ht="13" x14ac:dyDescent="0.15">
      <c r="B440" s="29" t="s">
        <v>663</v>
      </c>
      <c r="C440" s="29" t="s">
        <v>664</v>
      </c>
      <c r="D440"/>
      <c r="E440" s="31">
        <f>SUMIFS(E441:E631,K441:K631,"0",B441:B631,"4 1*")-SUMIFS(D441:D631,K441:K631,"0",B441:B631,"4 1*")</f>
        <v>0</v>
      </c>
      <c r="F440" s="31">
        <f>SUMIFS(F441:F631,K441:K631,"0",B441:B631,"4 1*")</f>
        <v>0</v>
      </c>
      <c r="G440" s="31">
        <f>SUMIFS(G441:G631,K441:K631,"0",B441:B631,"4 1*")</f>
        <v>526283.67000000004</v>
      </c>
      <c r="H440" s="31"/>
      <c r="I440" s="31">
        <f t="shared" si="8"/>
        <v>526283.67000000004</v>
      </c>
      <c r="K440" t="s">
        <v>13</v>
      </c>
    </row>
    <row r="441" spans="2:11" ht="13" x14ac:dyDescent="0.15">
      <c r="B441" s="29" t="s">
        <v>665</v>
      </c>
      <c r="C441" s="29" t="s">
        <v>666</v>
      </c>
      <c r="D441"/>
      <c r="E441" s="31">
        <f>SUMIFS(E442:E631,K442:K631,"0",B442:B631,"4 1 1*")-SUMIFS(D442:D631,K442:K631,"0",B442:B631,"4 1 1*")</f>
        <v>0</v>
      </c>
      <c r="F441" s="31">
        <f>SUMIFS(F442:F631,K442:K631,"0",B442:B631,"4 1 1*")</f>
        <v>0</v>
      </c>
      <c r="G441" s="31">
        <f>SUMIFS(G442:G631,K442:K631,"0",B442:B631,"4 1 1*")</f>
        <v>0</v>
      </c>
      <c r="H441" s="31"/>
      <c r="I441" s="31">
        <f t="shared" si="8"/>
        <v>0</v>
      </c>
      <c r="K441" t="s">
        <v>13</v>
      </c>
    </row>
    <row r="442" spans="2:11" ht="13" x14ac:dyDescent="0.15">
      <c r="B442" s="29" t="s">
        <v>667</v>
      </c>
      <c r="C442" s="29" t="s">
        <v>668</v>
      </c>
      <c r="D442"/>
      <c r="E442" s="31">
        <f>SUMIFS(E443:E631,K443:K631,"0",B443:B631,"4 1 2*")-SUMIFS(D443:D631,K443:K631,"0",B443:B631,"4 1 2*")</f>
        <v>0</v>
      </c>
      <c r="F442" s="31">
        <f>SUMIFS(F443:F631,K443:K631,"0",B443:B631,"4 1 2*")</f>
        <v>0</v>
      </c>
      <c r="G442" s="31">
        <f>SUMIFS(G443:G631,K443:K631,"0",B443:B631,"4 1 2*")</f>
        <v>0</v>
      </c>
      <c r="H442" s="31"/>
      <c r="I442" s="31">
        <f t="shared" si="8"/>
        <v>0</v>
      </c>
      <c r="K442" t="s">
        <v>13</v>
      </c>
    </row>
    <row r="443" spans="2:11" ht="13" x14ac:dyDescent="0.15">
      <c r="B443" s="29" t="s">
        <v>669</v>
      </c>
      <c r="C443" s="29" t="s">
        <v>670</v>
      </c>
      <c r="D443"/>
      <c r="E443" s="31">
        <f>SUMIFS(E444:E631,K444:K631,"0",B444:B631,"4 1 3*")-SUMIFS(D444:D631,K444:K631,"0",B444:B631,"4 1 3*")</f>
        <v>0</v>
      </c>
      <c r="F443" s="31">
        <f>SUMIFS(F444:F631,K444:K631,"0",B444:B631,"4 1 3*")</f>
        <v>0</v>
      </c>
      <c r="G443" s="31">
        <f>SUMIFS(G444:G631,K444:K631,"0",B444:B631,"4 1 3*")</f>
        <v>0</v>
      </c>
      <c r="H443" s="31"/>
      <c r="I443" s="31">
        <f t="shared" si="8"/>
        <v>0</v>
      </c>
      <c r="K443" t="s">
        <v>13</v>
      </c>
    </row>
    <row r="444" spans="2:11" ht="13" x14ac:dyDescent="0.15">
      <c r="B444" s="29" t="s">
        <v>671</v>
      </c>
      <c r="C444" s="29" t="s">
        <v>672</v>
      </c>
      <c r="D444"/>
      <c r="E444" s="31">
        <f>SUMIFS(E445:E631,K445:K631,"0",B445:B631,"4 1 4*")-SUMIFS(D445:D631,K445:K631,"0",B445:B631,"4 1 4*")</f>
        <v>0</v>
      </c>
      <c r="F444" s="31">
        <f>SUMIFS(F445:F631,K445:K631,"0",B445:B631,"4 1 4*")</f>
        <v>0</v>
      </c>
      <c r="G444" s="31">
        <f>SUMIFS(G445:G631,K445:K631,"0",B445:B631,"4 1 4*")</f>
        <v>0</v>
      </c>
      <c r="H444" s="31"/>
      <c r="I444" s="31">
        <f t="shared" si="8"/>
        <v>0</v>
      </c>
      <c r="K444" t="s">
        <v>13</v>
      </c>
    </row>
    <row r="445" spans="2:11" ht="13" x14ac:dyDescent="0.15">
      <c r="B445" s="29" t="s">
        <v>673</v>
      </c>
      <c r="C445" s="29" t="s">
        <v>674</v>
      </c>
      <c r="D445"/>
      <c r="E445" s="31">
        <f>SUMIFS(E446:E631,K446:K631,"0",B446:B631,"4 1 5*")-SUMIFS(D446:D631,K446:K631,"0",B446:B631,"4 1 5*")</f>
        <v>0</v>
      </c>
      <c r="F445" s="31">
        <f>SUMIFS(F446:F631,K446:K631,"0",B446:B631,"4 1 5*")</f>
        <v>0</v>
      </c>
      <c r="G445" s="31">
        <f>SUMIFS(G446:G631,K446:K631,"0",B446:B631,"4 1 5*")</f>
        <v>526283.67000000004</v>
      </c>
      <c r="H445" s="31"/>
      <c r="I445" s="31">
        <f t="shared" si="8"/>
        <v>526283.67000000004</v>
      </c>
      <c r="K445" t="s">
        <v>13</v>
      </c>
    </row>
    <row r="446" spans="2:11" ht="13" x14ac:dyDescent="0.15">
      <c r="B446" s="29" t="s">
        <v>675</v>
      </c>
      <c r="C446" s="29" t="s">
        <v>674</v>
      </c>
      <c r="D446"/>
      <c r="E446" s="31">
        <f>SUMIFS(E447:E631,K447:K631,"0",B447:B631,"4 1 5 1*")-SUMIFS(D447:D631,K447:K631,"0",B447:B631,"4 1 5 1*")</f>
        <v>0</v>
      </c>
      <c r="F446" s="31">
        <f>SUMIFS(F447:F631,K447:K631,"0",B447:B631,"4 1 5 1*")</f>
        <v>0</v>
      </c>
      <c r="G446" s="31">
        <f>SUMIFS(G447:G631,K447:K631,"0",B447:B631,"4 1 5 1*")</f>
        <v>526283.67000000004</v>
      </c>
      <c r="H446" s="31"/>
      <c r="I446" s="31">
        <f t="shared" si="8"/>
        <v>526283.67000000004</v>
      </c>
      <c r="K446" t="s">
        <v>13</v>
      </c>
    </row>
    <row r="447" spans="2:11" ht="22" x14ac:dyDescent="0.15">
      <c r="B447" s="29" t="s">
        <v>676</v>
      </c>
      <c r="C447" s="29" t="s">
        <v>677</v>
      </c>
      <c r="D447"/>
      <c r="E447" s="31">
        <f>SUMIFS(E448:E631,K448:K631,"0",B448:B631,"4 1 5 1 1*")-SUMIFS(D448:D631,K448:K631,"0",B448:B631,"4 1 5 1 1*")</f>
        <v>0</v>
      </c>
      <c r="F447" s="31">
        <f>SUMIFS(F448:F631,K448:K631,"0",B448:B631,"4 1 5 1 1*")</f>
        <v>0</v>
      </c>
      <c r="G447" s="31">
        <f>SUMIFS(G448:G631,K448:K631,"0",B448:B631,"4 1 5 1 1*")</f>
        <v>526283.67000000004</v>
      </c>
      <c r="H447" s="31"/>
      <c r="I447" s="31">
        <f t="shared" si="8"/>
        <v>526283.67000000004</v>
      </c>
      <c r="K447" t="s">
        <v>13</v>
      </c>
    </row>
    <row r="448" spans="2:11" ht="13" x14ac:dyDescent="0.15">
      <c r="B448" s="29" t="s">
        <v>678</v>
      </c>
      <c r="C448" s="29" t="s">
        <v>24</v>
      </c>
      <c r="D448"/>
      <c r="E448" s="31">
        <f>SUMIFS(E449:E631,K449:K631,"0",B449:B631,"4 1 5 1 1 12*")-SUMIFS(D449:D631,K449:K631,"0",B449:B631,"4 1 5 1 1 12*")</f>
        <v>0</v>
      </c>
      <c r="F448" s="31">
        <f>SUMIFS(F449:F631,K449:K631,"0",B449:B631,"4 1 5 1 1 12*")</f>
        <v>0</v>
      </c>
      <c r="G448" s="31">
        <f>SUMIFS(G449:G631,K449:K631,"0",B449:B631,"4 1 5 1 1 12*")</f>
        <v>526283.67000000004</v>
      </c>
      <c r="H448" s="31"/>
      <c r="I448" s="31">
        <f t="shared" si="8"/>
        <v>526283.67000000004</v>
      </c>
      <c r="K448" t="s">
        <v>13</v>
      </c>
    </row>
    <row r="449" spans="2:11" ht="13" x14ac:dyDescent="0.15">
      <c r="B449" s="29" t="s">
        <v>679</v>
      </c>
      <c r="C449" s="29" t="s">
        <v>26</v>
      </c>
      <c r="D449"/>
      <c r="E449" s="31">
        <f>SUMIFS(E450:E631,K450:K631,"0",B450:B631,"4 1 5 1 1 12 31111*")-SUMIFS(D450:D631,K450:K631,"0",B450:B631,"4 1 5 1 1 12 31111*")</f>
        <v>0</v>
      </c>
      <c r="F449" s="31">
        <f>SUMIFS(F450:F631,K450:K631,"0",B450:B631,"4 1 5 1 1 12 31111*")</f>
        <v>0</v>
      </c>
      <c r="G449" s="31">
        <f>SUMIFS(G450:G631,K450:K631,"0",B450:B631,"4 1 5 1 1 12 31111*")</f>
        <v>526283.67000000004</v>
      </c>
      <c r="H449" s="31"/>
      <c r="I449" s="31">
        <f t="shared" si="8"/>
        <v>526283.67000000004</v>
      </c>
      <c r="K449" t="s">
        <v>13</v>
      </c>
    </row>
    <row r="450" spans="2:11" ht="13" x14ac:dyDescent="0.15">
      <c r="B450" s="29" t="s">
        <v>680</v>
      </c>
      <c r="C450" s="29" t="s">
        <v>28</v>
      </c>
      <c r="D450"/>
      <c r="E450" s="31">
        <f>SUMIFS(E451:E631,K451:K631,"0",B451:B631,"4 1 5 1 1 12 31111 6*")-SUMIFS(D451:D631,K451:K631,"0",B451:B631,"4 1 5 1 1 12 31111 6*")</f>
        <v>0</v>
      </c>
      <c r="F450" s="31">
        <f>SUMIFS(F451:F631,K451:K631,"0",B451:B631,"4 1 5 1 1 12 31111 6*")</f>
        <v>0</v>
      </c>
      <c r="G450" s="31">
        <f>SUMIFS(G451:G631,K451:K631,"0",B451:B631,"4 1 5 1 1 12 31111 6*")</f>
        <v>526283.67000000004</v>
      </c>
      <c r="H450" s="31"/>
      <c r="I450" s="31">
        <f t="shared" si="8"/>
        <v>526283.67000000004</v>
      </c>
      <c r="K450" t="s">
        <v>13</v>
      </c>
    </row>
    <row r="451" spans="2:11" ht="13" x14ac:dyDescent="0.15">
      <c r="B451" s="29" t="s">
        <v>681</v>
      </c>
      <c r="C451" s="29" t="s">
        <v>122</v>
      </c>
      <c r="D451"/>
      <c r="E451" s="31">
        <f>SUMIFS(E452:E631,K452:K631,"0",B452:B631,"4 1 5 1 1 12 31111 6 M78*")-SUMIFS(D452:D631,K452:K631,"0",B452:B631,"4 1 5 1 1 12 31111 6 M78*")</f>
        <v>0</v>
      </c>
      <c r="F451" s="31">
        <f>SUMIFS(F452:F631,K452:K631,"0",B452:B631,"4 1 5 1 1 12 31111 6 M78*")</f>
        <v>0</v>
      </c>
      <c r="G451" s="31">
        <f>SUMIFS(G452:G631,K452:K631,"0",B452:B631,"4 1 5 1 1 12 31111 6 M78*")</f>
        <v>526283.67000000004</v>
      </c>
      <c r="H451" s="31"/>
      <c r="I451" s="31">
        <f t="shared" si="8"/>
        <v>526283.67000000004</v>
      </c>
      <c r="K451" t="s">
        <v>13</v>
      </c>
    </row>
    <row r="452" spans="2:11" ht="13" x14ac:dyDescent="0.15">
      <c r="B452" s="29" t="s">
        <v>682</v>
      </c>
      <c r="C452" s="29" t="s">
        <v>124</v>
      </c>
      <c r="D452"/>
      <c r="E452" s="31">
        <f>SUMIFS(E453:E631,K453:K631,"0",B453:B631,"4 1 5 1 1 12 31111 6 M78 10000*")-SUMIFS(D453:D631,K453:K631,"0",B453:B631,"4 1 5 1 1 12 31111 6 M78 10000*")</f>
        <v>0</v>
      </c>
      <c r="F452" s="31">
        <f>SUMIFS(F453:F631,K453:K631,"0",B453:B631,"4 1 5 1 1 12 31111 6 M78 10000*")</f>
        <v>0</v>
      </c>
      <c r="G452" s="31">
        <f>SUMIFS(G453:G631,K453:K631,"0",B453:B631,"4 1 5 1 1 12 31111 6 M78 10000*")</f>
        <v>526283.67000000004</v>
      </c>
      <c r="H452" s="31"/>
      <c r="I452" s="31">
        <f t="shared" ref="I452:I483" si="9">E452 - F452 + G452</f>
        <v>526283.67000000004</v>
      </c>
      <c r="K452" t="s">
        <v>13</v>
      </c>
    </row>
    <row r="453" spans="2:11" ht="13" x14ac:dyDescent="0.15">
      <c r="B453" s="29" t="s">
        <v>683</v>
      </c>
      <c r="C453" s="29" t="s">
        <v>126</v>
      </c>
      <c r="D453"/>
      <c r="E453" s="31">
        <f>SUMIFS(E454:E631,K454:K631,"0",B454:B631,"4 1 5 1 1 12 31111 6 M78 10000 222*")-SUMIFS(D454:D631,K454:K631,"0",B454:B631,"4 1 5 1 1 12 31111 6 M78 10000 222*")</f>
        <v>0</v>
      </c>
      <c r="F453" s="31">
        <f>SUMIFS(F454:F631,K454:K631,"0",B454:B631,"4 1 5 1 1 12 31111 6 M78 10000 222*")</f>
        <v>0</v>
      </c>
      <c r="G453" s="31">
        <f>SUMIFS(G454:G631,K454:K631,"0",B454:B631,"4 1 5 1 1 12 31111 6 M78 10000 222*")</f>
        <v>526283.67000000004</v>
      </c>
      <c r="H453" s="31"/>
      <c r="I453" s="31">
        <f t="shared" si="9"/>
        <v>526283.67000000004</v>
      </c>
      <c r="K453" t="s">
        <v>13</v>
      </c>
    </row>
    <row r="454" spans="2:11" ht="13" x14ac:dyDescent="0.15">
      <c r="B454" s="29" t="s">
        <v>684</v>
      </c>
      <c r="C454" s="29" t="s">
        <v>128</v>
      </c>
      <c r="D454"/>
      <c r="E454" s="31">
        <f>SUMIFS(E455:E631,K455:K631,"0",B455:B631,"4 1 5 1 1 12 31111 6 M78 10000 222 00I*")-SUMIFS(D455:D631,K455:K631,"0",B455:B631,"4 1 5 1 1 12 31111 6 M78 10000 222 00I*")</f>
        <v>0</v>
      </c>
      <c r="F454" s="31">
        <f>SUMIFS(F455:F631,K455:K631,"0",B455:B631,"4 1 5 1 1 12 31111 6 M78 10000 222 00I*")</f>
        <v>0</v>
      </c>
      <c r="G454" s="31">
        <f>SUMIFS(G455:G631,K455:K631,"0",B455:B631,"4 1 5 1 1 12 31111 6 M78 10000 222 00I*")</f>
        <v>526283.67000000004</v>
      </c>
      <c r="H454" s="31"/>
      <c r="I454" s="31">
        <f t="shared" si="9"/>
        <v>526283.67000000004</v>
      </c>
      <c r="K454" t="s">
        <v>13</v>
      </c>
    </row>
    <row r="455" spans="2:11" ht="13" x14ac:dyDescent="0.15">
      <c r="B455" s="29" t="s">
        <v>685</v>
      </c>
      <c r="C455" s="29" t="s">
        <v>686</v>
      </c>
      <c r="D455"/>
      <c r="E455" s="31">
        <f>SUMIFS(E456:E631,K456:K631,"0",B456:B631,"4 1 5 1 1 12 31111 6 M78 10000 222 00I 001*")-SUMIFS(D456:D631,K456:K631,"0",B456:B631,"4 1 5 1 1 12 31111 6 M78 10000 222 00I 001*")</f>
        <v>0</v>
      </c>
      <c r="F455" s="31">
        <f>SUMIFS(F456:F631,K456:K631,"0",B456:B631,"4 1 5 1 1 12 31111 6 M78 10000 222 00I 001*")</f>
        <v>0</v>
      </c>
      <c r="G455" s="31">
        <f>SUMIFS(G456:G631,K456:K631,"0",B456:B631,"4 1 5 1 1 12 31111 6 M78 10000 222 00I 001*")</f>
        <v>526283.67000000004</v>
      </c>
      <c r="H455" s="31"/>
      <c r="I455" s="31">
        <f t="shared" si="9"/>
        <v>526283.67000000004</v>
      </c>
      <c r="K455" t="s">
        <v>13</v>
      </c>
    </row>
    <row r="456" spans="2:11" ht="13" x14ac:dyDescent="0.15">
      <c r="B456" s="29" t="s">
        <v>687</v>
      </c>
      <c r="C456" s="29" t="s">
        <v>674</v>
      </c>
      <c r="D456"/>
      <c r="E456" s="31">
        <f>SUMIFS(E457:E631,K457:K631,"0",B457:B631,"4 1 5 1 1 12 31111 6 M78 10000 222 00I 001 00051*")-SUMIFS(D457:D631,K457:K631,"0",B457:B631,"4 1 5 1 1 12 31111 6 M78 10000 222 00I 001 00051*")</f>
        <v>0</v>
      </c>
      <c r="F456" s="31">
        <f>SUMIFS(F457:F631,K457:K631,"0",B457:B631,"4 1 5 1 1 12 31111 6 M78 10000 222 00I 001 00051*")</f>
        <v>0</v>
      </c>
      <c r="G456" s="31">
        <f>SUMIFS(G457:G631,K457:K631,"0",B457:B631,"4 1 5 1 1 12 31111 6 M78 10000 222 00I 001 00051*")</f>
        <v>526283.67000000004</v>
      </c>
      <c r="H456" s="31"/>
      <c r="I456" s="31">
        <f t="shared" si="9"/>
        <v>526283.67000000004</v>
      </c>
      <c r="K456" t="s">
        <v>13</v>
      </c>
    </row>
    <row r="457" spans="2:11" ht="13" x14ac:dyDescent="0.15">
      <c r="B457" s="29" t="s">
        <v>688</v>
      </c>
      <c r="C457" s="29" t="s">
        <v>134</v>
      </c>
      <c r="D457"/>
      <c r="E457" s="31">
        <f>SUMIFS(E458:E631,K458:K631,"0",B458:B631,"4 1 5 1 1 12 31111 6 M78 10000 222 00I 001 00051 025*")-SUMIFS(D458:D631,K458:K631,"0",B458:B631,"4 1 5 1 1 12 31111 6 M78 10000 222 00I 001 00051 025*")</f>
        <v>0</v>
      </c>
      <c r="F457" s="31">
        <f>SUMIFS(F458:F631,K458:K631,"0",B458:B631,"4 1 5 1 1 12 31111 6 M78 10000 222 00I 001 00051 025*")</f>
        <v>0</v>
      </c>
      <c r="G457" s="31">
        <f>SUMIFS(G458:G631,K458:K631,"0",B458:B631,"4 1 5 1 1 12 31111 6 M78 10000 222 00I 001 00051 025*")</f>
        <v>526283.67000000004</v>
      </c>
      <c r="H457" s="31"/>
      <c r="I457" s="31">
        <f t="shared" si="9"/>
        <v>526283.67000000004</v>
      </c>
      <c r="K457" t="s">
        <v>13</v>
      </c>
    </row>
    <row r="458" spans="2:11" ht="22" x14ac:dyDescent="0.15">
      <c r="B458" s="29" t="s">
        <v>689</v>
      </c>
      <c r="C458" s="29" t="s">
        <v>690</v>
      </c>
      <c r="D458"/>
      <c r="E458" s="31">
        <f>SUMIFS(E459:E631,K459:K631,"0",B459:B631,"4 1 5 1 1 12 31111 6 M78 10000 222 00I 001 00051 025 1151100*")-SUMIFS(D459:D631,K459:K631,"0",B459:B631,"4 1 5 1 1 12 31111 6 M78 10000 222 00I 001 00051 025 1151100*")</f>
        <v>0</v>
      </c>
      <c r="F458" s="31">
        <f>SUMIFS(F459:F631,K459:K631,"0",B459:B631,"4 1 5 1 1 12 31111 6 M78 10000 222 00I 001 00051 025 1151100*")</f>
        <v>0</v>
      </c>
      <c r="G458" s="31">
        <f>SUMIFS(G459:G631,K459:K631,"0",B459:B631,"4 1 5 1 1 12 31111 6 M78 10000 222 00I 001 00051 025 1151100*")</f>
        <v>526283.67000000004</v>
      </c>
      <c r="H458" s="31"/>
      <c r="I458" s="31">
        <f t="shared" si="9"/>
        <v>526283.67000000004</v>
      </c>
      <c r="K458" t="s">
        <v>13</v>
      </c>
    </row>
    <row r="459" spans="2:11" ht="22" x14ac:dyDescent="0.15">
      <c r="B459" s="29" t="s">
        <v>691</v>
      </c>
      <c r="C459" s="29" t="s">
        <v>138</v>
      </c>
      <c r="D459"/>
      <c r="E459" s="31">
        <f>SUMIFS(E460:E631,K460:K631,"0",B460:B631,"4 1 5 1 1 12 31111 6 M78 10000 222 00I 001 00051 025 1151100 2024*")-SUMIFS(D460:D631,K460:K631,"0",B460:B631,"4 1 5 1 1 12 31111 6 M78 10000 222 00I 001 00051 025 1151100 2024*")</f>
        <v>0</v>
      </c>
      <c r="F459" s="31">
        <f>SUMIFS(F460:F631,K460:K631,"0",B460:B631,"4 1 5 1 1 12 31111 6 M78 10000 222 00I 001 00051 025 1151100 2024*")</f>
        <v>0</v>
      </c>
      <c r="G459" s="31">
        <f>SUMIFS(G460:G631,K460:K631,"0",B460:B631,"4 1 5 1 1 12 31111 6 M78 10000 222 00I 001 00051 025 1151100 2024*")</f>
        <v>526283.67000000004</v>
      </c>
      <c r="H459" s="31"/>
      <c r="I459" s="31">
        <f t="shared" si="9"/>
        <v>526283.67000000004</v>
      </c>
      <c r="K459" t="s">
        <v>13</v>
      </c>
    </row>
    <row r="460" spans="2:11" ht="22" x14ac:dyDescent="0.15">
      <c r="B460" s="29" t="s">
        <v>692</v>
      </c>
      <c r="C460" s="29" t="s">
        <v>140</v>
      </c>
      <c r="D460"/>
      <c r="E460" s="31">
        <f>SUMIFS(E461:E631,K461:K631,"0",B461:B631,"4 1 5 1 1 12 31111 6 M78 10000 222 00I 001 00051 025 1151100 2024 00000000*")-SUMIFS(D461:D631,K461:K631,"0",B461:B631,"4 1 5 1 1 12 31111 6 M78 10000 222 00I 001 00051 025 1151100 2024 00000000*")</f>
        <v>0</v>
      </c>
      <c r="F460" s="31">
        <f>SUMIFS(F461:F631,K461:K631,"0",B461:B631,"4 1 5 1 1 12 31111 6 M78 10000 222 00I 001 00051 025 1151100 2024 00000000*")</f>
        <v>0</v>
      </c>
      <c r="G460" s="31">
        <f>SUMIFS(G461:G631,K461:K631,"0",B461:B631,"4 1 5 1 1 12 31111 6 M78 10000 222 00I 001 00051 025 1151100 2024 00000000*")</f>
        <v>526283.67000000004</v>
      </c>
      <c r="H460" s="31"/>
      <c r="I460" s="31">
        <f t="shared" si="9"/>
        <v>526283.67000000004</v>
      </c>
      <c r="K460" t="s">
        <v>13</v>
      </c>
    </row>
    <row r="461" spans="2:11" ht="22" x14ac:dyDescent="0.15">
      <c r="B461" s="29" t="s">
        <v>693</v>
      </c>
      <c r="C461" s="29" t="s">
        <v>9</v>
      </c>
      <c r="D461"/>
      <c r="E461" s="31">
        <f>SUMIFS(E462:E631,K462:K631,"0",B462:B631,"4 1 5 1 1 12 31111 6 M78 10000 222 00I 001 00051 025 1151100 2024 00000000 002*")-SUMIFS(D462:D631,K462:K631,"0",B462:B631,"4 1 5 1 1 12 31111 6 M78 10000 222 00I 001 00051 025 1151100 2024 00000000 002*")</f>
        <v>0</v>
      </c>
      <c r="F461" s="31">
        <f>SUMIFS(F462:F631,K462:K631,"0",B462:B631,"4 1 5 1 1 12 31111 6 M78 10000 222 00I 001 00051 025 1151100 2024 00000000 002*")</f>
        <v>0</v>
      </c>
      <c r="G461" s="31">
        <f>SUMIFS(G462:G631,K462:K631,"0",B462:B631,"4 1 5 1 1 12 31111 6 M78 10000 222 00I 001 00051 025 1151100 2024 00000000 002*")</f>
        <v>526283.67000000004</v>
      </c>
      <c r="H461" s="31"/>
      <c r="I461" s="31">
        <f t="shared" si="9"/>
        <v>526283.67000000004</v>
      </c>
      <c r="K461" t="s">
        <v>13</v>
      </c>
    </row>
    <row r="462" spans="2:11" ht="22" x14ac:dyDescent="0.15">
      <c r="B462" s="27" t="s">
        <v>694</v>
      </c>
      <c r="C462" s="27" t="s">
        <v>695</v>
      </c>
      <c r="D462" s="30"/>
      <c r="E462" s="30">
        <v>0</v>
      </c>
      <c r="F462" s="30">
        <v>0</v>
      </c>
      <c r="G462" s="30">
        <v>526283.67000000004</v>
      </c>
      <c r="H462" s="30"/>
      <c r="I462" s="30">
        <f t="shared" si="9"/>
        <v>526283.67000000004</v>
      </c>
      <c r="K462" t="s">
        <v>37</v>
      </c>
    </row>
    <row r="463" spans="2:11" ht="13" x14ac:dyDescent="0.15">
      <c r="B463" s="29" t="s">
        <v>696</v>
      </c>
      <c r="C463" s="29" t="s">
        <v>697</v>
      </c>
      <c r="D463"/>
      <c r="E463" s="31">
        <f>SUMIFS(E464:E631,K464:K631,"0",B464:B631,"4 1 6*")-SUMIFS(D464:D631,K464:K631,"0",B464:B631,"4 1 6*")</f>
        <v>0</v>
      </c>
      <c r="F463" s="31">
        <f>SUMIFS(F464:F631,K464:K631,"0",B464:B631,"4 1 6*")</f>
        <v>0</v>
      </c>
      <c r="G463" s="31">
        <f>SUMIFS(G464:G631,K464:K631,"0",B464:B631,"4 1 6*")</f>
        <v>0</v>
      </c>
      <c r="H463" s="31"/>
      <c r="I463" s="31">
        <f t="shared" si="9"/>
        <v>0</v>
      </c>
      <c r="K463" t="s">
        <v>13</v>
      </c>
    </row>
    <row r="464" spans="2:11" ht="13" x14ac:dyDescent="0.15">
      <c r="B464" s="29" t="s">
        <v>698</v>
      </c>
      <c r="C464" s="29" t="s">
        <v>699</v>
      </c>
      <c r="D464"/>
      <c r="E464" s="31">
        <f>SUMIFS(E465:E631,K465:K631,"0",B465:B631,"4 1 7*")-SUMIFS(D465:D631,K465:K631,"0",B465:B631,"4 1 7*")</f>
        <v>0</v>
      </c>
      <c r="F464" s="31">
        <f>SUMIFS(F465:F631,K465:K631,"0",B465:B631,"4 1 7*")</f>
        <v>0</v>
      </c>
      <c r="G464" s="31">
        <f>SUMIFS(G465:G631,K465:K631,"0",B465:B631,"4 1 7*")</f>
        <v>0</v>
      </c>
      <c r="H464" s="31"/>
      <c r="I464" s="31">
        <f t="shared" si="9"/>
        <v>0</v>
      </c>
      <c r="K464" t="s">
        <v>13</v>
      </c>
    </row>
    <row r="465" spans="2:11" ht="22" x14ac:dyDescent="0.15">
      <c r="B465" s="29" t="s">
        <v>700</v>
      </c>
      <c r="C465" s="29" t="s">
        <v>701</v>
      </c>
      <c r="D465"/>
      <c r="E465" s="31">
        <f>SUMIFS(E466:E631,K466:K631,"0",B466:B631,"4 1 9*")-SUMIFS(D466:D631,K466:K631,"0",B466:B631,"4 1 9*")</f>
        <v>0</v>
      </c>
      <c r="F465" s="31">
        <f>SUMIFS(F466:F631,K466:K631,"0",B466:B631,"4 1 9*")</f>
        <v>0</v>
      </c>
      <c r="G465" s="31">
        <f>SUMIFS(G466:G631,K466:K631,"0",B466:B631,"4 1 9*")</f>
        <v>0</v>
      </c>
      <c r="H465" s="31"/>
      <c r="I465" s="31">
        <f t="shared" si="9"/>
        <v>0</v>
      </c>
      <c r="K465" t="s">
        <v>13</v>
      </c>
    </row>
    <row r="466" spans="2:11" ht="33" x14ac:dyDescent="0.15">
      <c r="B466" s="29" t="s">
        <v>702</v>
      </c>
      <c r="C466" s="29" t="s">
        <v>703</v>
      </c>
      <c r="D466"/>
      <c r="E466" s="31">
        <f>SUMIFS(E467:E631,K467:K631,"0",B467:B631,"4 2*")-SUMIFS(D467:D631,K467:K631,"0",B467:B631,"4 2*")</f>
        <v>0</v>
      </c>
      <c r="F466" s="31">
        <f>SUMIFS(F467:F631,K467:K631,"0",B467:B631,"4 2*")</f>
        <v>0</v>
      </c>
      <c r="G466" s="31">
        <f>SUMIFS(G467:G631,K467:K631,"0",B467:B631,"4 2*")</f>
        <v>69748661.599999994</v>
      </c>
      <c r="H466" s="31"/>
      <c r="I466" s="31">
        <f t="shared" si="9"/>
        <v>69748661.599999994</v>
      </c>
      <c r="K466" t="s">
        <v>13</v>
      </c>
    </row>
    <row r="467" spans="2:11" ht="22" x14ac:dyDescent="0.15">
      <c r="B467" s="29" t="s">
        <v>704</v>
      </c>
      <c r="C467" s="29" t="s">
        <v>705</v>
      </c>
      <c r="D467"/>
      <c r="E467" s="31">
        <f>SUMIFS(E468:E631,K468:K631,"0",B468:B631,"4 2 1*")-SUMIFS(D468:D631,K468:K631,"0",B468:B631,"4 2 1*")</f>
        <v>0</v>
      </c>
      <c r="F467" s="31">
        <f>SUMIFS(F468:F631,K468:K631,"0",B468:B631,"4 2 1*")</f>
        <v>0</v>
      </c>
      <c r="G467" s="31">
        <f>SUMIFS(G468:G631,K468:K631,"0",B468:B631,"4 2 1*")</f>
        <v>69748661.599999994</v>
      </c>
      <c r="H467" s="31"/>
      <c r="I467" s="31">
        <f t="shared" si="9"/>
        <v>69748661.599999994</v>
      </c>
      <c r="K467" t="s">
        <v>13</v>
      </c>
    </row>
    <row r="468" spans="2:11" ht="13" x14ac:dyDescent="0.15">
      <c r="B468" s="29" t="s">
        <v>706</v>
      </c>
      <c r="C468" s="29" t="s">
        <v>623</v>
      </c>
      <c r="D468"/>
      <c r="E468" s="31">
        <f>SUMIFS(E469:E631,K469:K631,"0",B469:B631,"4 2 1 2*")-SUMIFS(D469:D631,K469:K631,"0",B469:B631,"4 2 1 2*")</f>
        <v>0</v>
      </c>
      <c r="F468" s="31">
        <f>SUMIFS(F469:F631,K469:K631,"0",B469:B631,"4 2 1 2*")</f>
        <v>0</v>
      </c>
      <c r="G468" s="31">
        <f>SUMIFS(G469:G631,K469:K631,"0",B469:B631,"4 2 1 2*")</f>
        <v>69748661.599999994</v>
      </c>
      <c r="H468" s="31"/>
      <c r="I468" s="31">
        <f t="shared" si="9"/>
        <v>69748661.599999994</v>
      </c>
      <c r="K468" t="s">
        <v>13</v>
      </c>
    </row>
    <row r="469" spans="2:11" ht="13" x14ac:dyDescent="0.15">
      <c r="B469" s="29" t="s">
        <v>707</v>
      </c>
      <c r="C469" s="29" t="s">
        <v>623</v>
      </c>
      <c r="D469"/>
      <c r="E469" s="31">
        <f>SUMIFS(E470:E631,K470:K631,"0",B470:B631,"4 2 1 2 1*")-SUMIFS(D470:D631,K470:K631,"0",B470:B631,"4 2 1 2 1*")</f>
        <v>0</v>
      </c>
      <c r="F469" s="31">
        <f>SUMIFS(F470:F631,K470:K631,"0",B470:B631,"4 2 1 2 1*")</f>
        <v>0</v>
      </c>
      <c r="G469" s="31">
        <f>SUMIFS(G470:G631,K470:K631,"0",B470:B631,"4 2 1 2 1*")</f>
        <v>69748661.599999994</v>
      </c>
      <c r="H469" s="31"/>
      <c r="I469" s="31">
        <f t="shared" si="9"/>
        <v>69748661.599999994</v>
      </c>
      <c r="K469" t="s">
        <v>13</v>
      </c>
    </row>
    <row r="470" spans="2:11" ht="13" x14ac:dyDescent="0.15">
      <c r="B470" s="29" t="s">
        <v>708</v>
      </c>
      <c r="C470" s="29" t="s">
        <v>24</v>
      </c>
      <c r="D470"/>
      <c r="E470" s="31">
        <f>SUMIFS(E471:E631,K471:K631,"0",B471:B631,"4 2 1 2 1 12*")-SUMIFS(D471:D631,K471:K631,"0",B471:B631,"4 2 1 2 1 12*")</f>
        <v>0</v>
      </c>
      <c r="F470" s="31">
        <f>SUMIFS(F471:F631,K471:K631,"0",B471:B631,"4 2 1 2 1 12*")</f>
        <v>0</v>
      </c>
      <c r="G470" s="31">
        <f>SUMIFS(G471:G631,K471:K631,"0",B471:B631,"4 2 1 2 1 12*")</f>
        <v>69748661.599999994</v>
      </c>
      <c r="H470" s="31"/>
      <c r="I470" s="31">
        <f t="shared" si="9"/>
        <v>69748661.599999994</v>
      </c>
      <c r="K470" t="s">
        <v>13</v>
      </c>
    </row>
    <row r="471" spans="2:11" ht="13" x14ac:dyDescent="0.15">
      <c r="B471" s="29" t="s">
        <v>709</v>
      </c>
      <c r="C471" s="29" t="s">
        <v>26</v>
      </c>
      <c r="D471"/>
      <c r="E471" s="31">
        <f>SUMIFS(E472:E631,K472:K631,"0",B472:B631,"4 2 1 2 1 12 31111*")-SUMIFS(D472:D631,K472:K631,"0",B472:B631,"4 2 1 2 1 12 31111*")</f>
        <v>0</v>
      </c>
      <c r="F471" s="31">
        <f>SUMIFS(F472:F631,K472:K631,"0",B472:B631,"4 2 1 2 1 12 31111*")</f>
        <v>0</v>
      </c>
      <c r="G471" s="31">
        <f>SUMIFS(G472:G631,K472:K631,"0",B472:B631,"4 2 1 2 1 12 31111*")</f>
        <v>69748661.599999994</v>
      </c>
      <c r="H471" s="31"/>
      <c r="I471" s="31">
        <f t="shared" si="9"/>
        <v>69748661.599999994</v>
      </c>
      <c r="K471" t="s">
        <v>13</v>
      </c>
    </row>
    <row r="472" spans="2:11" ht="13" x14ac:dyDescent="0.15">
      <c r="B472" s="29" t="s">
        <v>710</v>
      </c>
      <c r="C472" s="29" t="s">
        <v>28</v>
      </c>
      <c r="D472"/>
      <c r="E472" s="31">
        <f>SUMIFS(E473:E631,K473:K631,"0",B473:B631,"4 2 1 2 1 12 31111 6*")-SUMIFS(D473:D631,K473:K631,"0",B473:B631,"4 2 1 2 1 12 31111 6*")</f>
        <v>0</v>
      </c>
      <c r="F472" s="31">
        <f>SUMIFS(F473:F631,K473:K631,"0",B473:B631,"4 2 1 2 1 12 31111 6*")</f>
        <v>0</v>
      </c>
      <c r="G472" s="31">
        <f>SUMIFS(G473:G631,K473:K631,"0",B473:B631,"4 2 1 2 1 12 31111 6*")</f>
        <v>69748661.599999994</v>
      </c>
      <c r="H472" s="31"/>
      <c r="I472" s="31">
        <f t="shared" si="9"/>
        <v>69748661.599999994</v>
      </c>
      <c r="K472" t="s">
        <v>13</v>
      </c>
    </row>
    <row r="473" spans="2:11" ht="13" x14ac:dyDescent="0.15">
      <c r="B473" s="29" t="s">
        <v>711</v>
      </c>
      <c r="C473" s="29" t="s">
        <v>30</v>
      </c>
      <c r="D473"/>
      <c r="E473" s="31">
        <f>SUMIFS(E474:E631,K474:K631,"0",B474:B631,"4 2 1 2 1 12 31111 6 M78*")-SUMIFS(D474:D631,K474:K631,"0",B474:B631,"4 2 1 2 1 12 31111 6 M78*")</f>
        <v>0</v>
      </c>
      <c r="F473" s="31">
        <f>SUMIFS(F474:F631,K474:K631,"0",B474:B631,"4 2 1 2 1 12 31111 6 M78*")</f>
        <v>0</v>
      </c>
      <c r="G473" s="31">
        <f>SUMIFS(G474:G631,K474:K631,"0",B474:B631,"4 2 1 2 1 12 31111 6 M78*")</f>
        <v>69748661.599999994</v>
      </c>
      <c r="H473" s="31"/>
      <c r="I473" s="31">
        <f t="shared" si="9"/>
        <v>69748661.599999994</v>
      </c>
      <c r="K473" t="s">
        <v>13</v>
      </c>
    </row>
    <row r="474" spans="2:11" ht="13" x14ac:dyDescent="0.15">
      <c r="B474" s="29" t="s">
        <v>712</v>
      </c>
      <c r="C474" s="29" t="s">
        <v>124</v>
      </c>
      <c r="D474"/>
      <c r="E474" s="31">
        <f>SUMIFS(E475:E631,K475:K631,"0",B475:B631,"4 2 1 2 1 12 31111 6 M78 10000*")-SUMIFS(D475:D631,K475:K631,"0",B475:B631,"4 2 1 2 1 12 31111 6 M78 10000*")</f>
        <v>0</v>
      </c>
      <c r="F474" s="31">
        <f>SUMIFS(F475:F631,K475:K631,"0",B475:B631,"4 2 1 2 1 12 31111 6 M78 10000*")</f>
        <v>0</v>
      </c>
      <c r="G474" s="31">
        <f>SUMIFS(G475:G631,K475:K631,"0",B475:B631,"4 2 1 2 1 12 31111 6 M78 10000*")</f>
        <v>69748661.599999994</v>
      </c>
      <c r="H474" s="31"/>
      <c r="I474" s="31">
        <f t="shared" si="9"/>
        <v>69748661.599999994</v>
      </c>
      <c r="K474" t="s">
        <v>13</v>
      </c>
    </row>
    <row r="475" spans="2:11" ht="13" x14ac:dyDescent="0.15">
      <c r="B475" s="29" t="s">
        <v>713</v>
      </c>
      <c r="C475" s="29" t="s">
        <v>126</v>
      </c>
      <c r="D475"/>
      <c r="E475" s="31">
        <f>SUMIFS(E476:E631,K476:K631,"0",B476:B631,"4 2 1 2 1 12 31111 6 M78 10000 222*")-SUMIFS(D476:D631,K476:K631,"0",B476:B631,"4 2 1 2 1 12 31111 6 M78 10000 222*")</f>
        <v>0</v>
      </c>
      <c r="F475" s="31">
        <f>SUMIFS(F476:F631,K476:K631,"0",B476:B631,"4 2 1 2 1 12 31111 6 M78 10000 222*")</f>
        <v>0</v>
      </c>
      <c r="G475" s="31">
        <f>SUMIFS(G476:G631,K476:K631,"0",B476:B631,"4 2 1 2 1 12 31111 6 M78 10000 222*")</f>
        <v>69748661.599999994</v>
      </c>
      <c r="H475" s="31"/>
      <c r="I475" s="31">
        <f t="shared" si="9"/>
        <v>69748661.599999994</v>
      </c>
      <c r="K475" t="s">
        <v>13</v>
      </c>
    </row>
    <row r="476" spans="2:11" ht="13" x14ac:dyDescent="0.15">
      <c r="B476" s="29" t="s">
        <v>714</v>
      </c>
      <c r="C476" s="29" t="s">
        <v>128</v>
      </c>
      <c r="D476"/>
      <c r="E476" s="31">
        <f>SUMIFS(E477:E631,K477:K631,"0",B477:B631,"4 2 1 2 1 12 31111 6 M78 10000 222 00I*")-SUMIFS(D477:D631,K477:K631,"0",B477:B631,"4 2 1 2 1 12 31111 6 M78 10000 222 00I*")</f>
        <v>0</v>
      </c>
      <c r="F476" s="31">
        <f>SUMIFS(F477:F631,K477:K631,"0",B477:B631,"4 2 1 2 1 12 31111 6 M78 10000 222 00I*")</f>
        <v>0</v>
      </c>
      <c r="G476" s="31">
        <f>SUMIFS(G477:G631,K477:K631,"0",B477:B631,"4 2 1 2 1 12 31111 6 M78 10000 222 00I*")</f>
        <v>69748661.599999994</v>
      </c>
      <c r="H476" s="31"/>
      <c r="I476" s="31">
        <f t="shared" si="9"/>
        <v>69748661.599999994</v>
      </c>
      <c r="K476" t="s">
        <v>13</v>
      </c>
    </row>
    <row r="477" spans="2:11" ht="13" x14ac:dyDescent="0.15">
      <c r="B477" s="29" t="s">
        <v>715</v>
      </c>
      <c r="C477" s="29" t="s">
        <v>686</v>
      </c>
      <c r="D477"/>
      <c r="E477" s="31">
        <f>SUMIFS(E478:E631,K478:K631,"0",B478:B631,"4 2 1 2 1 12 31111 6 M78 10000 222 00I 001*")-SUMIFS(D478:D631,K478:K631,"0",B478:B631,"4 2 1 2 1 12 31111 6 M78 10000 222 00I 001*")</f>
        <v>0</v>
      </c>
      <c r="F477" s="31">
        <f>SUMIFS(F478:F631,K478:K631,"0",B478:B631,"4 2 1 2 1 12 31111 6 M78 10000 222 00I 001*")</f>
        <v>0</v>
      </c>
      <c r="G477" s="31">
        <f>SUMIFS(G478:G631,K478:K631,"0",B478:B631,"4 2 1 2 1 12 31111 6 M78 10000 222 00I 001*")</f>
        <v>69748661.599999994</v>
      </c>
      <c r="H477" s="31"/>
      <c r="I477" s="31">
        <f t="shared" si="9"/>
        <v>69748661.599999994</v>
      </c>
      <c r="K477" t="s">
        <v>13</v>
      </c>
    </row>
    <row r="478" spans="2:11" ht="13" x14ac:dyDescent="0.15">
      <c r="B478" s="29" t="s">
        <v>716</v>
      </c>
      <c r="C478" s="29" t="s">
        <v>623</v>
      </c>
      <c r="D478"/>
      <c r="E478" s="31">
        <f>SUMIFS(E479:E631,K479:K631,"0",B479:B631,"4 2 1 2 1 12 31111 6 M78 10000 222 00I 001 00082*")-SUMIFS(D479:D631,K479:K631,"0",B479:B631,"4 2 1 2 1 12 31111 6 M78 10000 222 00I 001 00082*")</f>
        <v>0</v>
      </c>
      <c r="F478" s="31">
        <f>SUMIFS(F479:F631,K479:K631,"0",B479:B631,"4 2 1 2 1 12 31111 6 M78 10000 222 00I 001 00082*")</f>
        <v>0</v>
      </c>
      <c r="G478" s="31">
        <f>SUMIFS(G479:G631,K479:K631,"0",B479:B631,"4 2 1 2 1 12 31111 6 M78 10000 222 00I 001 00082*")</f>
        <v>69748661.599999994</v>
      </c>
      <c r="H478" s="31"/>
      <c r="I478" s="31">
        <f t="shared" si="9"/>
        <v>69748661.599999994</v>
      </c>
      <c r="K478" t="s">
        <v>13</v>
      </c>
    </row>
    <row r="479" spans="2:11" ht="13" x14ac:dyDescent="0.15">
      <c r="B479" s="29" t="s">
        <v>717</v>
      </c>
      <c r="C479" s="29" t="s">
        <v>134</v>
      </c>
      <c r="D479"/>
      <c r="E479" s="31">
        <f>SUMIFS(E480:E631,K480:K631,"0",B480:B631,"4 2 1 2 1 12 31111 6 M78 10000 222 00I 001 00082 025*")-SUMIFS(D480:D631,K480:K631,"0",B480:B631,"4 2 1 2 1 12 31111 6 M78 10000 222 00I 001 00082 025*")</f>
        <v>0</v>
      </c>
      <c r="F479" s="31">
        <f>SUMIFS(F480:F631,K480:K631,"0",B480:B631,"4 2 1 2 1 12 31111 6 M78 10000 222 00I 001 00082 025*")</f>
        <v>0</v>
      </c>
      <c r="G479" s="31">
        <f>SUMIFS(G480:G631,K480:K631,"0",B480:B631,"4 2 1 2 1 12 31111 6 M78 10000 222 00I 001 00082 025*")</f>
        <v>69748661.599999994</v>
      </c>
      <c r="H479" s="31"/>
      <c r="I479" s="31">
        <f t="shared" si="9"/>
        <v>69748661.599999994</v>
      </c>
      <c r="K479" t="s">
        <v>13</v>
      </c>
    </row>
    <row r="480" spans="2:11" ht="22" x14ac:dyDescent="0.15">
      <c r="B480" s="29" t="s">
        <v>718</v>
      </c>
      <c r="C480" s="29" t="s">
        <v>719</v>
      </c>
      <c r="D480"/>
      <c r="E480" s="31">
        <f>SUMIFS(E481:E631,K481:K631,"0",B481:B631,"4 2 1 2 1 12 31111 6 M78 10000 222 00I 001 00082 025 1182200*")-SUMIFS(D481:D631,K481:K631,"0",B481:B631,"4 2 1 2 1 12 31111 6 M78 10000 222 00I 001 00082 025 1182200*")</f>
        <v>0</v>
      </c>
      <c r="F480" s="31">
        <f>SUMIFS(F481:F631,K481:K631,"0",B481:B631,"4 2 1 2 1 12 31111 6 M78 10000 222 00I 001 00082 025 1182200*")</f>
        <v>0</v>
      </c>
      <c r="G480" s="31">
        <f>SUMIFS(G481:G631,K481:K631,"0",B481:B631,"4 2 1 2 1 12 31111 6 M78 10000 222 00I 001 00082 025 1182200*")</f>
        <v>69748661.599999994</v>
      </c>
      <c r="H480" s="31"/>
      <c r="I480" s="31">
        <f t="shared" si="9"/>
        <v>69748661.599999994</v>
      </c>
      <c r="K480" t="s">
        <v>13</v>
      </c>
    </row>
    <row r="481" spans="2:11" ht="22" x14ac:dyDescent="0.15">
      <c r="B481" s="29" t="s">
        <v>720</v>
      </c>
      <c r="C481" s="29" t="s">
        <v>138</v>
      </c>
      <c r="D481"/>
      <c r="E481" s="31">
        <f>SUMIFS(E482:E631,K482:K631,"0",B482:B631,"4 2 1 2 1 12 31111 6 M78 10000 222 00I 001 00082 025 1182200 2024*")-SUMIFS(D482:D631,K482:K631,"0",B482:B631,"4 2 1 2 1 12 31111 6 M78 10000 222 00I 001 00082 025 1182200 2024*")</f>
        <v>0</v>
      </c>
      <c r="F481" s="31">
        <f>SUMIFS(F482:F631,K482:K631,"0",B482:B631,"4 2 1 2 1 12 31111 6 M78 10000 222 00I 001 00082 025 1182200 2024*")</f>
        <v>0</v>
      </c>
      <c r="G481" s="31">
        <f>SUMIFS(G482:G631,K482:K631,"0",B482:B631,"4 2 1 2 1 12 31111 6 M78 10000 222 00I 001 00082 025 1182200 2024*")</f>
        <v>69748661.599999994</v>
      </c>
      <c r="H481" s="31"/>
      <c r="I481" s="31">
        <f t="shared" si="9"/>
        <v>69748661.599999994</v>
      </c>
      <c r="K481" t="s">
        <v>13</v>
      </c>
    </row>
    <row r="482" spans="2:11" ht="22" x14ac:dyDescent="0.15">
      <c r="B482" s="29" t="s">
        <v>721</v>
      </c>
      <c r="C482" s="29" t="s">
        <v>722</v>
      </c>
      <c r="D482"/>
      <c r="E482" s="31">
        <f>SUMIFS(E483:E631,K483:K631,"0",B483:B631,"4 2 1 2 1 12 31111 6 M78 10000 222 00I 001 00082 025 1182200 2024 00000000*")-SUMIFS(D483:D631,K483:K631,"0",B483:B631,"4 2 1 2 1 12 31111 6 M78 10000 222 00I 001 00082 025 1182200 2024 00000000*")</f>
        <v>0</v>
      </c>
      <c r="F482" s="31">
        <f>SUMIFS(F483:F631,K483:K631,"0",B483:B631,"4 2 1 2 1 12 31111 6 M78 10000 222 00I 001 00082 025 1182200 2024 00000000*")</f>
        <v>0</v>
      </c>
      <c r="G482" s="31">
        <f>SUMIFS(G483:G631,K483:K631,"0",B483:B631,"4 2 1 2 1 12 31111 6 M78 10000 222 00I 001 00082 025 1182200 2024 00000000*")</f>
        <v>69748661.599999994</v>
      </c>
      <c r="H482" s="31"/>
      <c r="I482" s="31">
        <f t="shared" si="9"/>
        <v>69748661.599999994</v>
      </c>
      <c r="K482" t="s">
        <v>13</v>
      </c>
    </row>
    <row r="483" spans="2:11" ht="22" x14ac:dyDescent="0.15">
      <c r="B483" s="29" t="s">
        <v>723</v>
      </c>
      <c r="C483" s="29" t="s">
        <v>724</v>
      </c>
      <c r="D483"/>
      <c r="E483" s="31">
        <f>SUMIFS(E484:E631,K484:K631,"0",B484:B631,"4 2 1 2 1 12 31111 6 M78 10000 222 00I 001 00082 025 1182200 2024 00000000 002*")-SUMIFS(D484:D631,K484:K631,"0",B484:B631,"4 2 1 2 1 12 31111 6 M78 10000 222 00I 001 00082 025 1182200 2024 00000000 002*")</f>
        <v>0</v>
      </c>
      <c r="F483" s="31">
        <f>SUMIFS(F484:F631,K484:K631,"0",B484:B631,"4 2 1 2 1 12 31111 6 M78 10000 222 00I 001 00082 025 1182200 2024 00000000 002*")</f>
        <v>0</v>
      </c>
      <c r="G483" s="31">
        <f>SUMIFS(G484:G631,K484:K631,"0",B484:B631,"4 2 1 2 1 12 31111 6 M78 10000 222 00I 001 00082 025 1182200 2024 00000000 002*")</f>
        <v>69748661.599999994</v>
      </c>
      <c r="H483" s="31"/>
      <c r="I483" s="31">
        <f t="shared" si="9"/>
        <v>69748661.599999994</v>
      </c>
      <c r="K483" t="s">
        <v>13</v>
      </c>
    </row>
    <row r="484" spans="2:11" ht="22" x14ac:dyDescent="0.15">
      <c r="B484" s="27" t="s">
        <v>725</v>
      </c>
      <c r="C484" s="27" t="s">
        <v>726</v>
      </c>
      <c r="D484" s="30"/>
      <c r="E484" s="30">
        <v>0</v>
      </c>
      <c r="F484" s="30">
        <v>0</v>
      </c>
      <c r="G484" s="30">
        <v>69748661.599999994</v>
      </c>
      <c r="H484" s="30"/>
      <c r="I484" s="30">
        <f t="shared" ref="I484:I491" si="10">E484 - F484 + G484</f>
        <v>69748661.599999994</v>
      </c>
      <c r="K484" t="s">
        <v>37</v>
      </c>
    </row>
    <row r="485" spans="2:11" ht="13" x14ac:dyDescent="0.15">
      <c r="B485" s="29" t="s">
        <v>727</v>
      </c>
      <c r="C485" s="29" t="s">
        <v>728</v>
      </c>
      <c r="D485"/>
      <c r="E485" s="31">
        <f>SUMIFS(E486:E631,K486:K631,"0",B486:B631,"4 2 2*")-SUMIFS(D486:D631,K486:K631,"0",B486:B631,"4 2 2*")</f>
        <v>0</v>
      </c>
      <c r="F485" s="31">
        <f>SUMIFS(F486:F631,K486:K631,"0",B486:B631,"4 2 2*")</f>
        <v>0</v>
      </c>
      <c r="G485" s="31">
        <f>SUMIFS(G486:G631,K486:K631,"0",B486:B631,"4 2 2*")</f>
        <v>0</v>
      </c>
      <c r="H485" s="31"/>
      <c r="I485" s="31">
        <f t="shared" si="10"/>
        <v>0</v>
      </c>
      <c r="K485" t="s">
        <v>13</v>
      </c>
    </row>
    <row r="486" spans="2:11" ht="13" x14ac:dyDescent="0.15">
      <c r="B486" s="29" t="s">
        <v>729</v>
      </c>
      <c r="C486" s="29" t="s">
        <v>730</v>
      </c>
      <c r="D486"/>
      <c r="E486" s="31">
        <f>SUMIFS(E487:E631,K487:K631,"0",B487:B631,"4 3*")-SUMIFS(D487:D631,K487:K631,"0",B487:B631,"4 3*")</f>
        <v>0</v>
      </c>
      <c r="F486" s="31">
        <f>SUMIFS(F487:F631,K487:K631,"0",B487:B631,"4 3*")</f>
        <v>0</v>
      </c>
      <c r="G486" s="31">
        <f>SUMIFS(G487:G631,K487:K631,"0",B487:B631,"4 3*")</f>
        <v>0</v>
      </c>
      <c r="H486" s="31"/>
      <c r="I486" s="31">
        <f t="shared" si="10"/>
        <v>0</v>
      </c>
      <c r="K486" t="s">
        <v>13</v>
      </c>
    </row>
    <row r="487" spans="2:11" ht="13" x14ac:dyDescent="0.15">
      <c r="B487" s="29" t="s">
        <v>731</v>
      </c>
      <c r="C487" s="29" t="s">
        <v>732</v>
      </c>
      <c r="D487"/>
      <c r="E487" s="31">
        <f>SUMIFS(E488:E631,K488:K631,"0",B488:B631,"4 3 1*")-SUMIFS(D488:D631,K488:K631,"0",B488:B631,"4 3 1*")</f>
        <v>0</v>
      </c>
      <c r="F487" s="31">
        <f>SUMIFS(F488:F631,K488:K631,"0",B488:B631,"4 3 1*")</f>
        <v>0</v>
      </c>
      <c r="G487" s="31">
        <f>SUMIFS(G488:G631,K488:K631,"0",B488:B631,"4 3 1*")</f>
        <v>0</v>
      </c>
      <c r="H487" s="31"/>
      <c r="I487" s="31">
        <f t="shared" si="10"/>
        <v>0</v>
      </c>
      <c r="K487" t="s">
        <v>13</v>
      </c>
    </row>
    <row r="488" spans="2:11" ht="13" x14ac:dyDescent="0.15">
      <c r="B488" s="29" t="s">
        <v>733</v>
      </c>
      <c r="C488" s="29" t="s">
        <v>734</v>
      </c>
      <c r="D488"/>
      <c r="E488" s="31">
        <f>SUMIFS(E489:E631,K489:K631,"0",B489:B631,"4 3 2*")-SUMIFS(D489:D631,K489:K631,"0",B489:B631,"4 3 2*")</f>
        <v>0</v>
      </c>
      <c r="F488" s="31">
        <f>SUMIFS(F489:F631,K489:K631,"0",B489:B631,"4 3 2*")</f>
        <v>0</v>
      </c>
      <c r="G488" s="31">
        <f>SUMIFS(G489:G631,K489:K631,"0",B489:B631,"4 3 2*")</f>
        <v>0</v>
      </c>
      <c r="H488" s="31"/>
      <c r="I488" s="31">
        <f t="shared" si="10"/>
        <v>0</v>
      </c>
      <c r="K488" t="s">
        <v>13</v>
      </c>
    </row>
    <row r="489" spans="2:11" ht="13" x14ac:dyDescent="0.15">
      <c r="B489" s="29" t="s">
        <v>735</v>
      </c>
      <c r="C489" s="29" t="s">
        <v>736</v>
      </c>
      <c r="D489"/>
      <c r="E489" s="31">
        <f>SUMIFS(E490:E631,K490:K631,"0",B490:B631,"4 3 3*")-SUMIFS(D490:D631,K490:K631,"0",B490:B631,"4 3 3*")</f>
        <v>0</v>
      </c>
      <c r="F489" s="31">
        <f>SUMIFS(F490:F631,K490:K631,"0",B490:B631,"4 3 3*")</f>
        <v>0</v>
      </c>
      <c r="G489" s="31">
        <f>SUMIFS(G490:G631,K490:K631,"0",B490:B631,"4 3 3*")</f>
        <v>0</v>
      </c>
      <c r="H489" s="31"/>
      <c r="I489" s="31">
        <f t="shared" si="10"/>
        <v>0</v>
      </c>
      <c r="K489" t="s">
        <v>13</v>
      </c>
    </row>
    <row r="490" spans="2:11" ht="13" x14ac:dyDescent="0.15">
      <c r="B490" s="29" t="s">
        <v>737</v>
      </c>
      <c r="C490" s="29" t="s">
        <v>738</v>
      </c>
      <c r="D490"/>
      <c r="E490" s="31">
        <f>SUMIFS(E491:E631,K491:K631,"0",B491:B631,"4 3 4*")-SUMIFS(D491:D631,K491:K631,"0",B491:B631,"4 3 4*")</f>
        <v>0</v>
      </c>
      <c r="F490" s="31">
        <f>SUMIFS(F491:F631,K491:K631,"0",B491:B631,"4 3 4*")</f>
        <v>0</v>
      </c>
      <c r="G490" s="31">
        <f>SUMIFS(G491:G631,K491:K631,"0",B491:B631,"4 3 4*")</f>
        <v>0</v>
      </c>
      <c r="H490" s="31"/>
      <c r="I490" s="31">
        <f t="shared" si="10"/>
        <v>0</v>
      </c>
      <c r="K490" t="s">
        <v>13</v>
      </c>
    </row>
    <row r="491" spans="2:11" ht="13" x14ac:dyDescent="0.15">
      <c r="B491" s="29" t="s">
        <v>739</v>
      </c>
      <c r="C491" s="29" t="s">
        <v>740</v>
      </c>
      <c r="D491"/>
      <c r="E491" s="31">
        <f>SUMIFS(E492:E631,K492:K631,"0",B492:B631,"4 3 9*")-SUMIFS(D492:D631,K492:K631,"0",B492:B631,"4 3 9*")</f>
        <v>0</v>
      </c>
      <c r="F491" s="31">
        <f>SUMIFS(F492:F631,K492:K631,"0",B492:B631,"4 3 9*")</f>
        <v>0</v>
      </c>
      <c r="G491" s="31">
        <f>SUMIFS(G492:G631,K492:K631,"0",B492:B631,"4 3 9*")</f>
        <v>0</v>
      </c>
      <c r="H491" s="31"/>
      <c r="I491" s="31">
        <f t="shared" si="10"/>
        <v>0</v>
      </c>
      <c r="K491" t="s">
        <v>13</v>
      </c>
    </row>
    <row r="492" spans="2:11" ht="13" x14ac:dyDescent="0.15">
      <c r="B492" s="29" t="s">
        <v>741</v>
      </c>
      <c r="C492" s="29" t="s">
        <v>742</v>
      </c>
      <c r="D492" s="31">
        <f>SUMIFS(D493:D631,K493:K631,"0",B493:B631,"5*")-SUMIFS(E493:E631,K493:K631,"0",B493:B631,"5*")</f>
        <v>0</v>
      </c>
      <c r="E492"/>
      <c r="F492" s="31">
        <f>SUMIFS(F493:F631,K493:K631,"0",B493:B631,"5*")</f>
        <v>2092459.85</v>
      </c>
      <c r="G492" s="31">
        <f>SUMIFS(G493:G631,K493:K631,"0",B493:B631,"5*")</f>
        <v>0</v>
      </c>
      <c r="H492" s="31">
        <f t="shared" ref="H492:H523" si="11">D492 + F492 - G492</f>
        <v>2092459.85</v>
      </c>
      <c r="I492" s="31"/>
      <c r="K492" t="s">
        <v>13</v>
      </c>
    </row>
    <row r="493" spans="2:11" ht="13" x14ac:dyDescent="0.15">
      <c r="B493" s="29" t="s">
        <v>743</v>
      </c>
      <c r="C493" s="29" t="s">
        <v>744</v>
      </c>
      <c r="D493" s="31">
        <f>SUMIFS(D494:D631,K494:K631,"0",B494:B631,"5 1*")-SUMIFS(E494:E631,K494:K631,"0",B494:B631,"5 1*")</f>
        <v>0</v>
      </c>
      <c r="E493"/>
      <c r="F493" s="31">
        <f>SUMIFS(F494:F631,K494:K631,"0",B494:B631,"5 1*")</f>
        <v>2092459.85</v>
      </c>
      <c r="G493" s="31">
        <f>SUMIFS(G494:G631,K494:K631,"0",B494:B631,"5 1*")</f>
        <v>0</v>
      </c>
      <c r="H493" s="31">
        <f t="shared" si="11"/>
        <v>2092459.85</v>
      </c>
      <c r="I493" s="31"/>
      <c r="K493" t="s">
        <v>13</v>
      </c>
    </row>
    <row r="494" spans="2:11" ht="13" x14ac:dyDescent="0.15">
      <c r="B494" s="29" t="s">
        <v>745</v>
      </c>
      <c r="C494" s="29" t="s">
        <v>746</v>
      </c>
      <c r="D494" s="31">
        <f>SUMIFS(D495:D631,K495:K631,"0",B495:B631,"5 1 1*")-SUMIFS(E495:E631,K495:K631,"0",B495:B631,"5 1 1*")</f>
        <v>0</v>
      </c>
      <c r="E494"/>
      <c r="F494" s="31">
        <f>SUMIFS(F495:F631,K495:K631,"0",B495:B631,"5 1 1*")</f>
        <v>0</v>
      </c>
      <c r="G494" s="31">
        <f>SUMIFS(G495:G631,K495:K631,"0",B495:B631,"5 1 1*")</f>
        <v>0</v>
      </c>
      <c r="H494" s="31">
        <f t="shared" si="11"/>
        <v>0</v>
      </c>
      <c r="I494" s="31"/>
      <c r="K494" t="s">
        <v>13</v>
      </c>
    </row>
    <row r="495" spans="2:11" ht="13" x14ac:dyDescent="0.15">
      <c r="B495" s="29" t="s">
        <v>747</v>
      </c>
      <c r="C495" s="29" t="s">
        <v>748</v>
      </c>
      <c r="D495" s="31">
        <f>SUMIFS(D496:D631,K496:K631,"0",B496:B631,"5 1 2*")-SUMIFS(E496:E631,K496:K631,"0",B496:B631,"5 1 2*")</f>
        <v>0</v>
      </c>
      <c r="E495"/>
      <c r="F495" s="31">
        <f>SUMIFS(F496:F631,K496:K631,"0",B496:B631,"5 1 2*")</f>
        <v>0</v>
      </c>
      <c r="G495" s="31">
        <f>SUMIFS(G496:G631,K496:K631,"0",B496:B631,"5 1 2*")</f>
        <v>0</v>
      </c>
      <c r="H495" s="31">
        <f t="shared" si="11"/>
        <v>0</v>
      </c>
      <c r="I495" s="31"/>
      <c r="K495" t="s">
        <v>13</v>
      </c>
    </row>
    <row r="496" spans="2:11" ht="13" x14ac:dyDescent="0.15">
      <c r="B496" s="29" t="s">
        <v>749</v>
      </c>
      <c r="C496" s="29" t="s">
        <v>750</v>
      </c>
      <c r="D496" s="31">
        <f>SUMIFS(D497:D631,K497:K631,"0",B497:B631,"5 1 3*")-SUMIFS(E497:E631,K497:K631,"0",B497:B631,"5 1 3*")</f>
        <v>0</v>
      </c>
      <c r="E496"/>
      <c r="F496" s="31">
        <f>SUMIFS(F497:F631,K497:K631,"0",B497:B631,"5 1 3*")</f>
        <v>2092459.85</v>
      </c>
      <c r="G496" s="31">
        <f>SUMIFS(G497:G631,K497:K631,"0",B497:B631,"5 1 3*")</f>
        <v>0</v>
      </c>
      <c r="H496" s="31">
        <f t="shared" si="11"/>
        <v>2092459.85</v>
      </c>
      <c r="I496" s="31"/>
      <c r="K496" t="s">
        <v>13</v>
      </c>
    </row>
    <row r="497" spans="2:11" ht="13" x14ac:dyDescent="0.15">
      <c r="B497" s="29" t="s">
        <v>751</v>
      </c>
      <c r="C497" s="29" t="s">
        <v>752</v>
      </c>
      <c r="D497" s="31">
        <f>SUMIFS(D498:D631,K498:K631,"0",B498:B631,"5 1 3 2*")-SUMIFS(E498:E631,K498:K631,"0",B498:B631,"5 1 3 2*")</f>
        <v>0</v>
      </c>
      <c r="E497"/>
      <c r="F497" s="31">
        <f>SUMIFS(F498:F631,K498:K631,"0",B498:B631,"5 1 3 2*")</f>
        <v>634497.25</v>
      </c>
      <c r="G497" s="31">
        <f>SUMIFS(G498:G631,K498:K631,"0",B498:B631,"5 1 3 2*")</f>
        <v>0</v>
      </c>
      <c r="H497" s="31">
        <f t="shared" si="11"/>
        <v>634497.25</v>
      </c>
      <c r="I497" s="31"/>
      <c r="K497" t="s">
        <v>13</v>
      </c>
    </row>
    <row r="498" spans="2:11" ht="13" x14ac:dyDescent="0.15">
      <c r="B498" s="29" t="s">
        <v>753</v>
      </c>
      <c r="C498" s="29" t="s">
        <v>754</v>
      </c>
      <c r="D498" s="31">
        <f>SUMIFS(D499:D631,K499:K631,"0",B499:B631,"5 1 3 2 5*")-SUMIFS(E499:E631,K499:K631,"0",B499:B631,"5 1 3 2 5*")</f>
        <v>0</v>
      </c>
      <c r="E498"/>
      <c r="F498" s="31">
        <f>SUMIFS(F499:F631,K499:K631,"0",B499:B631,"5 1 3 2 5*")</f>
        <v>634497.25</v>
      </c>
      <c r="G498" s="31">
        <f>SUMIFS(G499:G631,K499:K631,"0",B499:B631,"5 1 3 2 5*")</f>
        <v>0</v>
      </c>
      <c r="H498" s="31">
        <f t="shared" si="11"/>
        <v>634497.25</v>
      </c>
      <c r="I498" s="31"/>
      <c r="K498" t="s">
        <v>13</v>
      </c>
    </row>
    <row r="499" spans="2:11" ht="13" x14ac:dyDescent="0.15">
      <c r="B499" s="29" t="s">
        <v>755</v>
      </c>
      <c r="C499" s="29" t="s">
        <v>24</v>
      </c>
      <c r="D499" s="31">
        <f>SUMIFS(D500:D631,K500:K631,"0",B500:B631,"5 1 3 2 5 12*")-SUMIFS(E500:E631,K500:K631,"0",B500:B631,"5 1 3 2 5 12*")</f>
        <v>0</v>
      </c>
      <c r="E499"/>
      <c r="F499" s="31">
        <f>SUMIFS(F500:F631,K500:K631,"0",B500:B631,"5 1 3 2 5 12*")</f>
        <v>634497.25</v>
      </c>
      <c r="G499" s="31">
        <f>SUMIFS(G500:G631,K500:K631,"0",B500:B631,"5 1 3 2 5 12*")</f>
        <v>0</v>
      </c>
      <c r="H499" s="31">
        <f t="shared" si="11"/>
        <v>634497.25</v>
      </c>
      <c r="I499" s="31"/>
      <c r="K499" t="s">
        <v>13</v>
      </c>
    </row>
    <row r="500" spans="2:11" ht="13" x14ac:dyDescent="0.15">
      <c r="B500" s="29" t="s">
        <v>756</v>
      </c>
      <c r="C500" s="29" t="s">
        <v>26</v>
      </c>
      <c r="D500" s="31">
        <f>SUMIFS(D501:D631,K501:K631,"0",B501:B631,"5 1 3 2 5 12 31111*")-SUMIFS(E501:E631,K501:K631,"0",B501:B631,"5 1 3 2 5 12 31111*")</f>
        <v>0</v>
      </c>
      <c r="E500"/>
      <c r="F500" s="31">
        <f>SUMIFS(F501:F631,K501:K631,"0",B501:B631,"5 1 3 2 5 12 31111*")</f>
        <v>634497.25</v>
      </c>
      <c r="G500" s="31">
        <f>SUMIFS(G501:G631,K501:K631,"0",B501:B631,"5 1 3 2 5 12 31111*")</f>
        <v>0</v>
      </c>
      <c r="H500" s="31">
        <f t="shared" si="11"/>
        <v>634497.25</v>
      </c>
      <c r="I500" s="31"/>
      <c r="K500" t="s">
        <v>13</v>
      </c>
    </row>
    <row r="501" spans="2:11" ht="13" x14ac:dyDescent="0.15">
      <c r="B501" s="29" t="s">
        <v>757</v>
      </c>
      <c r="C501" s="29" t="s">
        <v>28</v>
      </c>
      <c r="D501" s="31">
        <f>SUMIFS(D502:D631,K502:K631,"0",B502:B631,"5 1 3 2 5 12 31111 6*")-SUMIFS(E502:E631,K502:K631,"0",B502:B631,"5 1 3 2 5 12 31111 6*")</f>
        <v>0</v>
      </c>
      <c r="E501"/>
      <c r="F501" s="31">
        <f>SUMIFS(F502:F631,K502:K631,"0",B502:B631,"5 1 3 2 5 12 31111 6*")</f>
        <v>634497.25</v>
      </c>
      <c r="G501" s="31">
        <f>SUMIFS(G502:G631,K502:K631,"0",B502:B631,"5 1 3 2 5 12 31111 6*")</f>
        <v>0</v>
      </c>
      <c r="H501" s="31">
        <f t="shared" si="11"/>
        <v>634497.25</v>
      </c>
      <c r="I501" s="31"/>
      <c r="K501" t="s">
        <v>13</v>
      </c>
    </row>
    <row r="502" spans="2:11" ht="13" x14ac:dyDescent="0.15">
      <c r="B502" s="29" t="s">
        <v>758</v>
      </c>
      <c r="C502" s="29" t="s">
        <v>759</v>
      </c>
      <c r="D502" s="31">
        <f>SUMIFS(D503:D631,K503:K631,"0",B503:B631,"5 1 3 2 5 12 31111 6 M78*")-SUMIFS(E503:E631,K503:K631,"0",B503:B631,"5 1 3 2 5 12 31111 6 M78*")</f>
        <v>0</v>
      </c>
      <c r="E502"/>
      <c r="F502" s="31">
        <f>SUMIFS(F503:F631,K503:K631,"0",B503:B631,"5 1 3 2 5 12 31111 6 M78*")</f>
        <v>634497.25</v>
      </c>
      <c r="G502" s="31">
        <f>SUMIFS(G503:G631,K503:K631,"0",B503:B631,"5 1 3 2 5 12 31111 6 M78*")</f>
        <v>0</v>
      </c>
      <c r="H502" s="31">
        <f t="shared" si="11"/>
        <v>634497.25</v>
      </c>
      <c r="I502" s="31"/>
      <c r="K502" t="s">
        <v>13</v>
      </c>
    </row>
    <row r="503" spans="2:11" ht="13" x14ac:dyDescent="0.15">
      <c r="B503" s="29" t="s">
        <v>760</v>
      </c>
      <c r="C503" s="29" t="s">
        <v>124</v>
      </c>
      <c r="D503" s="31">
        <f>SUMIFS(D504:D631,K504:K631,"0",B504:B631,"5 1 3 2 5 12 31111 6 M78 10000*")-SUMIFS(E504:E631,K504:K631,"0",B504:B631,"5 1 3 2 5 12 31111 6 M78 10000*")</f>
        <v>0</v>
      </c>
      <c r="E503"/>
      <c r="F503" s="31">
        <f>SUMIFS(F504:F631,K504:K631,"0",B504:B631,"5 1 3 2 5 12 31111 6 M78 10000*")</f>
        <v>634497.25</v>
      </c>
      <c r="G503" s="31">
        <f>SUMIFS(G504:G631,K504:K631,"0",B504:B631,"5 1 3 2 5 12 31111 6 M78 10000*")</f>
        <v>0</v>
      </c>
      <c r="H503" s="31">
        <f t="shared" si="11"/>
        <v>634497.25</v>
      </c>
      <c r="I503" s="31"/>
      <c r="K503" t="s">
        <v>13</v>
      </c>
    </row>
    <row r="504" spans="2:11" ht="13" x14ac:dyDescent="0.15">
      <c r="B504" s="29" t="s">
        <v>761</v>
      </c>
      <c r="C504" s="29" t="s">
        <v>762</v>
      </c>
      <c r="D504" s="31">
        <f>SUMIFS(D505:D631,K505:K631,"0",B505:B631,"5 1 3 2 5 12 31111 6 M78 10000 151*")-SUMIFS(E505:E631,K505:K631,"0",B505:B631,"5 1 3 2 5 12 31111 6 M78 10000 151*")</f>
        <v>0</v>
      </c>
      <c r="E504"/>
      <c r="F504" s="31">
        <f>SUMIFS(F505:F631,K505:K631,"0",B505:B631,"5 1 3 2 5 12 31111 6 M78 10000 151*")</f>
        <v>634497.25</v>
      </c>
      <c r="G504" s="31">
        <f>SUMIFS(G505:G631,K505:K631,"0",B505:B631,"5 1 3 2 5 12 31111 6 M78 10000 151*")</f>
        <v>0</v>
      </c>
      <c r="H504" s="31">
        <f t="shared" si="11"/>
        <v>634497.25</v>
      </c>
      <c r="I504" s="31"/>
      <c r="K504" t="s">
        <v>13</v>
      </c>
    </row>
    <row r="505" spans="2:11" ht="13" x14ac:dyDescent="0.15">
      <c r="B505" s="29" t="s">
        <v>763</v>
      </c>
      <c r="C505" s="29" t="s">
        <v>128</v>
      </c>
      <c r="D505" s="31">
        <f>SUMIFS(D506:D631,K506:K631,"0",B506:B631,"5 1 3 2 5 12 31111 6 M78 10000 151 00I*")-SUMIFS(E506:E631,K506:K631,"0",B506:B631,"5 1 3 2 5 12 31111 6 M78 10000 151 00I*")</f>
        <v>0</v>
      </c>
      <c r="E505"/>
      <c r="F505" s="31">
        <f>SUMIFS(F506:F631,K506:K631,"0",B506:B631,"5 1 3 2 5 12 31111 6 M78 10000 151 00I*")</f>
        <v>634497.25</v>
      </c>
      <c r="G505" s="31">
        <f>SUMIFS(G506:G631,K506:K631,"0",B506:B631,"5 1 3 2 5 12 31111 6 M78 10000 151 00I*")</f>
        <v>0</v>
      </c>
      <c r="H505" s="31">
        <f t="shared" si="11"/>
        <v>634497.25</v>
      </c>
      <c r="I505" s="31"/>
      <c r="K505" t="s">
        <v>13</v>
      </c>
    </row>
    <row r="506" spans="2:11" ht="13" x14ac:dyDescent="0.15">
      <c r="B506" s="29" t="s">
        <v>764</v>
      </c>
      <c r="C506" s="29" t="s">
        <v>686</v>
      </c>
      <c r="D506" s="31">
        <f>SUMIFS(D507:D631,K507:K631,"0",B507:B631,"5 1 3 2 5 12 31111 6 M78 10000 151 00I 001*")-SUMIFS(E507:E631,K507:K631,"0",B507:B631,"5 1 3 2 5 12 31111 6 M78 10000 151 00I 001*")</f>
        <v>0</v>
      </c>
      <c r="E506"/>
      <c r="F506" s="31">
        <f>SUMIFS(F507:F631,K507:K631,"0",B507:B631,"5 1 3 2 5 12 31111 6 M78 10000 151 00I 001*")</f>
        <v>634497.25</v>
      </c>
      <c r="G506" s="31">
        <f>SUMIFS(G507:G631,K507:K631,"0",B507:B631,"5 1 3 2 5 12 31111 6 M78 10000 151 00I 001*")</f>
        <v>0</v>
      </c>
      <c r="H506" s="31">
        <f t="shared" si="11"/>
        <v>634497.25</v>
      </c>
      <c r="I506" s="31"/>
      <c r="K506" t="s">
        <v>13</v>
      </c>
    </row>
    <row r="507" spans="2:11" ht="22" x14ac:dyDescent="0.15">
      <c r="B507" s="29" t="s">
        <v>765</v>
      </c>
      <c r="C507" s="29" t="s">
        <v>766</v>
      </c>
      <c r="D507" s="31">
        <f>SUMIFS(D508:D631,K508:K631,"0",B508:B631,"5 1 3 2 5 12 31111 6 M78 10000 151 00I 001 32503*")-SUMIFS(E508:E631,K508:K631,"0",B508:B631,"5 1 3 2 5 12 31111 6 M78 10000 151 00I 001 32503*")</f>
        <v>0</v>
      </c>
      <c r="E507"/>
      <c r="F507" s="31">
        <f>SUMIFS(F508:F631,K508:K631,"0",B508:B631,"5 1 3 2 5 12 31111 6 M78 10000 151 00I 001 32503*")</f>
        <v>634497.25</v>
      </c>
      <c r="G507" s="31">
        <f>SUMIFS(G508:G631,K508:K631,"0",B508:B631,"5 1 3 2 5 12 31111 6 M78 10000 151 00I 001 32503*")</f>
        <v>0</v>
      </c>
      <c r="H507" s="31">
        <f t="shared" si="11"/>
        <v>634497.25</v>
      </c>
      <c r="I507" s="31"/>
      <c r="K507" t="s">
        <v>13</v>
      </c>
    </row>
    <row r="508" spans="2:11" ht="13" x14ac:dyDescent="0.15">
      <c r="B508" s="29" t="s">
        <v>767</v>
      </c>
      <c r="C508" s="29" t="s">
        <v>134</v>
      </c>
      <c r="D508" s="31">
        <f>SUMIFS(D509:D631,K509:K631,"0",B509:B631,"5 1 3 2 5 12 31111 6 M78 10000 151 00I 001 32503 025*")-SUMIFS(E509:E631,K509:K631,"0",B509:B631,"5 1 3 2 5 12 31111 6 M78 10000 151 00I 001 32503 025*")</f>
        <v>0</v>
      </c>
      <c r="E508"/>
      <c r="F508" s="31">
        <f>SUMIFS(F509:F631,K509:K631,"0",B509:B631,"5 1 3 2 5 12 31111 6 M78 10000 151 00I 001 32503 025*")</f>
        <v>634497.25</v>
      </c>
      <c r="G508" s="31">
        <f>SUMIFS(G509:G631,K509:K631,"0",B509:B631,"5 1 3 2 5 12 31111 6 M78 10000 151 00I 001 32503 025*")</f>
        <v>0</v>
      </c>
      <c r="H508" s="31">
        <f t="shared" si="11"/>
        <v>634497.25</v>
      </c>
      <c r="I508" s="31"/>
      <c r="K508" t="s">
        <v>13</v>
      </c>
    </row>
    <row r="509" spans="2:11" ht="22" x14ac:dyDescent="0.15">
      <c r="B509" s="29" t="s">
        <v>768</v>
      </c>
      <c r="C509" s="29" t="s">
        <v>405</v>
      </c>
      <c r="D509" s="31">
        <f>SUMIFS(D510:D631,K510:K631,"0",B510:B631,"5 1 3 2 5 12 31111 6 M78 10000 151 00I 001 32503 025 2112000*")-SUMIFS(E510:E631,K510:K631,"0",B510:B631,"5 1 3 2 5 12 31111 6 M78 10000 151 00I 001 32503 025 2112000*")</f>
        <v>0</v>
      </c>
      <c r="E509"/>
      <c r="F509" s="31">
        <f>SUMIFS(F510:F631,K510:K631,"0",B510:B631,"5 1 3 2 5 12 31111 6 M78 10000 151 00I 001 32503 025 2112000*")</f>
        <v>634497.25</v>
      </c>
      <c r="G509" s="31">
        <f>SUMIFS(G510:G631,K510:K631,"0",B510:B631,"5 1 3 2 5 12 31111 6 M78 10000 151 00I 001 32503 025 2112000*")</f>
        <v>0</v>
      </c>
      <c r="H509" s="31">
        <f t="shared" si="11"/>
        <v>634497.25</v>
      </c>
      <c r="I509" s="31"/>
      <c r="K509" t="s">
        <v>13</v>
      </c>
    </row>
    <row r="510" spans="2:11" ht="22" x14ac:dyDescent="0.15">
      <c r="B510" s="29" t="s">
        <v>769</v>
      </c>
      <c r="C510" s="29" t="s">
        <v>138</v>
      </c>
      <c r="D510" s="31">
        <f>SUMIFS(D511:D631,K511:K631,"0",B511:B631,"5 1 3 2 5 12 31111 6 M78 10000 151 00I 001 32503 025 2112000 2024*")-SUMIFS(E511:E631,K511:K631,"0",B511:B631,"5 1 3 2 5 12 31111 6 M78 10000 151 00I 001 32503 025 2112000 2024*")</f>
        <v>0</v>
      </c>
      <c r="E510"/>
      <c r="F510" s="31">
        <f>SUMIFS(F511:F631,K511:K631,"0",B511:B631,"5 1 3 2 5 12 31111 6 M78 10000 151 00I 001 32503 025 2112000 2024*")</f>
        <v>634497.25</v>
      </c>
      <c r="G510" s="31">
        <f>SUMIFS(G511:G631,K511:K631,"0",B511:B631,"5 1 3 2 5 12 31111 6 M78 10000 151 00I 001 32503 025 2112000 2024*")</f>
        <v>0</v>
      </c>
      <c r="H510" s="31">
        <f t="shared" si="11"/>
        <v>634497.25</v>
      </c>
      <c r="I510" s="31"/>
      <c r="K510" t="s">
        <v>13</v>
      </c>
    </row>
    <row r="511" spans="2:11" ht="22" x14ac:dyDescent="0.15">
      <c r="B511" s="29" t="s">
        <v>770</v>
      </c>
      <c r="C511" s="29" t="s">
        <v>140</v>
      </c>
      <c r="D511" s="31">
        <f>SUMIFS(D512:D631,K512:K631,"0",B512:B631,"5 1 3 2 5 12 31111 6 M78 10000 151 00I 001 32503 025 2112000 2024 00000000*")-SUMIFS(E512:E631,K512:K631,"0",B512:B631,"5 1 3 2 5 12 31111 6 M78 10000 151 00I 001 32503 025 2112000 2024 00000000*")</f>
        <v>0</v>
      </c>
      <c r="E511"/>
      <c r="F511" s="31">
        <f>SUMIFS(F512:F631,K512:K631,"0",B512:B631,"5 1 3 2 5 12 31111 6 M78 10000 151 00I 001 32503 025 2112000 2024 00000000*")</f>
        <v>634497.25</v>
      </c>
      <c r="G511" s="31">
        <f>SUMIFS(G512:G631,K512:K631,"0",B512:B631,"5 1 3 2 5 12 31111 6 M78 10000 151 00I 001 32503 025 2112000 2024 00000000*")</f>
        <v>0</v>
      </c>
      <c r="H511" s="31">
        <f t="shared" si="11"/>
        <v>634497.25</v>
      </c>
      <c r="I511" s="31"/>
      <c r="K511" t="s">
        <v>13</v>
      </c>
    </row>
    <row r="512" spans="2:11" ht="22" x14ac:dyDescent="0.15">
      <c r="B512" s="29" t="s">
        <v>771</v>
      </c>
      <c r="C512" s="29" t="s">
        <v>759</v>
      </c>
      <c r="D512" s="31">
        <f>SUMIFS(D513:D631,K513:K631,"0",B513:B631,"5 1 3 2 5 12 31111 6 M78 10000 151 00I 001 32503 025 2112000 2024 00000000 003*")-SUMIFS(E513:E631,K513:K631,"0",B513:B631,"5 1 3 2 5 12 31111 6 M78 10000 151 00I 001 32503 025 2112000 2024 00000000 003*")</f>
        <v>0</v>
      </c>
      <c r="E512"/>
      <c r="F512" s="31">
        <f>SUMIFS(F513:F631,K513:K631,"0",B513:B631,"5 1 3 2 5 12 31111 6 M78 10000 151 00I 001 32503 025 2112000 2024 00000000 003*")</f>
        <v>634497.25</v>
      </c>
      <c r="G512" s="31">
        <f>SUMIFS(G513:G631,K513:K631,"0",B513:B631,"5 1 3 2 5 12 31111 6 M78 10000 151 00I 001 32503 025 2112000 2024 00000000 003*")</f>
        <v>0</v>
      </c>
      <c r="H512" s="31">
        <f t="shared" si="11"/>
        <v>634497.25</v>
      </c>
      <c r="I512" s="31"/>
      <c r="K512" t="s">
        <v>13</v>
      </c>
    </row>
    <row r="513" spans="2:11" ht="22" x14ac:dyDescent="0.15">
      <c r="B513" s="27" t="s">
        <v>772</v>
      </c>
      <c r="C513" s="27" t="s">
        <v>773</v>
      </c>
      <c r="D513" s="30">
        <v>0</v>
      </c>
      <c r="E513" s="30"/>
      <c r="F513" s="30">
        <v>634497.25</v>
      </c>
      <c r="G513" s="30">
        <v>0</v>
      </c>
      <c r="H513" s="30">
        <f t="shared" si="11"/>
        <v>634497.25</v>
      </c>
      <c r="I513" s="30"/>
      <c r="K513" t="s">
        <v>37</v>
      </c>
    </row>
    <row r="514" spans="2:11" ht="13" x14ac:dyDescent="0.15">
      <c r="B514" s="29" t="s">
        <v>774</v>
      </c>
      <c r="C514" s="29" t="s">
        <v>775</v>
      </c>
      <c r="D514" s="31">
        <f>SUMIFS(D515:D631,K515:K631,"0",B515:B631,"5 1 3 3*")-SUMIFS(E515:E631,K515:K631,"0",B515:B631,"5 1 3 3*")</f>
        <v>0</v>
      </c>
      <c r="E514"/>
      <c r="F514" s="31">
        <f>SUMIFS(F515:F631,K515:K631,"0",B515:B631,"5 1 3 3*")</f>
        <v>406000</v>
      </c>
      <c r="G514" s="31">
        <f>SUMIFS(G515:G631,K515:K631,"0",B515:B631,"5 1 3 3*")</f>
        <v>0</v>
      </c>
      <c r="H514" s="31">
        <f t="shared" si="11"/>
        <v>406000</v>
      </c>
      <c r="I514" s="31"/>
      <c r="K514" t="s">
        <v>13</v>
      </c>
    </row>
    <row r="515" spans="2:11" ht="13" x14ac:dyDescent="0.15">
      <c r="B515" s="29" t="s">
        <v>776</v>
      </c>
      <c r="C515" s="29" t="s">
        <v>777</v>
      </c>
      <c r="D515" s="31">
        <f>SUMIFS(D516:D631,K516:K631,"0",B516:B631,"5 1 3 3 2*")-SUMIFS(E516:E631,K516:K631,"0",B516:B631,"5 1 3 3 2*")</f>
        <v>0</v>
      </c>
      <c r="E515"/>
      <c r="F515" s="31">
        <f>SUMIFS(F516:F631,K516:K631,"0",B516:B631,"5 1 3 3 2*")</f>
        <v>406000</v>
      </c>
      <c r="G515" s="31">
        <f>SUMIFS(G516:G631,K516:K631,"0",B516:B631,"5 1 3 3 2*")</f>
        <v>0</v>
      </c>
      <c r="H515" s="31">
        <f t="shared" si="11"/>
        <v>406000</v>
      </c>
      <c r="I515" s="31"/>
      <c r="K515" t="s">
        <v>13</v>
      </c>
    </row>
    <row r="516" spans="2:11" ht="13" x14ac:dyDescent="0.15">
      <c r="B516" s="29" t="s">
        <v>778</v>
      </c>
      <c r="C516" s="29" t="s">
        <v>24</v>
      </c>
      <c r="D516" s="31">
        <f>SUMIFS(D517:D631,K517:K631,"0",B517:B631,"5 1 3 3 2 12*")-SUMIFS(E517:E631,K517:K631,"0",B517:B631,"5 1 3 3 2 12*")</f>
        <v>0</v>
      </c>
      <c r="E516"/>
      <c r="F516" s="31">
        <f>SUMIFS(F517:F631,K517:K631,"0",B517:B631,"5 1 3 3 2 12*")</f>
        <v>406000</v>
      </c>
      <c r="G516" s="31">
        <f>SUMIFS(G517:G631,K517:K631,"0",B517:B631,"5 1 3 3 2 12*")</f>
        <v>0</v>
      </c>
      <c r="H516" s="31">
        <f t="shared" si="11"/>
        <v>406000</v>
      </c>
      <c r="I516" s="31"/>
      <c r="K516" t="s">
        <v>13</v>
      </c>
    </row>
    <row r="517" spans="2:11" ht="13" x14ac:dyDescent="0.15">
      <c r="B517" s="29" t="s">
        <v>779</v>
      </c>
      <c r="C517" s="29" t="s">
        <v>26</v>
      </c>
      <c r="D517" s="31">
        <f>SUMIFS(D518:D631,K518:K631,"0",B518:B631,"5 1 3 3 2 12 31111*")-SUMIFS(E518:E631,K518:K631,"0",B518:B631,"5 1 3 3 2 12 31111*")</f>
        <v>0</v>
      </c>
      <c r="E517"/>
      <c r="F517" s="31">
        <f>SUMIFS(F518:F631,K518:K631,"0",B518:B631,"5 1 3 3 2 12 31111*")</f>
        <v>406000</v>
      </c>
      <c r="G517" s="31">
        <f>SUMIFS(G518:G631,K518:K631,"0",B518:B631,"5 1 3 3 2 12 31111*")</f>
        <v>0</v>
      </c>
      <c r="H517" s="31">
        <f t="shared" si="11"/>
        <v>406000</v>
      </c>
      <c r="I517" s="31"/>
      <c r="K517" t="s">
        <v>13</v>
      </c>
    </row>
    <row r="518" spans="2:11" ht="13" x14ac:dyDescent="0.15">
      <c r="B518" s="29" t="s">
        <v>780</v>
      </c>
      <c r="C518" s="29" t="s">
        <v>28</v>
      </c>
      <c r="D518" s="31">
        <f>SUMIFS(D519:D631,K519:K631,"0",B519:B631,"5 1 3 3 2 12 31111 6*")-SUMIFS(E519:E631,K519:K631,"0",B519:B631,"5 1 3 3 2 12 31111 6*")</f>
        <v>0</v>
      </c>
      <c r="E518"/>
      <c r="F518" s="31">
        <f>SUMIFS(F519:F631,K519:K631,"0",B519:B631,"5 1 3 3 2 12 31111 6*")</f>
        <v>406000</v>
      </c>
      <c r="G518" s="31">
        <f>SUMIFS(G519:G631,K519:K631,"0",B519:B631,"5 1 3 3 2 12 31111 6*")</f>
        <v>0</v>
      </c>
      <c r="H518" s="31">
        <f t="shared" si="11"/>
        <v>406000</v>
      </c>
      <c r="I518" s="31"/>
      <c r="K518" t="s">
        <v>13</v>
      </c>
    </row>
    <row r="519" spans="2:11" ht="13" x14ac:dyDescent="0.15">
      <c r="B519" s="29" t="s">
        <v>781</v>
      </c>
      <c r="C519" s="29" t="s">
        <v>759</v>
      </c>
      <c r="D519" s="31">
        <f>SUMIFS(D520:D631,K520:K631,"0",B520:B631,"5 1 3 3 2 12 31111 6 M78*")-SUMIFS(E520:E631,K520:K631,"0",B520:B631,"5 1 3 3 2 12 31111 6 M78*")</f>
        <v>0</v>
      </c>
      <c r="E519"/>
      <c r="F519" s="31">
        <f>SUMIFS(F520:F631,K520:K631,"0",B520:B631,"5 1 3 3 2 12 31111 6 M78*")</f>
        <v>406000</v>
      </c>
      <c r="G519" s="31">
        <f>SUMIFS(G520:G631,K520:K631,"0",B520:B631,"5 1 3 3 2 12 31111 6 M78*")</f>
        <v>0</v>
      </c>
      <c r="H519" s="31">
        <f t="shared" si="11"/>
        <v>406000</v>
      </c>
      <c r="I519" s="31"/>
      <c r="K519" t="s">
        <v>13</v>
      </c>
    </row>
    <row r="520" spans="2:11" ht="13" x14ac:dyDescent="0.15">
      <c r="B520" s="29" t="s">
        <v>782</v>
      </c>
      <c r="C520" s="29" t="s">
        <v>124</v>
      </c>
      <c r="D520" s="31">
        <f>SUMIFS(D521:D631,K521:K631,"0",B521:B631,"5 1 3 3 2 12 31111 6 M78 10000*")-SUMIFS(E521:E631,K521:K631,"0",B521:B631,"5 1 3 3 2 12 31111 6 M78 10000*")</f>
        <v>0</v>
      </c>
      <c r="E520"/>
      <c r="F520" s="31">
        <f>SUMIFS(F521:F631,K521:K631,"0",B521:B631,"5 1 3 3 2 12 31111 6 M78 10000*")</f>
        <v>406000</v>
      </c>
      <c r="G520" s="31">
        <f>SUMIFS(G521:G631,K521:K631,"0",B521:B631,"5 1 3 3 2 12 31111 6 M78 10000*")</f>
        <v>0</v>
      </c>
      <c r="H520" s="31">
        <f t="shared" si="11"/>
        <v>406000</v>
      </c>
      <c r="I520" s="31"/>
      <c r="K520" t="s">
        <v>13</v>
      </c>
    </row>
    <row r="521" spans="2:11" ht="13" x14ac:dyDescent="0.15">
      <c r="B521" s="29" t="s">
        <v>783</v>
      </c>
      <c r="C521" s="29" t="s">
        <v>762</v>
      </c>
      <c r="D521" s="31">
        <f>SUMIFS(D522:D631,K522:K631,"0",B522:B631,"5 1 3 3 2 12 31111 6 M78 10000 151*")-SUMIFS(E522:E631,K522:K631,"0",B522:B631,"5 1 3 3 2 12 31111 6 M78 10000 151*")</f>
        <v>0</v>
      </c>
      <c r="E521"/>
      <c r="F521" s="31">
        <f>SUMIFS(F522:F631,K522:K631,"0",B522:B631,"5 1 3 3 2 12 31111 6 M78 10000 151*")</f>
        <v>406000</v>
      </c>
      <c r="G521" s="31">
        <f>SUMIFS(G522:G631,K522:K631,"0",B522:B631,"5 1 3 3 2 12 31111 6 M78 10000 151*")</f>
        <v>0</v>
      </c>
      <c r="H521" s="31">
        <f t="shared" si="11"/>
        <v>406000</v>
      </c>
      <c r="I521" s="31"/>
      <c r="K521" t="s">
        <v>13</v>
      </c>
    </row>
    <row r="522" spans="2:11" ht="13" x14ac:dyDescent="0.15">
      <c r="B522" s="29" t="s">
        <v>784</v>
      </c>
      <c r="C522" s="29" t="s">
        <v>128</v>
      </c>
      <c r="D522" s="31">
        <f>SUMIFS(D523:D631,K523:K631,"0",B523:B631,"5 1 3 3 2 12 31111 6 M78 10000 151 00I*")-SUMIFS(E523:E631,K523:K631,"0",B523:B631,"5 1 3 3 2 12 31111 6 M78 10000 151 00I*")</f>
        <v>0</v>
      </c>
      <c r="E522"/>
      <c r="F522" s="31">
        <f>SUMIFS(F523:F631,K523:K631,"0",B523:B631,"5 1 3 3 2 12 31111 6 M78 10000 151 00I*")</f>
        <v>406000</v>
      </c>
      <c r="G522" s="31">
        <f>SUMIFS(G523:G631,K523:K631,"0",B523:B631,"5 1 3 3 2 12 31111 6 M78 10000 151 00I*")</f>
        <v>0</v>
      </c>
      <c r="H522" s="31">
        <f t="shared" si="11"/>
        <v>406000</v>
      </c>
      <c r="I522" s="31"/>
      <c r="K522" t="s">
        <v>13</v>
      </c>
    </row>
    <row r="523" spans="2:11" ht="13" x14ac:dyDescent="0.15">
      <c r="B523" s="29" t="s">
        <v>785</v>
      </c>
      <c r="C523" s="29" t="s">
        <v>686</v>
      </c>
      <c r="D523" s="31">
        <f>SUMIFS(D524:D631,K524:K631,"0",B524:B631,"5 1 3 3 2 12 31111 6 M78 10000 151 00I 001*")-SUMIFS(E524:E631,K524:K631,"0",B524:B631,"5 1 3 3 2 12 31111 6 M78 10000 151 00I 001*")</f>
        <v>0</v>
      </c>
      <c r="E523"/>
      <c r="F523" s="31">
        <f>SUMIFS(F524:F631,K524:K631,"0",B524:B631,"5 1 3 3 2 12 31111 6 M78 10000 151 00I 001*")</f>
        <v>406000</v>
      </c>
      <c r="G523" s="31">
        <f>SUMIFS(G524:G631,K524:K631,"0",B524:B631,"5 1 3 3 2 12 31111 6 M78 10000 151 00I 001*")</f>
        <v>0</v>
      </c>
      <c r="H523" s="31">
        <f t="shared" si="11"/>
        <v>406000</v>
      </c>
      <c r="I523" s="31"/>
      <c r="K523" t="s">
        <v>13</v>
      </c>
    </row>
    <row r="524" spans="2:11" ht="13" x14ac:dyDescent="0.15">
      <c r="B524" s="29" t="s">
        <v>786</v>
      </c>
      <c r="C524" s="29" t="s">
        <v>787</v>
      </c>
      <c r="D524" s="31">
        <f>SUMIFS(D525:D631,K525:K631,"0",B525:B631,"5 1 3 3 2 12 31111 6 M78 10000 151 00I 001 33201*")-SUMIFS(E525:E631,K525:K631,"0",B525:B631,"5 1 3 3 2 12 31111 6 M78 10000 151 00I 001 33201*")</f>
        <v>0</v>
      </c>
      <c r="E524"/>
      <c r="F524" s="31">
        <f>SUMIFS(F525:F631,K525:K631,"0",B525:B631,"5 1 3 3 2 12 31111 6 M78 10000 151 00I 001 33201*")</f>
        <v>406000</v>
      </c>
      <c r="G524" s="31">
        <f>SUMIFS(G525:G631,K525:K631,"0",B525:B631,"5 1 3 3 2 12 31111 6 M78 10000 151 00I 001 33201*")</f>
        <v>0</v>
      </c>
      <c r="H524" s="31">
        <f t="shared" ref="H524:H555" si="12">D524 + F524 - G524</f>
        <v>406000</v>
      </c>
      <c r="I524" s="31"/>
      <c r="K524" t="s">
        <v>13</v>
      </c>
    </row>
    <row r="525" spans="2:11" ht="13" x14ac:dyDescent="0.15">
      <c r="B525" s="29" t="s">
        <v>788</v>
      </c>
      <c r="C525" s="29" t="s">
        <v>134</v>
      </c>
      <c r="D525" s="31">
        <f>SUMIFS(D526:D631,K526:K631,"0",B526:B631,"5 1 3 3 2 12 31111 6 M78 10000 151 00I 001 33201 025*")-SUMIFS(E526:E631,K526:K631,"0",B526:B631,"5 1 3 3 2 12 31111 6 M78 10000 151 00I 001 33201 025*")</f>
        <v>0</v>
      </c>
      <c r="E525"/>
      <c r="F525" s="31">
        <f>SUMIFS(F526:F631,K526:K631,"0",B526:B631,"5 1 3 3 2 12 31111 6 M78 10000 151 00I 001 33201 025*")</f>
        <v>406000</v>
      </c>
      <c r="G525" s="31">
        <f>SUMIFS(G526:G631,K526:K631,"0",B526:B631,"5 1 3 3 2 12 31111 6 M78 10000 151 00I 001 33201 025*")</f>
        <v>0</v>
      </c>
      <c r="H525" s="31">
        <f t="shared" si="12"/>
        <v>406000</v>
      </c>
      <c r="I525" s="31"/>
      <c r="K525" t="s">
        <v>13</v>
      </c>
    </row>
    <row r="526" spans="2:11" ht="22" x14ac:dyDescent="0.15">
      <c r="B526" s="29" t="s">
        <v>789</v>
      </c>
      <c r="C526" s="29" t="s">
        <v>405</v>
      </c>
      <c r="D526" s="31">
        <f>SUMIFS(D527:D631,K527:K631,"0",B527:B631,"5 1 3 3 2 12 31111 6 M78 10000 151 00I 001 33201 025 2112000*")-SUMIFS(E527:E631,K527:K631,"0",B527:B631,"5 1 3 3 2 12 31111 6 M78 10000 151 00I 001 33201 025 2112000*")</f>
        <v>0</v>
      </c>
      <c r="E526"/>
      <c r="F526" s="31">
        <f>SUMIFS(F527:F631,K527:K631,"0",B527:B631,"5 1 3 3 2 12 31111 6 M78 10000 151 00I 001 33201 025 2112000*")</f>
        <v>406000</v>
      </c>
      <c r="G526" s="31">
        <f>SUMIFS(G527:G631,K527:K631,"0",B527:B631,"5 1 3 3 2 12 31111 6 M78 10000 151 00I 001 33201 025 2112000*")</f>
        <v>0</v>
      </c>
      <c r="H526" s="31">
        <f t="shared" si="12"/>
        <v>406000</v>
      </c>
      <c r="I526" s="31"/>
      <c r="K526" t="s">
        <v>13</v>
      </c>
    </row>
    <row r="527" spans="2:11" ht="22" x14ac:dyDescent="0.15">
      <c r="B527" s="29" t="s">
        <v>790</v>
      </c>
      <c r="C527" s="29" t="s">
        <v>138</v>
      </c>
      <c r="D527" s="31">
        <f>SUMIFS(D528:D631,K528:K631,"0",B528:B631,"5 1 3 3 2 12 31111 6 M78 10000 151 00I 001 33201 025 2112000 2024*")-SUMIFS(E528:E631,K528:K631,"0",B528:B631,"5 1 3 3 2 12 31111 6 M78 10000 151 00I 001 33201 025 2112000 2024*")</f>
        <v>0</v>
      </c>
      <c r="E527"/>
      <c r="F527" s="31">
        <f>SUMIFS(F528:F631,K528:K631,"0",B528:B631,"5 1 3 3 2 12 31111 6 M78 10000 151 00I 001 33201 025 2112000 2024*")</f>
        <v>406000</v>
      </c>
      <c r="G527" s="31">
        <f>SUMIFS(G528:G631,K528:K631,"0",B528:B631,"5 1 3 3 2 12 31111 6 M78 10000 151 00I 001 33201 025 2112000 2024*")</f>
        <v>0</v>
      </c>
      <c r="H527" s="31">
        <f t="shared" si="12"/>
        <v>406000</v>
      </c>
      <c r="I527" s="31"/>
      <c r="K527" t="s">
        <v>13</v>
      </c>
    </row>
    <row r="528" spans="2:11" ht="22" x14ac:dyDescent="0.15">
      <c r="B528" s="29" t="s">
        <v>791</v>
      </c>
      <c r="C528" s="29" t="s">
        <v>140</v>
      </c>
      <c r="D528" s="31">
        <f>SUMIFS(D529:D631,K529:K631,"0",B529:B631,"5 1 3 3 2 12 31111 6 M78 10000 151 00I 001 33201 025 2112000 2024 00000000*")-SUMIFS(E529:E631,K529:K631,"0",B529:B631,"5 1 3 3 2 12 31111 6 M78 10000 151 00I 001 33201 025 2112000 2024 00000000*")</f>
        <v>0</v>
      </c>
      <c r="E528"/>
      <c r="F528" s="31">
        <f>SUMIFS(F529:F631,K529:K631,"0",B529:B631,"5 1 3 3 2 12 31111 6 M78 10000 151 00I 001 33201 025 2112000 2024 00000000*")</f>
        <v>406000</v>
      </c>
      <c r="G528" s="31">
        <f>SUMIFS(G529:G631,K529:K631,"0",B529:B631,"5 1 3 3 2 12 31111 6 M78 10000 151 00I 001 33201 025 2112000 2024 00000000*")</f>
        <v>0</v>
      </c>
      <c r="H528" s="31">
        <f t="shared" si="12"/>
        <v>406000</v>
      </c>
      <c r="I528" s="31"/>
      <c r="K528" t="s">
        <v>13</v>
      </c>
    </row>
    <row r="529" spans="2:11" ht="22" x14ac:dyDescent="0.15">
      <c r="B529" s="27" t="s">
        <v>792</v>
      </c>
      <c r="C529" s="27" t="s">
        <v>793</v>
      </c>
      <c r="D529" s="30">
        <v>0</v>
      </c>
      <c r="E529" s="30"/>
      <c r="F529" s="30">
        <v>406000</v>
      </c>
      <c r="G529" s="30">
        <v>0</v>
      </c>
      <c r="H529" s="30">
        <f t="shared" si="12"/>
        <v>406000</v>
      </c>
      <c r="I529" s="30"/>
      <c r="K529" t="s">
        <v>37</v>
      </c>
    </row>
    <row r="530" spans="2:11" ht="13" x14ac:dyDescent="0.15">
      <c r="B530" s="29" t="s">
        <v>794</v>
      </c>
      <c r="C530" s="29" t="s">
        <v>795</v>
      </c>
      <c r="D530" s="31">
        <f>SUMIFS(D531:D631,K531:K631,"0",B531:B631,"5 1 3 5*")-SUMIFS(E531:E631,K531:K631,"0",B531:B631,"5 1 3 5*")</f>
        <v>0</v>
      </c>
      <c r="E530"/>
      <c r="F530" s="31">
        <f>SUMIFS(F531:F631,K531:K631,"0",B531:B631,"5 1 3 5*")</f>
        <v>1051962.6000000001</v>
      </c>
      <c r="G530" s="31">
        <f>SUMIFS(G531:G631,K531:K631,"0",B531:B631,"5 1 3 5*")</f>
        <v>0</v>
      </c>
      <c r="H530" s="31">
        <f t="shared" si="12"/>
        <v>1051962.6000000001</v>
      </c>
      <c r="I530" s="31"/>
      <c r="K530" t="s">
        <v>13</v>
      </c>
    </row>
    <row r="531" spans="2:11" ht="13" x14ac:dyDescent="0.15">
      <c r="B531" s="29" t="s">
        <v>796</v>
      </c>
      <c r="C531" s="29" t="s">
        <v>797</v>
      </c>
      <c r="D531" s="31">
        <f>SUMIFS(D532:D631,K532:K631,"0",B532:B631,"5 1 3 5 5*")-SUMIFS(E532:E631,K532:K631,"0",B532:B631,"5 1 3 5 5*")</f>
        <v>0</v>
      </c>
      <c r="E531"/>
      <c r="F531" s="31">
        <f>SUMIFS(F532:F631,K532:K631,"0",B532:B631,"5 1 3 5 5*")</f>
        <v>1051962.6000000001</v>
      </c>
      <c r="G531" s="31">
        <f>SUMIFS(G532:G631,K532:K631,"0",B532:B631,"5 1 3 5 5*")</f>
        <v>0</v>
      </c>
      <c r="H531" s="31">
        <f t="shared" si="12"/>
        <v>1051962.6000000001</v>
      </c>
      <c r="I531" s="31"/>
      <c r="K531" t="s">
        <v>13</v>
      </c>
    </row>
    <row r="532" spans="2:11" ht="13" x14ac:dyDescent="0.15">
      <c r="B532" s="29" t="s">
        <v>798</v>
      </c>
      <c r="C532" s="29" t="s">
        <v>24</v>
      </c>
      <c r="D532" s="31">
        <f>SUMIFS(D533:D631,K533:K631,"0",B533:B631,"5 1 3 5 5 12*")-SUMIFS(E533:E631,K533:K631,"0",B533:B631,"5 1 3 5 5 12*")</f>
        <v>0</v>
      </c>
      <c r="E532"/>
      <c r="F532" s="31">
        <f>SUMIFS(F533:F631,K533:K631,"0",B533:B631,"5 1 3 5 5 12*")</f>
        <v>1051962.6000000001</v>
      </c>
      <c r="G532" s="31">
        <f>SUMIFS(G533:G631,K533:K631,"0",B533:B631,"5 1 3 5 5 12*")</f>
        <v>0</v>
      </c>
      <c r="H532" s="31">
        <f t="shared" si="12"/>
        <v>1051962.6000000001</v>
      </c>
      <c r="I532" s="31"/>
      <c r="K532" t="s">
        <v>13</v>
      </c>
    </row>
    <row r="533" spans="2:11" ht="13" x14ac:dyDescent="0.15">
      <c r="B533" s="29" t="s">
        <v>799</v>
      </c>
      <c r="C533" s="29" t="s">
        <v>26</v>
      </c>
      <c r="D533" s="31">
        <f>SUMIFS(D534:D631,K534:K631,"0",B534:B631,"5 1 3 5 5 12 31111*")-SUMIFS(E534:E631,K534:K631,"0",B534:B631,"5 1 3 5 5 12 31111*")</f>
        <v>0</v>
      </c>
      <c r="E533"/>
      <c r="F533" s="31">
        <f>SUMIFS(F534:F631,K534:K631,"0",B534:B631,"5 1 3 5 5 12 31111*")</f>
        <v>1051962.6000000001</v>
      </c>
      <c r="G533" s="31">
        <f>SUMIFS(G534:G631,K534:K631,"0",B534:B631,"5 1 3 5 5 12 31111*")</f>
        <v>0</v>
      </c>
      <c r="H533" s="31">
        <f t="shared" si="12"/>
        <v>1051962.6000000001</v>
      </c>
      <c r="I533" s="31"/>
      <c r="K533" t="s">
        <v>13</v>
      </c>
    </row>
    <row r="534" spans="2:11" ht="13" x14ac:dyDescent="0.15">
      <c r="B534" s="29" t="s">
        <v>800</v>
      </c>
      <c r="C534" s="29" t="s">
        <v>28</v>
      </c>
      <c r="D534" s="31">
        <f>SUMIFS(D535:D631,K535:K631,"0",B535:B631,"5 1 3 5 5 12 31111 6*")-SUMIFS(E535:E631,K535:K631,"0",B535:B631,"5 1 3 5 5 12 31111 6*")</f>
        <v>0</v>
      </c>
      <c r="E534"/>
      <c r="F534" s="31">
        <f>SUMIFS(F535:F631,K535:K631,"0",B535:B631,"5 1 3 5 5 12 31111 6*")</f>
        <v>1051962.6000000001</v>
      </c>
      <c r="G534" s="31">
        <f>SUMIFS(G535:G631,K535:K631,"0",B535:B631,"5 1 3 5 5 12 31111 6*")</f>
        <v>0</v>
      </c>
      <c r="H534" s="31">
        <f t="shared" si="12"/>
        <v>1051962.6000000001</v>
      </c>
      <c r="I534" s="31"/>
      <c r="K534" t="s">
        <v>13</v>
      </c>
    </row>
    <row r="535" spans="2:11" ht="13" x14ac:dyDescent="0.15">
      <c r="B535" s="29" t="s">
        <v>801</v>
      </c>
      <c r="C535" s="29" t="s">
        <v>759</v>
      </c>
      <c r="D535" s="31">
        <f>SUMIFS(D536:D631,K536:K631,"0",B536:B631,"5 1 3 5 5 12 31111 6 M78*")-SUMIFS(E536:E631,K536:K631,"0",B536:B631,"5 1 3 5 5 12 31111 6 M78*")</f>
        <v>0</v>
      </c>
      <c r="E535"/>
      <c r="F535" s="31">
        <f>SUMIFS(F536:F631,K536:K631,"0",B536:B631,"5 1 3 5 5 12 31111 6 M78*")</f>
        <v>1051962.6000000001</v>
      </c>
      <c r="G535" s="31">
        <f>SUMIFS(G536:G631,K536:K631,"0",B536:B631,"5 1 3 5 5 12 31111 6 M78*")</f>
        <v>0</v>
      </c>
      <c r="H535" s="31">
        <f t="shared" si="12"/>
        <v>1051962.6000000001</v>
      </c>
      <c r="I535" s="31"/>
      <c r="K535" t="s">
        <v>13</v>
      </c>
    </row>
    <row r="536" spans="2:11" ht="13" x14ac:dyDescent="0.15">
      <c r="B536" s="29" t="s">
        <v>802</v>
      </c>
      <c r="C536" s="29" t="s">
        <v>124</v>
      </c>
      <c r="D536" s="31">
        <f>SUMIFS(D537:D631,K537:K631,"0",B537:B631,"5 1 3 5 5 12 31111 6 M78 10000*")-SUMIFS(E537:E631,K537:K631,"0",B537:B631,"5 1 3 5 5 12 31111 6 M78 10000*")</f>
        <v>0</v>
      </c>
      <c r="E536"/>
      <c r="F536" s="31">
        <f>SUMIFS(F537:F631,K537:K631,"0",B537:B631,"5 1 3 5 5 12 31111 6 M78 10000*")</f>
        <v>1051962.6000000001</v>
      </c>
      <c r="G536" s="31">
        <f>SUMIFS(G537:G631,K537:K631,"0",B537:B631,"5 1 3 5 5 12 31111 6 M78 10000*")</f>
        <v>0</v>
      </c>
      <c r="H536" s="31">
        <f t="shared" si="12"/>
        <v>1051962.6000000001</v>
      </c>
      <c r="I536" s="31"/>
      <c r="K536" t="s">
        <v>13</v>
      </c>
    </row>
    <row r="537" spans="2:11" ht="13" x14ac:dyDescent="0.15">
      <c r="B537" s="29" t="s">
        <v>803</v>
      </c>
      <c r="C537" s="29" t="s">
        <v>762</v>
      </c>
      <c r="D537" s="31">
        <f>SUMIFS(D538:D631,K538:K631,"0",B538:B631,"5 1 3 5 5 12 31111 6 M78 10000 151*")-SUMIFS(E538:E631,K538:K631,"0",B538:B631,"5 1 3 5 5 12 31111 6 M78 10000 151*")</f>
        <v>0</v>
      </c>
      <c r="E537"/>
      <c r="F537" s="31">
        <f>SUMIFS(F538:F631,K538:K631,"0",B538:B631,"5 1 3 5 5 12 31111 6 M78 10000 151*")</f>
        <v>1051962.6000000001</v>
      </c>
      <c r="G537" s="31">
        <f>SUMIFS(G538:G631,K538:K631,"0",B538:B631,"5 1 3 5 5 12 31111 6 M78 10000 151*")</f>
        <v>0</v>
      </c>
      <c r="H537" s="31">
        <f t="shared" si="12"/>
        <v>1051962.6000000001</v>
      </c>
      <c r="I537" s="31"/>
      <c r="K537" t="s">
        <v>13</v>
      </c>
    </row>
    <row r="538" spans="2:11" ht="13" x14ac:dyDescent="0.15">
      <c r="B538" s="29" t="s">
        <v>804</v>
      </c>
      <c r="C538" s="29" t="s">
        <v>128</v>
      </c>
      <c r="D538" s="31">
        <f>SUMIFS(D539:D631,K539:K631,"0",B539:B631,"5 1 3 5 5 12 31111 6 M78 10000 151 00I*")-SUMIFS(E539:E631,K539:K631,"0",B539:B631,"5 1 3 5 5 12 31111 6 M78 10000 151 00I*")</f>
        <v>0</v>
      </c>
      <c r="E538"/>
      <c r="F538" s="31">
        <f>SUMIFS(F539:F631,K539:K631,"0",B539:B631,"5 1 3 5 5 12 31111 6 M78 10000 151 00I*")</f>
        <v>1051962.6000000001</v>
      </c>
      <c r="G538" s="31">
        <f>SUMIFS(G539:G631,K539:K631,"0",B539:B631,"5 1 3 5 5 12 31111 6 M78 10000 151 00I*")</f>
        <v>0</v>
      </c>
      <c r="H538" s="31">
        <f t="shared" si="12"/>
        <v>1051962.6000000001</v>
      </c>
      <c r="I538" s="31"/>
      <c r="K538" t="s">
        <v>13</v>
      </c>
    </row>
    <row r="539" spans="2:11" ht="13" x14ac:dyDescent="0.15">
      <c r="B539" s="29" t="s">
        <v>805</v>
      </c>
      <c r="C539" s="29" t="s">
        <v>686</v>
      </c>
      <c r="D539" s="31">
        <f>SUMIFS(D540:D631,K540:K631,"0",B540:B631,"5 1 3 5 5 12 31111 6 M78 10000 151 00I 001*")-SUMIFS(E540:E631,K540:K631,"0",B540:B631,"5 1 3 5 5 12 31111 6 M78 10000 151 00I 001*")</f>
        <v>0</v>
      </c>
      <c r="E539"/>
      <c r="F539" s="31">
        <f>SUMIFS(F540:F631,K540:K631,"0",B540:B631,"5 1 3 5 5 12 31111 6 M78 10000 151 00I 001*")</f>
        <v>1051962.6000000001</v>
      </c>
      <c r="G539" s="31">
        <f>SUMIFS(G540:G631,K540:K631,"0",B540:B631,"5 1 3 5 5 12 31111 6 M78 10000 151 00I 001*")</f>
        <v>0</v>
      </c>
      <c r="H539" s="31">
        <f t="shared" si="12"/>
        <v>1051962.6000000001</v>
      </c>
      <c r="I539" s="31"/>
      <c r="K539" t="s">
        <v>13</v>
      </c>
    </row>
    <row r="540" spans="2:11" ht="13" x14ac:dyDescent="0.15">
      <c r="B540" s="29" t="s">
        <v>806</v>
      </c>
      <c r="C540" s="29" t="s">
        <v>807</v>
      </c>
      <c r="D540" s="31">
        <f>SUMIFS(D541:D631,K541:K631,"0",B541:B631,"5 1 3 5 5 12 31111 6 M78 10000 151 00I 001 35501*")-SUMIFS(E541:E631,K541:K631,"0",B541:B631,"5 1 3 5 5 12 31111 6 M78 10000 151 00I 001 35501*")</f>
        <v>0</v>
      </c>
      <c r="E540"/>
      <c r="F540" s="31">
        <f>SUMIFS(F541:F631,K541:K631,"0",B541:B631,"5 1 3 5 5 12 31111 6 M78 10000 151 00I 001 35501*")</f>
        <v>1051962.6000000001</v>
      </c>
      <c r="G540" s="31">
        <f>SUMIFS(G541:G631,K541:K631,"0",B541:B631,"5 1 3 5 5 12 31111 6 M78 10000 151 00I 001 35501*")</f>
        <v>0</v>
      </c>
      <c r="H540" s="31">
        <f t="shared" si="12"/>
        <v>1051962.6000000001</v>
      </c>
      <c r="I540" s="31"/>
      <c r="K540" t="s">
        <v>13</v>
      </c>
    </row>
    <row r="541" spans="2:11" ht="13" x14ac:dyDescent="0.15">
      <c r="B541" s="29" t="s">
        <v>808</v>
      </c>
      <c r="C541" s="29" t="s">
        <v>134</v>
      </c>
      <c r="D541" s="31">
        <f>SUMIFS(D542:D631,K542:K631,"0",B542:B631,"5 1 3 5 5 12 31111 6 M78 10000 151 00I 001 35501 025*")-SUMIFS(E542:E631,K542:K631,"0",B542:B631,"5 1 3 5 5 12 31111 6 M78 10000 151 00I 001 35501 025*")</f>
        <v>0</v>
      </c>
      <c r="E541"/>
      <c r="F541" s="31">
        <f>SUMIFS(F542:F631,K542:K631,"0",B542:B631,"5 1 3 5 5 12 31111 6 M78 10000 151 00I 001 35501 025*")</f>
        <v>1051962.6000000001</v>
      </c>
      <c r="G541" s="31">
        <f>SUMIFS(G542:G631,K542:K631,"0",B542:B631,"5 1 3 5 5 12 31111 6 M78 10000 151 00I 001 35501 025*")</f>
        <v>0</v>
      </c>
      <c r="H541" s="31">
        <f t="shared" si="12"/>
        <v>1051962.6000000001</v>
      </c>
      <c r="I541" s="31"/>
      <c r="K541" t="s">
        <v>13</v>
      </c>
    </row>
    <row r="542" spans="2:11" ht="22" x14ac:dyDescent="0.15">
      <c r="B542" s="29" t="s">
        <v>809</v>
      </c>
      <c r="C542" s="29" t="s">
        <v>405</v>
      </c>
      <c r="D542" s="31">
        <f>SUMIFS(D543:D631,K543:K631,"0",B543:B631,"5 1 3 5 5 12 31111 6 M78 10000 151 00I 001 35501 025 2112000*")-SUMIFS(E543:E631,K543:K631,"0",B543:B631,"5 1 3 5 5 12 31111 6 M78 10000 151 00I 001 35501 025 2112000*")</f>
        <v>0</v>
      </c>
      <c r="E542"/>
      <c r="F542" s="31">
        <f>SUMIFS(F543:F631,K543:K631,"0",B543:B631,"5 1 3 5 5 12 31111 6 M78 10000 151 00I 001 35501 025 2112000*")</f>
        <v>1051962.6000000001</v>
      </c>
      <c r="G542" s="31">
        <f>SUMIFS(G543:G631,K543:K631,"0",B543:B631,"5 1 3 5 5 12 31111 6 M78 10000 151 00I 001 35501 025 2112000*")</f>
        <v>0</v>
      </c>
      <c r="H542" s="31">
        <f t="shared" si="12"/>
        <v>1051962.6000000001</v>
      </c>
      <c r="I542" s="31"/>
      <c r="K542" t="s">
        <v>13</v>
      </c>
    </row>
    <row r="543" spans="2:11" ht="22" x14ac:dyDescent="0.15">
      <c r="B543" s="29" t="s">
        <v>810</v>
      </c>
      <c r="C543" s="29" t="s">
        <v>138</v>
      </c>
      <c r="D543" s="31">
        <f>SUMIFS(D544:D631,K544:K631,"0",B544:B631,"5 1 3 5 5 12 31111 6 M78 10000 151 00I 001 35501 025 2112000 2024*")-SUMIFS(E544:E631,K544:K631,"0",B544:B631,"5 1 3 5 5 12 31111 6 M78 10000 151 00I 001 35501 025 2112000 2024*")</f>
        <v>0</v>
      </c>
      <c r="E543"/>
      <c r="F543" s="31">
        <f>SUMIFS(F544:F631,K544:K631,"0",B544:B631,"5 1 3 5 5 12 31111 6 M78 10000 151 00I 001 35501 025 2112000 2024*")</f>
        <v>1051962.6000000001</v>
      </c>
      <c r="G543" s="31">
        <f>SUMIFS(G544:G631,K544:K631,"0",B544:B631,"5 1 3 5 5 12 31111 6 M78 10000 151 00I 001 35501 025 2112000 2024*")</f>
        <v>0</v>
      </c>
      <c r="H543" s="31">
        <f t="shared" si="12"/>
        <v>1051962.6000000001</v>
      </c>
      <c r="I543" s="31"/>
      <c r="K543" t="s">
        <v>13</v>
      </c>
    </row>
    <row r="544" spans="2:11" ht="22" x14ac:dyDescent="0.15">
      <c r="B544" s="29" t="s">
        <v>811</v>
      </c>
      <c r="C544" s="29" t="s">
        <v>140</v>
      </c>
      <c r="D544" s="31">
        <f>SUMIFS(D545:D631,K545:K631,"0",B545:B631,"5 1 3 5 5 12 31111 6 M78 10000 151 00I 001 35501 025 2112000 2024 00000000*")-SUMIFS(E545:E631,K545:K631,"0",B545:B631,"5 1 3 5 5 12 31111 6 M78 10000 151 00I 001 35501 025 2112000 2024 00000000*")</f>
        <v>0</v>
      </c>
      <c r="E544"/>
      <c r="F544" s="31">
        <f>SUMIFS(F545:F631,K545:K631,"0",B545:B631,"5 1 3 5 5 12 31111 6 M78 10000 151 00I 001 35501 025 2112000 2024 00000000*")</f>
        <v>1051962.6000000001</v>
      </c>
      <c r="G544" s="31">
        <f>SUMIFS(G545:G631,K545:K631,"0",B545:B631,"5 1 3 5 5 12 31111 6 M78 10000 151 00I 001 35501 025 2112000 2024 00000000*")</f>
        <v>0</v>
      </c>
      <c r="H544" s="31">
        <f t="shared" si="12"/>
        <v>1051962.6000000001</v>
      </c>
      <c r="I544" s="31"/>
      <c r="K544" t="s">
        <v>13</v>
      </c>
    </row>
    <row r="545" spans="2:11" ht="22" x14ac:dyDescent="0.15">
      <c r="B545" s="29" t="s">
        <v>812</v>
      </c>
      <c r="C545" s="29" t="s">
        <v>9</v>
      </c>
      <c r="D545" s="31">
        <f>SUMIFS(D546:D631,K546:K631,"0",B546:B631,"5 1 3 5 5 12 31111 6 M78 10000 151 00I 001 35501 025 2112000 2024 00000000 002*")-SUMIFS(E546:E631,K546:K631,"0",B546:B631,"5 1 3 5 5 12 31111 6 M78 10000 151 00I 001 35501 025 2112000 2024 00000000 002*")</f>
        <v>0</v>
      </c>
      <c r="E545"/>
      <c r="F545" s="31">
        <f>SUMIFS(F546:F631,K546:K631,"0",B546:B631,"5 1 3 5 5 12 31111 6 M78 10000 151 00I 001 35501 025 2112000 2024 00000000 002*")</f>
        <v>1051962.6000000001</v>
      </c>
      <c r="G545" s="31">
        <f>SUMIFS(G546:G631,K546:K631,"0",B546:B631,"5 1 3 5 5 12 31111 6 M78 10000 151 00I 001 35501 025 2112000 2024 00000000 002*")</f>
        <v>0</v>
      </c>
      <c r="H545" s="31">
        <f t="shared" si="12"/>
        <v>1051962.6000000001</v>
      </c>
      <c r="I545" s="31"/>
      <c r="K545" t="s">
        <v>13</v>
      </c>
    </row>
    <row r="546" spans="2:11" ht="22" x14ac:dyDescent="0.15">
      <c r="B546" s="27" t="s">
        <v>813</v>
      </c>
      <c r="C546" s="27" t="s">
        <v>814</v>
      </c>
      <c r="D546" s="30">
        <v>0</v>
      </c>
      <c r="E546" s="30"/>
      <c r="F546" s="30">
        <v>1051962.6000000001</v>
      </c>
      <c r="G546" s="30">
        <v>0</v>
      </c>
      <c r="H546" s="30">
        <f t="shared" si="12"/>
        <v>1051962.6000000001</v>
      </c>
      <c r="I546" s="30"/>
      <c r="K546" t="s">
        <v>37</v>
      </c>
    </row>
    <row r="547" spans="2:11" ht="13" x14ac:dyDescent="0.15">
      <c r="B547" s="29" t="s">
        <v>815</v>
      </c>
      <c r="C547" s="29" t="s">
        <v>816</v>
      </c>
      <c r="D547" s="31">
        <f>SUMIFS(D548:D631,K548:K631,"0",B548:B631,"5 2*")-SUMIFS(E548:E631,K548:K631,"0",B548:B631,"5 2*")</f>
        <v>0</v>
      </c>
      <c r="E547"/>
      <c r="F547" s="31">
        <f>SUMIFS(F548:F631,K548:K631,"0",B548:B631,"5 2*")</f>
        <v>0</v>
      </c>
      <c r="G547" s="31">
        <f>SUMIFS(G548:G631,K548:K631,"0",B548:B631,"5 2*")</f>
        <v>0</v>
      </c>
      <c r="H547" s="31">
        <f t="shared" si="12"/>
        <v>0</v>
      </c>
      <c r="I547" s="31"/>
      <c r="K547" t="s">
        <v>13</v>
      </c>
    </row>
    <row r="548" spans="2:11" ht="13" x14ac:dyDescent="0.15">
      <c r="B548" s="29" t="s">
        <v>817</v>
      </c>
      <c r="C548" s="29" t="s">
        <v>818</v>
      </c>
      <c r="D548" s="31">
        <f>SUMIFS(D549:D631,K549:K631,"0",B549:B631,"5 2 1*")-SUMIFS(E549:E631,K549:K631,"0",B549:B631,"5 2 1*")</f>
        <v>0</v>
      </c>
      <c r="E548"/>
      <c r="F548" s="31">
        <f>SUMIFS(F549:F631,K549:K631,"0",B549:B631,"5 2 1*")</f>
        <v>0</v>
      </c>
      <c r="G548" s="31">
        <f>SUMIFS(G549:G631,K549:K631,"0",B549:B631,"5 2 1*")</f>
        <v>0</v>
      </c>
      <c r="H548" s="31">
        <f t="shared" si="12"/>
        <v>0</v>
      </c>
      <c r="I548" s="31"/>
      <c r="K548" t="s">
        <v>13</v>
      </c>
    </row>
    <row r="549" spans="2:11" ht="13" x14ac:dyDescent="0.15">
      <c r="B549" s="29" t="s">
        <v>819</v>
      </c>
      <c r="C549" s="29" t="s">
        <v>820</v>
      </c>
      <c r="D549" s="31">
        <f>SUMIFS(D550:D631,K550:K631,"0",B550:B631,"5 2 2*")-SUMIFS(E550:E631,K550:K631,"0",B550:B631,"5 2 2*")</f>
        <v>0</v>
      </c>
      <c r="E549"/>
      <c r="F549" s="31">
        <f>SUMIFS(F550:F631,K550:K631,"0",B550:B631,"5 2 2*")</f>
        <v>0</v>
      </c>
      <c r="G549" s="31">
        <f>SUMIFS(G550:G631,K550:K631,"0",B550:B631,"5 2 2*")</f>
        <v>0</v>
      </c>
      <c r="H549" s="31">
        <f t="shared" si="12"/>
        <v>0</v>
      </c>
      <c r="I549" s="31"/>
      <c r="K549" t="s">
        <v>13</v>
      </c>
    </row>
    <row r="550" spans="2:11" ht="13" x14ac:dyDescent="0.15">
      <c r="B550" s="29" t="s">
        <v>821</v>
      </c>
      <c r="C550" s="29" t="s">
        <v>822</v>
      </c>
      <c r="D550" s="31">
        <f>SUMIFS(D551:D631,K551:K631,"0",B551:B631,"5 2 3*")-SUMIFS(E551:E631,K551:K631,"0",B551:B631,"5 2 3*")</f>
        <v>0</v>
      </c>
      <c r="E550"/>
      <c r="F550" s="31">
        <f>SUMIFS(F551:F631,K551:K631,"0",B551:B631,"5 2 3*")</f>
        <v>0</v>
      </c>
      <c r="G550" s="31">
        <f>SUMIFS(G551:G631,K551:K631,"0",B551:B631,"5 2 3*")</f>
        <v>0</v>
      </c>
      <c r="H550" s="31">
        <f t="shared" si="12"/>
        <v>0</v>
      </c>
      <c r="I550" s="31"/>
      <c r="K550" t="s">
        <v>13</v>
      </c>
    </row>
    <row r="551" spans="2:11" ht="13" x14ac:dyDescent="0.15">
      <c r="B551" s="29" t="s">
        <v>823</v>
      </c>
      <c r="C551" s="29" t="s">
        <v>824</v>
      </c>
      <c r="D551" s="31">
        <f>SUMIFS(D552:D631,K552:K631,"0",B552:B631,"5 2 4*")-SUMIFS(E552:E631,K552:K631,"0",B552:B631,"5 2 4*")</f>
        <v>0</v>
      </c>
      <c r="E551"/>
      <c r="F551" s="31">
        <f>SUMIFS(F552:F631,K552:K631,"0",B552:B631,"5 2 4*")</f>
        <v>0</v>
      </c>
      <c r="G551" s="31">
        <f>SUMIFS(G552:G631,K552:K631,"0",B552:B631,"5 2 4*")</f>
        <v>0</v>
      </c>
      <c r="H551" s="31">
        <f t="shared" si="12"/>
        <v>0</v>
      </c>
      <c r="I551" s="31"/>
      <c r="K551" t="s">
        <v>13</v>
      </c>
    </row>
    <row r="552" spans="2:11" ht="13" x14ac:dyDescent="0.15">
      <c r="B552" s="29" t="s">
        <v>825</v>
      </c>
      <c r="C552" s="29" t="s">
        <v>826</v>
      </c>
      <c r="D552" s="31">
        <f>SUMIFS(D553:D631,K553:K631,"0",B553:B631,"5 2 5*")-SUMIFS(E553:E631,K553:K631,"0",B553:B631,"5 2 5*")</f>
        <v>0</v>
      </c>
      <c r="E552"/>
      <c r="F552" s="31">
        <f>SUMIFS(F553:F631,K553:K631,"0",B553:B631,"5 2 5*")</f>
        <v>0</v>
      </c>
      <c r="G552" s="31">
        <f>SUMIFS(G553:G631,K553:K631,"0",B553:B631,"5 2 5*")</f>
        <v>0</v>
      </c>
      <c r="H552" s="31">
        <f t="shared" si="12"/>
        <v>0</v>
      </c>
      <c r="I552" s="31"/>
      <c r="K552" t="s">
        <v>13</v>
      </c>
    </row>
    <row r="553" spans="2:11" ht="13" x14ac:dyDescent="0.15">
      <c r="B553" s="29" t="s">
        <v>827</v>
      </c>
      <c r="C553" s="29" t="s">
        <v>828</v>
      </c>
      <c r="D553" s="31">
        <f>SUMIFS(D554:D631,K554:K631,"0",B554:B631,"5 2 6*")-SUMIFS(E554:E631,K554:K631,"0",B554:B631,"5 2 6*")</f>
        <v>0</v>
      </c>
      <c r="E553"/>
      <c r="F553" s="31">
        <f>SUMIFS(F554:F631,K554:K631,"0",B554:B631,"5 2 6*")</f>
        <v>0</v>
      </c>
      <c r="G553" s="31">
        <f>SUMIFS(G554:G631,K554:K631,"0",B554:B631,"5 2 6*")</f>
        <v>0</v>
      </c>
      <c r="H553" s="31">
        <f t="shared" si="12"/>
        <v>0</v>
      </c>
      <c r="I553" s="31"/>
      <c r="K553" t="s">
        <v>13</v>
      </c>
    </row>
    <row r="554" spans="2:11" ht="13" x14ac:dyDescent="0.15">
      <c r="B554" s="29" t="s">
        <v>829</v>
      </c>
      <c r="C554" s="29" t="s">
        <v>830</v>
      </c>
      <c r="D554" s="31">
        <f>SUMIFS(D555:D631,K555:K631,"0",B555:B631,"5 2 7*")-SUMIFS(E555:E631,K555:K631,"0",B555:B631,"5 2 7*")</f>
        <v>0</v>
      </c>
      <c r="E554"/>
      <c r="F554" s="31">
        <f>SUMIFS(F555:F631,K555:K631,"0",B555:B631,"5 2 7*")</f>
        <v>0</v>
      </c>
      <c r="G554" s="31">
        <f>SUMIFS(G555:G631,K555:K631,"0",B555:B631,"5 2 7*")</f>
        <v>0</v>
      </c>
      <c r="H554" s="31">
        <f t="shared" si="12"/>
        <v>0</v>
      </c>
      <c r="I554" s="31"/>
      <c r="K554" t="s">
        <v>13</v>
      </c>
    </row>
    <row r="555" spans="2:11" ht="13" x14ac:dyDescent="0.15">
      <c r="B555" s="29" t="s">
        <v>831</v>
      </c>
      <c r="C555" s="29" t="s">
        <v>832</v>
      </c>
      <c r="D555" s="31">
        <f>SUMIFS(D556:D631,K556:K631,"0",B556:B631,"5 2 8*")-SUMIFS(E556:E631,K556:K631,"0",B556:B631,"5 2 8*")</f>
        <v>0</v>
      </c>
      <c r="E555"/>
      <c r="F555" s="31">
        <f>SUMIFS(F556:F631,K556:K631,"0",B556:B631,"5 2 8*")</f>
        <v>0</v>
      </c>
      <c r="G555" s="31">
        <f>SUMIFS(G556:G631,K556:K631,"0",B556:B631,"5 2 8*")</f>
        <v>0</v>
      </c>
      <c r="H555" s="31">
        <f t="shared" si="12"/>
        <v>0</v>
      </c>
      <c r="I555" s="31"/>
      <c r="K555" t="s">
        <v>13</v>
      </c>
    </row>
    <row r="556" spans="2:11" ht="13" x14ac:dyDescent="0.15">
      <c r="B556" s="29" t="s">
        <v>833</v>
      </c>
      <c r="C556" s="29" t="s">
        <v>834</v>
      </c>
      <c r="D556" s="31">
        <f>SUMIFS(D557:D631,K557:K631,"0",B557:B631,"5 2 9*")-SUMIFS(E557:E631,K557:K631,"0",B557:B631,"5 2 9*")</f>
        <v>0</v>
      </c>
      <c r="E556"/>
      <c r="F556" s="31">
        <f>SUMIFS(F557:F631,K557:K631,"0",B557:B631,"5 2 9*")</f>
        <v>0</v>
      </c>
      <c r="G556" s="31">
        <f>SUMIFS(G557:G631,K557:K631,"0",B557:B631,"5 2 9*")</f>
        <v>0</v>
      </c>
      <c r="H556" s="31">
        <f t="shared" ref="H556:H582" si="13">D556 + F556 - G556</f>
        <v>0</v>
      </c>
      <c r="I556" s="31"/>
      <c r="K556" t="s">
        <v>13</v>
      </c>
    </row>
    <row r="557" spans="2:11" ht="13" x14ac:dyDescent="0.15">
      <c r="B557" s="29" t="s">
        <v>835</v>
      </c>
      <c r="C557" s="29" t="s">
        <v>836</v>
      </c>
      <c r="D557" s="31">
        <f>SUMIFS(D558:D631,K558:K631,"0",B558:B631,"5 3*")-SUMIFS(E558:E631,K558:K631,"0",B558:B631,"5 3*")</f>
        <v>0</v>
      </c>
      <c r="E557"/>
      <c r="F557" s="31">
        <f>SUMIFS(F558:F631,K558:K631,"0",B558:B631,"5 3*")</f>
        <v>0</v>
      </c>
      <c r="G557" s="31">
        <f>SUMIFS(G558:G631,K558:K631,"0",B558:B631,"5 3*")</f>
        <v>0</v>
      </c>
      <c r="H557" s="31">
        <f t="shared" si="13"/>
        <v>0</v>
      </c>
      <c r="I557" s="31"/>
      <c r="K557" t="s">
        <v>13</v>
      </c>
    </row>
    <row r="558" spans="2:11" ht="13" x14ac:dyDescent="0.15">
      <c r="B558" s="29" t="s">
        <v>837</v>
      </c>
      <c r="C558" s="29" t="s">
        <v>838</v>
      </c>
      <c r="D558" s="31">
        <f>SUMIFS(D559:D631,K559:K631,"0",B559:B631,"5 3 1*")-SUMIFS(E559:E631,K559:K631,"0",B559:B631,"5 3 1*")</f>
        <v>0</v>
      </c>
      <c r="E558"/>
      <c r="F558" s="31">
        <f>SUMIFS(F559:F631,K559:K631,"0",B559:B631,"5 3 1*")</f>
        <v>0</v>
      </c>
      <c r="G558" s="31">
        <f>SUMIFS(G559:G631,K559:K631,"0",B559:B631,"5 3 1*")</f>
        <v>0</v>
      </c>
      <c r="H558" s="31">
        <f t="shared" si="13"/>
        <v>0</v>
      </c>
      <c r="I558" s="31"/>
      <c r="K558" t="s">
        <v>13</v>
      </c>
    </row>
    <row r="559" spans="2:11" ht="13" x14ac:dyDescent="0.15">
      <c r="B559" s="29" t="s">
        <v>839</v>
      </c>
      <c r="C559" s="29" t="s">
        <v>623</v>
      </c>
      <c r="D559" s="31">
        <f>SUMIFS(D560:D631,K560:K631,"0",B560:B631,"5 3 2*")-SUMIFS(E560:E631,K560:K631,"0",B560:B631,"5 3 2*")</f>
        <v>0</v>
      </c>
      <c r="E559"/>
      <c r="F559" s="31">
        <f>SUMIFS(F560:F631,K560:K631,"0",B560:B631,"5 3 2*")</f>
        <v>0</v>
      </c>
      <c r="G559" s="31">
        <f>SUMIFS(G560:G631,K560:K631,"0",B560:B631,"5 3 2*")</f>
        <v>0</v>
      </c>
      <c r="H559" s="31">
        <f t="shared" si="13"/>
        <v>0</v>
      </c>
      <c r="I559" s="31"/>
      <c r="K559" t="s">
        <v>13</v>
      </c>
    </row>
    <row r="560" spans="2:11" ht="13" x14ac:dyDescent="0.15">
      <c r="B560" s="29" t="s">
        <v>840</v>
      </c>
      <c r="C560" s="29" t="s">
        <v>841</v>
      </c>
      <c r="D560" s="31">
        <f>SUMIFS(D561:D631,K561:K631,"0",B561:B631,"5 3 3*")-SUMIFS(E561:E631,K561:K631,"0",B561:B631,"5 3 3*")</f>
        <v>0</v>
      </c>
      <c r="E560"/>
      <c r="F560" s="31">
        <f>SUMIFS(F561:F631,K561:K631,"0",B561:B631,"5 3 3*")</f>
        <v>0</v>
      </c>
      <c r="G560" s="31">
        <f>SUMIFS(G561:G631,K561:K631,"0",B561:B631,"5 3 3*")</f>
        <v>0</v>
      </c>
      <c r="H560" s="31">
        <f t="shared" si="13"/>
        <v>0</v>
      </c>
      <c r="I560" s="31"/>
      <c r="K560" t="s">
        <v>13</v>
      </c>
    </row>
    <row r="561" spans="2:11" ht="13" x14ac:dyDescent="0.15">
      <c r="B561" s="29" t="s">
        <v>842</v>
      </c>
      <c r="C561" s="29" t="s">
        <v>843</v>
      </c>
      <c r="D561" s="31">
        <f>SUMIFS(D562:D631,K562:K631,"0",B562:B631,"5 4*")-SUMIFS(E562:E631,K562:K631,"0",B562:B631,"5 4*")</f>
        <v>0</v>
      </c>
      <c r="E561"/>
      <c r="F561" s="31">
        <f>SUMIFS(F562:F631,K562:K631,"0",B562:B631,"5 4*")</f>
        <v>0</v>
      </c>
      <c r="G561" s="31">
        <f>SUMIFS(G562:G631,K562:K631,"0",B562:B631,"5 4*")</f>
        <v>0</v>
      </c>
      <c r="H561" s="31">
        <f t="shared" si="13"/>
        <v>0</v>
      </c>
      <c r="I561" s="31"/>
      <c r="K561" t="s">
        <v>13</v>
      </c>
    </row>
    <row r="562" spans="2:11" ht="13" x14ac:dyDescent="0.15">
      <c r="B562" s="29" t="s">
        <v>844</v>
      </c>
      <c r="C562" s="29" t="s">
        <v>845</v>
      </c>
      <c r="D562" s="31">
        <f>SUMIFS(D563:D631,K563:K631,"0",B563:B631,"5 4 1*")-SUMIFS(E563:E631,K563:K631,"0",B563:B631,"5 4 1*")</f>
        <v>0</v>
      </c>
      <c r="E562"/>
      <c r="F562" s="31">
        <f>SUMIFS(F563:F631,K563:K631,"0",B563:B631,"5 4 1*")</f>
        <v>0</v>
      </c>
      <c r="G562" s="31">
        <f>SUMIFS(G563:G631,K563:K631,"0",B563:B631,"5 4 1*")</f>
        <v>0</v>
      </c>
      <c r="H562" s="31">
        <f t="shared" si="13"/>
        <v>0</v>
      </c>
      <c r="I562" s="31"/>
      <c r="K562" t="s">
        <v>13</v>
      </c>
    </row>
    <row r="563" spans="2:11" ht="13" x14ac:dyDescent="0.15">
      <c r="B563" s="29" t="s">
        <v>846</v>
      </c>
      <c r="C563" s="29" t="s">
        <v>847</v>
      </c>
      <c r="D563" s="31">
        <f>SUMIFS(D564:D631,K564:K631,"0",B564:B631,"5 4 2*")-SUMIFS(E564:E631,K564:K631,"0",B564:B631,"5 4 2*")</f>
        <v>0</v>
      </c>
      <c r="E563"/>
      <c r="F563" s="31">
        <f>SUMIFS(F564:F631,K564:K631,"0",B564:B631,"5 4 2*")</f>
        <v>0</v>
      </c>
      <c r="G563" s="31">
        <f>SUMIFS(G564:G631,K564:K631,"0",B564:B631,"5 4 2*")</f>
        <v>0</v>
      </c>
      <c r="H563" s="31">
        <f t="shared" si="13"/>
        <v>0</v>
      </c>
      <c r="I563" s="31"/>
      <c r="K563" t="s">
        <v>13</v>
      </c>
    </row>
    <row r="564" spans="2:11" ht="13" x14ac:dyDescent="0.15">
      <c r="B564" s="29" t="s">
        <v>848</v>
      </c>
      <c r="C564" s="29" t="s">
        <v>849</v>
      </c>
      <c r="D564" s="31">
        <f>SUMIFS(D565:D631,K565:K631,"0",B565:B631,"5 4 3*")-SUMIFS(E565:E631,K565:K631,"0",B565:B631,"5 4 3*")</f>
        <v>0</v>
      </c>
      <c r="E564"/>
      <c r="F564" s="31">
        <f>SUMIFS(F565:F631,K565:K631,"0",B565:B631,"5 4 3*")</f>
        <v>0</v>
      </c>
      <c r="G564" s="31">
        <f>SUMIFS(G565:G631,K565:K631,"0",B565:B631,"5 4 3*")</f>
        <v>0</v>
      </c>
      <c r="H564" s="31">
        <f t="shared" si="13"/>
        <v>0</v>
      </c>
      <c r="I564" s="31"/>
      <c r="K564" t="s">
        <v>13</v>
      </c>
    </row>
    <row r="565" spans="2:11" ht="13" x14ac:dyDescent="0.15">
      <c r="B565" s="29" t="s">
        <v>850</v>
      </c>
      <c r="C565" s="29" t="s">
        <v>851</v>
      </c>
      <c r="D565" s="31">
        <f>SUMIFS(D566:D631,K566:K631,"0",B566:B631,"5 4 4*")-SUMIFS(E566:E631,K566:K631,"0",B566:B631,"5 4 4*")</f>
        <v>0</v>
      </c>
      <c r="E565"/>
      <c r="F565" s="31">
        <f>SUMIFS(F566:F631,K566:K631,"0",B566:B631,"5 4 4*")</f>
        <v>0</v>
      </c>
      <c r="G565" s="31">
        <f>SUMIFS(G566:G631,K566:K631,"0",B566:B631,"5 4 4*")</f>
        <v>0</v>
      </c>
      <c r="H565" s="31">
        <f t="shared" si="13"/>
        <v>0</v>
      </c>
      <c r="I565" s="31"/>
      <c r="K565" t="s">
        <v>13</v>
      </c>
    </row>
    <row r="566" spans="2:11" ht="13" x14ac:dyDescent="0.15">
      <c r="B566" s="29" t="s">
        <v>852</v>
      </c>
      <c r="C566" s="29" t="s">
        <v>853</v>
      </c>
      <c r="D566" s="31">
        <f>SUMIFS(D567:D631,K567:K631,"0",B567:B631,"5 4 5*")-SUMIFS(E567:E631,K567:K631,"0",B567:B631,"5 4 5*")</f>
        <v>0</v>
      </c>
      <c r="E566"/>
      <c r="F566" s="31">
        <f>SUMIFS(F567:F631,K567:K631,"0",B567:B631,"5 4 5*")</f>
        <v>0</v>
      </c>
      <c r="G566" s="31">
        <f>SUMIFS(G567:G631,K567:K631,"0",B567:B631,"5 4 5*")</f>
        <v>0</v>
      </c>
      <c r="H566" s="31">
        <f t="shared" si="13"/>
        <v>0</v>
      </c>
      <c r="I566" s="31"/>
      <c r="K566" t="s">
        <v>13</v>
      </c>
    </row>
    <row r="567" spans="2:11" ht="13" x14ac:dyDescent="0.15">
      <c r="B567" s="29" t="s">
        <v>854</v>
      </c>
      <c r="C567" s="29" t="s">
        <v>855</v>
      </c>
      <c r="D567" s="31">
        <f>SUMIFS(D568:D631,K568:K631,"0",B568:B631,"5 5*")-SUMIFS(E568:E631,K568:K631,"0",B568:B631,"5 5*")</f>
        <v>0</v>
      </c>
      <c r="E567"/>
      <c r="F567" s="31">
        <f>SUMIFS(F568:F631,K568:K631,"0",B568:B631,"5 5*")</f>
        <v>0</v>
      </c>
      <c r="G567" s="31">
        <f>SUMIFS(G568:G631,K568:K631,"0",B568:B631,"5 5*")</f>
        <v>0</v>
      </c>
      <c r="H567" s="31">
        <f t="shared" si="13"/>
        <v>0</v>
      </c>
      <c r="I567" s="31"/>
      <c r="K567" t="s">
        <v>13</v>
      </c>
    </row>
    <row r="568" spans="2:11" ht="13" x14ac:dyDescent="0.15">
      <c r="B568" s="29" t="s">
        <v>856</v>
      </c>
      <c r="C568" s="29" t="s">
        <v>857</v>
      </c>
      <c r="D568" s="31">
        <f>SUMIFS(D569:D631,K569:K631,"0",B569:B631,"5 5 1*")-SUMIFS(E569:E631,K569:K631,"0",B569:B631,"5 5 1*")</f>
        <v>0</v>
      </c>
      <c r="E568"/>
      <c r="F568" s="31">
        <f>SUMIFS(F569:F631,K569:K631,"0",B569:B631,"5 5 1*")</f>
        <v>0</v>
      </c>
      <c r="G568" s="31">
        <f>SUMIFS(G569:G631,K569:K631,"0",B569:B631,"5 5 1*")</f>
        <v>0</v>
      </c>
      <c r="H568" s="31">
        <f t="shared" si="13"/>
        <v>0</v>
      </c>
      <c r="I568" s="31"/>
      <c r="K568" t="s">
        <v>13</v>
      </c>
    </row>
    <row r="569" spans="2:11" ht="13" x14ac:dyDescent="0.15">
      <c r="B569" s="29" t="s">
        <v>858</v>
      </c>
      <c r="C569" s="29" t="s">
        <v>859</v>
      </c>
      <c r="D569" s="31">
        <f>SUMIFS(D570:D631,K570:K631,"0",B570:B631,"5 5 2*")-SUMIFS(E570:E631,K570:K631,"0",B570:B631,"5 5 2*")</f>
        <v>0</v>
      </c>
      <c r="E569"/>
      <c r="F569" s="31">
        <f>SUMIFS(F570:F631,K570:K631,"0",B570:B631,"5 5 2*")</f>
        <v>0</v>
      </c>
      <c r="G569" s="31">
        <f>SUMIFS(G570:G631,K570:K631,"0",B570:B631,"5 5 2*")</f>
        <v>0</v>
      </c>
      <c r="H569" s="31">
        <f t="shared" si="13"/>
        <v>0</v>
      </c>
      <c r="I569" s="31"/>
      <c r="K569" t="s">
        <v>13</v>
      </c>
    </row>
    <row r="570" spans="2:11" ht="13" x14ac:dyDescent="0.15">
      <c r="B570" s="29" t="s">
        <v>860</v>
      </c>
      <c r="C570" s="29" t="s">
        <v>861</v>
      </c>
      <c r="D570" s="31">
        <f>SUMIFS(D571:D631,K571:K631,"0",B571:B631,"5 5 3*")-SUMIFS(E571:E631,K571:K631,"0",B571:B631,"5 5 3*")</f>
        <v>0</v>
      </c>
      <c r="E570"/>
      <c r="F570" s="31">
        <f>SUMIFS(F571:F631,K571:K631,"0",B571:B631,"5 5 3*")</f>
        <v>0</v>
      </c>
      <c r="G570" s="31">
        <f>SUMIFS(G571:G631,K571:K631,"0",B571:B631,"5 5 3*")</f>
        <v>0</v>
      </c>
      <c r="H570" s="31">
        <f t="shared" si="13"/>
        <v>0</v>
      </c>
      <c r="I570" s="31"/>
      <c r="K570" t="s">
        <v>13</v>
      </c>
    </row>
    <row r="571" spans="2:11" ht="13" x14ac:dyDescent="0.15">
      <c r="B571" s="29" t="s">
        <v>862</v>
      </c>
      <c r="C571" s="29" t="s">
        <v>863</v>
      </c>
      <c r="D571" s="31">
        <f>SUMIFS(D572:D631,K572:K631,"0",B572:B631,"5 5 4*")-SUMIFS(E572:E631,K572:K631,"0",B572:B631,"5 5 4*")</f>
        <v>0</v>
      </c>
      <c r="E571"/>
      <c r="F571" s="31">
        <f>SUMIFS(F572:F631,K572:K631,"0",B572:B631,"5 5 4*")</f>
        <v>0</v>
      </c>
      <c r="G571" s="31">
        <f>SUMIFS(G572:G631,K572:K631,"0",B572:B631,"5 5 4*")</f>
        <v>0</v>
      </c>
      <c r="H571" s="31">
        <f t="shared" si="13"/>
        <v>0</v>
      </c>
      <c r="I571" s="31"/>
      <c r="K571" t="s">
        <v>13</v>
      </c>
    </row>
    <row r="572" spans="2:11" ht="13" x14ac:dyDescent="0.15">
      <c r="B572" s="29" t="s">
        <v>864</v>
      </c>
      <c r="C572" s="29" t="s">
        <v>865</v>
      </c>
      <c r="D572" s="31">
        <f>SUMIFS(D573:D631,K573:K631,"0",B573:B631,"5 5 5*")-SUMIFS(E573:E631,K573:K631,"0",B573:B631,"5 5 5*")</f>
        <v>0</v>
      </c>
      <c r="E572"/>
      <c r="F572" s="31">
        <f>SUMIFS(F573:F631,K573:K631,"0",B573:B631,"5 5 5*")</f>
        <v>0</v>
      </c>
      <c r="G572" s="31">
        <f>SUMIFS(G573:G631,K573:K631,"0",B573:B631,"5 5 5*")</f>
        <v>0</v>
      </c>
      <c r="H572" s="31">
        <f t="shared" si="13"/>
        <v>0</v>
      </c>
      <c r="I572" s="31"/>
      <c r="K572" t="s">
        <v>13</v>
      </c>
    </row>
    <row r="573" spans="2:11" ht="13" x14ac:dyDescent="0.15">
      <c r="B573" s="29" t="s">
        <v>866</v>
      </c>
      <c r="C573" s="29" t="s">
        <v>867</v>
      </c>
      <c r="D573" s="31">
        <f>SUMIFS(D574:D631,K574:K631,"0",B574:B631,"5 5 9*")-SUMIFS(E574:E631,K574:K631,"0",B574:B631,"5 5 9*")</f>
        <v>0</v>
      </c>
      <c r="E573"/>
      <c r="F573" s="31">
        <f>SUMIFS(F574:F631,K574:K631,"0",B574:B631,"5 5 9*")</f>
        <v>0</v>
      </c>
      <c r="G573" s="31">
        <f>SUMIFS(G574:G631,K574:K631,"0",B574:B631,"5 5 9*")</f>
        <v>0</v>
      </c>
      <c r="H573" s="31">
        <f t="shared" si="13"/>
        <v>0</v>
      </c>
      <c r="I573" s="31"/>
      <c r="K573" t="s">
        <v>13</v>
      </c>
    </row>
    <row r="574" spans="2:11" ht="13" x14ac:dyDescent="0.15">
      <c r="B574" s="29" t="s">
        <v>868</v>
      </c>
      <c r="C574" s="29" t="s">
        <v>869</v>
      </c>
      <c r="D574" s="31">
        <f>SUMIFS(D575:D631,K575:K631,"0",B575:B631,"5 6*")-SUMIFS(E575:E631,K575:K631,"0",B575:B631,"5 6*")</f>
        <v>0</v>
      </c>
      <c r="E574"/>
      <c r="F574" s="31">
        <f>SUMIFS(F575:F631,K575:K631,"0",B575:B631,"5 6*")</f>
        <v>0</v>
      </c>
      <c r="G574" s="31">
        <f>SUMIFS(G575:G631,K575:K631,"0",B575:B631,"5 6*")</f>
        <v>0</v>
      </c>
      <c r="H574" s="31">
        <f t="shared" si="13"/>
        <v>0</v>
      </c>
      <c r="I574" s="31"/>
      <c r="K574" t="s">
        <v>13</v>
      </c>
    </row>
    <row r="575" spans="2:11" ht="13" x14ac:dyDescent="0.15">
      <c r="B575" s="29" t="s">
        <v>870</v>
      </c>
      <c r="C575" s="29" t="s">
        <v>871</v>
      </c>
      <c r="D575" s="31">
        <f>SUMIFS(D576:D631,K576:K631,"0",B576:B631,"5 6 1*")-SUMIFS(E576:E631,K576:K631,"0",B576:B631,"5 6 1*")</f>
        <v>0</v>
      </c>
      <c r="E575"/>
      <c r="F575" s="31">
        <f>SUMIFS(F576:F631,K576:K631,"0",B576:B631,"5 6 1*")</f>
        <v>0</v>
      </c>
      <c r="G575" s="31">
        <f>SUMIFS(G576:G631,K576:K631,"0",B576:B631,"5 6 1*")</f>
        <v>0</v>
      </c>
      <c r="H575" s="31">
        <f t="shared" si="13"/>
        <v>0</v>
      </c>
      <c r="I575" s="31"/>
      <c r="K575" t="s">
        <v>13</v>
      </c>
    </row>
    <row r="576" spans="2:11" ht="13" x14ac:dyDescent="0.15">
      <c r="B576" s="29" t="s">
        <v>872</v>
      </c>
      <c r="C576" s="29" t="s">
        <v>873</v>
      </c>
      <c r="D576" s="31">
        <f>SUMIFS(D577:D631,K577:K631,"0",B577:B631,"6*")-SUMIFS(E577:E631,K577:K631,"0",B577:B631,"6*")</f>
        <v>0</v>
      </c>
      <c r="E576"/>
      <c r="F576" s="31">
        <f>SUMIFS(F577:F631,K577:K631,"0",B577:B631,"6*")</f>
        <v>0</v>
      </c>
      <c r="G576" s="31">
        <f>SUMIFS(G577:G631,K577:K631,"0",B577:B631,"6*")</f>
        <v>0</v>
      </c>
      <c r="H576" s="31">
        <f t="shared" si="13"/>
        <v>0</v>
      </c>
      <c r="I576" s="31"/>
      <c r="K576" t="s">
        <v>13</v>
      </c>
    </row>
    <row r="577" spans="2:11" ht="13" x14ac:dyDescent="0.15">
      <c r="B577" s="27" t="s">
        <v>874</v>
      </c>
      <c r="C577" s="27" t="s">
        <v>875</v>
      </c>
      <c r="D577" s="30">
        <v>0</v>
      </c>
      <c r="E577" s="30"/>
      <c r="F577" s="30">
        <v>0</v>
      </c>
      <c r="G577" s="30">
        <v>0</v>
      </c>
      <c r="H577" s="30">
        <f t="shared" si="13"/>
        <v>0</v>
      </c>
      <c r="I577" s="30"/>
      <c r="K577" t="s">
        <v>37</v>
      </c>
    </row>
    <row r="578" spans="2:11" ht="13" x14ac:dyDescent="0.15">
      <c r="B578" s="27" t="s">
        <v>876</v>
      </c>
      <c r="C578" s="27" t="s">
        <v>877</v>
      </c>
      <c r="D578" s="30">
        <v>0</v>
      </c>
      <c r="E578" s="30"/>
      <c r="F578" s="30">
        <v>0</v>
      </c>
      <c r="G578" s="30">
        <v>0</v>
      </c>
      <c r="H578" s="30">
        <f t="shared" si="13"/>
        <v>0</v>
      </c>
      <c r="I578" s="30"/>
      <c r="K578" t="s">
        <v>37</v>
      </c>
    </row>
    <row r="579" spans="2:11" ht="13" x14ac:dyDescent="0.15">
      <c r="B579" s="27" t="s">
        <v>878</v>
      </c>
      <c r="C579" s="27" t="s">
        <v>879</v>
      </c>
      <c r="D579" s="30">
        <v>0</v>
      </c>
      <c r="E579" s="30"/>
      <c r="F579" s="30">
        <v>0</v>
      </c>
      <c r="G579" s="30">
        <v>0</v>
      </c>
      <c r="H579" s="30">
        <f t="shared" si="13"/>
        <v>0</v>
      </c>
      <c r="I579" s="30"/>
      <c r="K579" t="s">
        <v>37</v>
      </c>
    </row>
    <row r="580" spans="2:11" ht="13" x14ac:dyDescent="0.15">
      <c r="B580" s="29" t="s">
        <v>880</v>
      </c>
      <c r="C580" s="29" t="s">
        <v>881</v>
      </c>
      <c r="D580" s="31">
        <f>SUMIFS(D581:D631,K581:K631,"0",B581:B631,"7*")-SUMIFS(E581:E631,K581:K631,"0",B581:B631,"7*")</f>
        <v>0</v>
      </c>
      <c r="E580"/>
      <c r="F580" s="31">
        <f>SUMIFS(F581:F631,K581:K631,"0",B581:B631,"7*")</f>
        <v>0</v>
      </c>
      <c r="G580" s="31">
        <f>SUMIFS(G581:G631,K581:K631,"0",B581:B631,"7*")</f>
        <v>0</v>
      </c>
      <c r="H580" s="31">
        <f t="shared" si="13"/>
        <v>0</v>
      </c>
      <c r="I580" s="31"/>
      <c r="K580" t="s">
        <v>13</v>
      </c>
    </row>
    <row r="581" spans="2:11" ht="13" x14ac:dyDescent="0.15">
      <c r="B581" s="29" t="s">
        <v>882</v>
      </c>
      <c r="C581" s="29" t="s">
        <v>883</v>
      </c>
      <c r="D581" s="31">
        <f>SUMIFS(D582:D631,K582:K631,"0",B582:B631,"7 1*")-SUMIFS(E582:E631,K582:K631,"0",B582:B631,"7 1*")</f>
        <v>0</v>
      </c>
      <c r="E581"/>
      <c r="F581" s="31">
        <f>SUMIFS(F582:F631,K582:K631,"0",B582:B631,"7 1*")</f>
        <v>0</v>
      </c>
      <c r="G581" s="31">
        <f>SUMIFS(G582:G631,K582:K631,"0",B582:B631,"7 1*")</f>
        <v>0</v>
      </c>
      <c r="H581" s="31">
        <f t="shared" si="13"/>
        <v>0</v>
      </c>
      <c r="I581" s="31"/>
      <c r="K581" t="s">
        <v>13</v>
      </c>
    </row>
    <row r="582" spans="2:11" ht="13" x14ac:dyDescent="0.15">
      <c r="B582" s="29" t="s">
        <v>884</v>
      </c>
      <c r="C582" s="29" t="s">
        <v>885</v>
      </c>
      <c r="D582" s="31">
        <f>SUMIFS(D583:D631,K583:K631,"0",B583:B631,"7 1 1*")-SUMIFS(E583:E631,K583:K631,"0",B583:B631,"7 1 1*")</f>
        <v>0</v>
      </c>
      <c r="E582"/>
      <c r="F582" s="31">
        <f>SUMIFS(F583:F631,K583:K631,"0",B583:B631,"7 1 1*")</f>
        <v>0</v>
      </c>
      <c r="G582" s="31">
        <f>SUMIFS(G583:G631,K583:K631,"0",B583:B631,"7 1 1*")</f>
        <v>0</v>
      </c>
      <c r="H582" s="31">
        <f t="shared" si="13"/>
        <v>0</v>
      </c>
      <c r="I582" s="31"/>
      <c r="K582" t="s">
        <v>13</v>
      </c>
    </row>
    <row r="583" spans="2:11" ht="13" x14ac:dyDescent="0.15">
      <c r="B583" s="29" t="s">
        <v>886</v>
      </c>
      <c r="C583" s="29" t="s">
        <v>887</v>
      </c>
      <c r="D583"/>
      <c r="E583" s="31">
        <f>SUMIFS(E584:E631,K584:K631,"0",B584:B631,"7 1 2*")-SUMIFS(D584:D631,K584:K631,"0",B584:B631,"7 1 2*")</f>
        <v>0</v>
      </c>
      <c r="F583" s="31">
        <f>SUMIFS(F584:F631,K584:K631,"0",B584:B631,"7 1 2*")</f>
        <v>0</v>
      </c>
      <c r="G583" s="31">
        <f>SUMIFS(G584:G631,K584:K631,"0",B584:B631,"7 1 2*")</f>
        <v>0</v>
      </c>
      <c r="H583" s="31"/>
      <c r="I583" s="31">
        <f>E583 - F583 + G583</f>
        <v>0</v>
      </c>
      <c r="K583" t="s">
        <v>13</v>
      </c>
    </row>
    <row r="584" spans="2:11" ht="13" x14ac:dyDescent="0.15">
      <c r="B584" s="29" t="s">
        <v>888</v>
      </c>
      <c r="C584" s="29" t="s">
        <v>889</v>
      </c>
      <c r="D584" s="31">
        <f>SUMIFS(D585:D631,K585:K631,"0",B585:B631,"7 1 3*")-SUMIFS(E585:E631,K585:K631,"0",B585:B631,"7 1 3*")</f>
        <v>0</v>
      </c>
      <c r="E584"/>
      <c r="F584" s="31">
        <f>SUMIFS(F585:F631,K585:K631,"0",B585:B631,"7 1 3*")</f>
        <v>0</v>
      </c>
      <c r="G584" s="31">
        <f>SUMIFS(G585:G631,K585:K631,"0",B585:B631,"7 1 3*")</f>
        <v>0</v>
      </c>
      <c r="H584" s="31">
        <f>D584 + F584 - G584</f>
        <v>0</v>
      </c>
      <c r="I584" s="31"/>
      <c r="K584" t="s">
        <v>13</v>
      </c>
    </row>
    <row r="585" spans="2:11" ht="13" x14ac:dyDescent="0.15">
      <c r="B585" s="29" t="s">
        <v>890</v>
      </c>
      <c r="C585" s="29" t="s">
        <v>891</v>
      </c>
      <c r="D585"/>
      <c r="E585" s="31">
        <f>SUMIFS(E586:E631,K586:K631,"0",B586:B631,"7 1 4*")-SUMIFS(D586:D631,K586:K631,"0",B586:B631,"7 1 4*")</f>
        <v>0</v>
      </c>
      <c r="F585" s="31">
        <f>SUMIFS(F586:F631,K586:K631,"0",B586:B631,"7 1 4*")</f>
        <v>0</v>
      </c>
      <c r="G585" s="31">
        <f>SUMIFS(G586:G631,K586:K631,"0",B586:B631,"7 1 4*")</f>
        <v>0</v>
      </c>
      <c r="H585" s="31"/>
      <c r="I585" s="31">
        <f>E585 - F585 + G585</f>
        <v>0</v>
      </c>
      <c r="K585" t="s">
        <v>13</v>
      </c>
    </row>
    <row r="586" spans="2:11" ht="13" x14ac:dyDescent="0.15">
      <c r="B586" s="29" t="s">
        <v>892</v>
      </c>
      <c r="C586" s="29" t="s">
        <v>893</v>
      </c>
      <c r="D586" s="31">
        <f>SUMIFS(D587:D631,K587:K631,"0",B587:B631,"7 1 5*")-SUMIFS(E587:E631,K587:K631,"0",B587:B631,"7 1 5*")</f>
        <v>0</v>
      </c>
      <c r="E586"/>
      <c r="F586" s="31">
        <f>SUMIFS(F587:F631,K587:K631,"0",B587:B631,"7 1 5*")</f>
        <v>0</v>
      </c>
      <c r="G586" s="31">
        <f>SUMIFS(G587:G631,K587:K631,"0",B587:B631,"7 1 5*")</f>
        <v>0</v>
      </c>
      <c r="H586" s="31">
        <f>D586 + F586 - G586</f>
        <v>0</v>
      </c>
      <c r="I586" s="31"/>
      <c r="K586" t="s">
        <v>13</v>
      </c>
    </row>
    <row r="587" spans="2:11" ht="13" x14ac:dyDescent="0.15">
      <c r="B587" s="29" t="s">
        <v>894</v>
      </c>
      <c r="C587" s="29" t="s">
        <v>895</v>
      </c>
      <c r="D587"/>
      <c r="E587" s="31">
        <f>SUMIFS(E588:E631,K588:K631,"0",B588:B631,"7 1 6*")-SUMIFS(D588:D631,K588:K631,"0",B588:B631,"7 1 6*")</f>
        <v>0</v>
      </c>
      <c r="F587" s="31">
        <f>SUMIFS(F588:F631,K588:K631,"0",B588:B631,"7 1 6*")</f>
        <v>0</v>
      </c>
      <c r="G587" s="31">
        <f>SUMIFS(G588:G631,K588:K631,"0",B588:B631,"7 1 6*")</f>
        <v>0</v>
      </c>
      <c r="H587" s="31"/>
      <c r="I587" s="31">
        <f>E587 - F587 + G587</f>
        <v>0</v>
      </c>
      <c r="K587" t="s">
        <v>13</v>
      </c>
    </row>
    <row r="588" spans="2:11" ht="13" x14ac:dyDescent="0.15">
      <c r="B588" s="29" t="s">
        <v>896</v>
      </c>
      <c r="C588" s="29" t="s">
        <v>897</v>
      </c>
      <c r="D588" s="31">
        <f>SUMIFS(D589:D631,K589:K631,"0",B589:B631,"7 2*")-SUMIFS(E589:E631,K589:K631,"0",B589:B631,"7 2*")</f>
        <v>0</v>
      </c>
      <c r="E588"/>
      <c r="F588" s="31">
        <f>SUMIFS(F589:F631,K589:K631,"0",B589:B631,"7 2*")</f>
        <v>0</v>
      </c>
      <c r="G588" s="31">
        <f>SUMIFS(G589:G631,K589:K631,"0",B589:B631,"7 2*")</f>
        <v>0</v>
      </c>
      <c r="H588" s="31">
        <f>D588 + F588 - G588</f>
        <v>0</v>
      </c>
      <c r="I588" s="31"/>
      <c r="K588" t="s">
        <v>13</v>
      </c>
    </row>
    <row r="589" spans="2:11" ht="13" x14ac:dyDescent="0.15">
      <c r="B589" s="29" t="s">
        <v>898</v>
      </c>
      <c r="C589" s="29" t="s">
        <v>899</v>
      </c>
      <c r="D589" s="31">
        <f>SUMIFS(D590:D631,K590:K631,"0",B590:B631,"7 2 1*")-SUMIFS(E590:E631,K590:K631,"0",B590:B631,"7 2 1*")</f>
        <v>0</v>
      </c>
      <c r="E589"/>
      <c r="F589" s="31">
        <f>SUMIFS(F590:F631,K590:K631,"0",B590:B631,"7 2 1*")</f>
        <v>0</v>
      </c>
      <c r="G589" s="31">
        <f>SUMIFS(G590:G631,K590:K631,"0",B590:B631,"7 2 1*")</f>
        <v>0</v>
      </c>
      <c r="H589" s="31">
        <f>D589 + F589 - G589</f>
        <v>0</v>
      </c>
      <c r="I589" s="31"/>
      <c r="K589" t="s">
        <v>13</v>
      </c>
    </row>
    <row r="590" spans="2:11" ht="13" x14ac:dyDescent="0.15">
      <c r="B590" s="29" t="s">
        <v>900</v>
      </c>
      <c r="C590" s="29" t="s">
        <v>901</v>
      </c>
      <c r="D590"/>
      <c r="E590" s="31">
        <f>SUMIFS(E591:E631,K591:K631,"0",B591:B631,"7 2 2*")-SUMIFS(D591:D631,K591:K631,"0",B591:B631,"7 2 2*")</f>
        <v>0</v>
      </c>
      <c r="F590" s="31">
        <f>SUMIFS(F591:F631,K591:K631,"0",B591:B631,"7 2 2*")</f>
        <v>0</v>
      </c>
      <c r="G590" s="31">
        <f>SUMIFS(G591:G631,K591:K631,"0",B591:B631,"7 2 2*")</f>
        <v>0</v>
      </c>
      <c r="H590" s="31"/>
      <c r="I590" s="31">
        <f>E590 - F590 + G590</f>
        <v>0</v>
      </c>
      <c r="K590" t="s">
        <v>13</v>
      </c>
    </row>
    <row r="591" spans="2:11" ht="13" x14ac:dyDescent="0.15">
      <c r="B591" s="29" t="s">
        <v>902</v>
      </c>
      <c r="C591" s="29" t="s">
        <v>903</v>
      </c>
      <c r="D591" s="31">
        <f>SUMIFS(D592:D631,K592:K631,"0",B592:B631,"7 2 3*")-SUMIFS(E592:E631,K592:K631,"0",B592:B631,"7 2 3*")</f>
        <v>0</v>
      </c>
      <c r="E591"/>
      <c r="F591" s="31">
        <f>SUMIFS(F592:F631,K592:K631,"0",B592:B631,"7 2 3*")</f>
        <v>0</v>
      </c>
      <c r="G591" s="31">
        <f>SUMIFS(G592:G631,K592:K631,"0",B592:B631,"7 2 3*")</f>
        <v>0</v>
      </c>
      <c r="H591" s="31">
        <f>D591 + F591 - G591</f>
        <v>0</v>
      </c>
      <c r="I591" s="31"/>
      <c r="K591" t="s">
        <v>13</v>
      </c>
    </row>
    <row r="592" spans="2:11" ht="13" x14ac:dyDescent="0.15">
      <c r="B592" s="29" t="s">
        <v>904</v>
      </c>
      <c r="C592" s="29" t="s">
        <v>905</v>
      </c>
      <c r="D592"/>
      <c r="E592" s="31">
        <f>SUMIFS(E593:E631,K593:K631,"0",B593:B631,"7 2 4*")-SUMIFS(D593:D631,K593:K631,"0",B593:B631,"7 2 4*")</f>
        <v>0</v>
      </c>
      <c r="F592" s="31">
        <f>SUMIFS(F593:F631,K593:K631,"0",B593:B631,"7 2 4*")</f>
        <v>0</v>
      </c>
      <c r="G592" s="31">
        <f>SUMIFS(G593:G631,K593:K631,"0",B593:B631,"7 2 4*")</f>
        <v>0</v>
      </c>
      <c r="H592" s="31"/>
      <c r="I592" s="31">
        <f>E592 - F592 + G592</f>
        <v>0</v>
      </c>
      <c r="K592" t="s">
        <v>13</v>
      </c>
    </row>
    <row r="593" spans="2:11" ht="13" x14ac:dyDescent="0.15">
      <c r="B593" s="29" t="s">
        <v>906</v>
      </c>
      <c r="C593" s="29" t="s">
        <v>907</v>
      </c>
      <c r="D593" s="31">
        <f>SUMIFS(D594:D631,K594:K631,"0",B594:B631,"7 2 5*")-SUMIFS(E594:E631,K594:K631,"0",B594:B631,"7 2 5*")</f>
        <v>0</v>
      </c>
      <c r="E593"/>
      <c r="F593" s="31">
        <f>SUMIFS(F594:F631,K594:K631,"0",B594:B631,"7 2 5*")</f>
        <v>0</v>
      </c>
      <c r="G593" s="31">
        <f>SUMIFS(G594:G631,K594:K631,"0",B594:B631,"7 2 5*")</f>
        <v>0</v>
      </c>
      <c r="H593" s="31">
        <f>D593 + F593 - G593</f>
        <v>0</v>
      </c>
      <c r="I593" s="31"/>
      <c r="K593" t="s">
        <v>13</v>
      </c>
    </row>
    <row r="594" spans="2:11" ht="13" x14ac:dyDescent="0.15">
      <c r="B594" s="29" t="s">
        <v>908</v>
      </c>
      <c r="C594" s="29" t="s">
        <v>909</v>
      </c>
      <c r="D594"/>
      <c r="E594" s="31">
        <f>SUMIFS(E595:E631,K595:K631,"0",B595:B631,"7 2 6*")-SUMIFS(D595:D631,K595:K631,"0",B595:B631,"7 2 6*")</f>
        <v>0</v>
      </c>
      <c r="F594" s="31">
        <f>SUMIFS(F595:F631,K595:K631,"0",B595:B631,"7 2 6*")</f>
        <v>0</v>
      </c>
      <c r="G594" s="31">
        <f>SUMIFS(G595:G631,K595:K631,"0",B595:B631,"7 2 6*")</f>
        <v>0</v>
      </c>
      <c r="H594" s="31"/>
      <c r="I594" s="31">
        <f>E594 - F594 + G594</f>
        <v>0</v>
      </c>
      <c r="K594" t="s">
        <v>13</v>
      </c>
    </row>
    <row r="595" spans="2:11" ht="13" x14ac:dyDescent="0.15">
      <c r="B595" s="29" t="s">
        <v>910</v>
      </c>
      <c r="C595" s="29" t="s">
        <v>911</v>
      </c>
      <c r="D595" s="31">
        <f>SUMIFS(D596:D631,K596:K631,"0",B596:B631,"7 3*")-SUMIFS(E596:E631,K596:K631,"0",B596:B631,"7 3*")</f>
        <v>0</v>
      </c>
      <c r="E595"/>
      <c r="F595" s="31">
        <f>SUMIFS(F596:F631,K596:K631,"0",B596:B631,"7 3*")</f>
        <v>0</v>
      </c>
      <c r="G595" s="31">
        <f>SUMIFS(G596:G631,K596:K631,"0",B596:B631,"7 3*")</f>
        <v>0</v>
      </c>
      <c r="H595" s="31">
        <f>D595 + F595 - G595</f>
        <v>0</v>
      </c>
      <c r="I595" s="31"/>
      <c r="K595" t="s">
        <v>13</v>
      </c>
    </row>
    <row r="596" spans="2:11" ht="13" x14ac:dyDescent="0.15">
      <c r="B596" s="29" t="s">
        <v>912</v>
      </c>
      <c r="C596" s="29" t="s">
        <v>913</v>
      </c>
      <c r="D596" s="31">
        <f>SUMIFS(D597:D631,K597:K631,"0",B597:B631,"7 3 1*")-SUMIFS(E597:E631,K597:K631,"0",B597:B631,"7 3 1*")</f>
        <v>0</v>
      </c>
      <c r="E596"/>
      <c r="F596" s="31">
        <f>SUMIFS(F597:F631,K597:K631,"0",B597:B631,"7 3 1*")</f>
        <v>0</v>
      </c>
      <c r="G596" s="31">
        <f>SUMIFS(G597:G631,K597:K631,"0",B597:B631,"7 3 1*")</f>
        <v>0</v>
      </c>
      <c r="H596" s="31">
        <f>D596 + F596 - G596</f>
        <v>0</v>
      </c>
      <c r="I596" s="31"/>
      <c r="K596" t="s">
        <v>13</v>
      </c>
    </row>
    <row r="597" spans="2:11" ht="13" x14ac:dyDescent="0.15">
      <c r="B597" s="29" t="s">
        <v>914</v>
      </c>
      <c r="C597" s="29" t="s">
        <v>915</v>
      </c>
      <c r="D597"/>
      <c r="E597" s="31">
        <f>SUMIFS(E598:E631,K598:K631,"0",B598:B631,"7 3 2*")-SUMIFS(D598:D631,K598:K631,"0",B598:B631,"7 3 2*")</f>
        <v>0</v>
      </c>
      <c r="F597" s="31">
        <f>SUMIFS(F598:F631,K598:K631,"0",B598:B631,"7 3 2*")</f>
        <v>0</v>
      </c>
      <c r="G597" s="31">
        <f>SUMIFS(G598:G631,K598:K631,"0",B598:B631,"7 3 2*")</f>
        <v>0</v>
      </c>
      <c r="H597" s="31"/>
      <c r="I597" s="31">
        <f>E597 - F597 + G597</f>
        <v>0</v>
      </c>
      <c r="K597" t="s">
        <v>13</v>
      </c>
    </row>
    <row r="598" spans="2:11" ht="13" x14ac:dyDescent="0.15">
      <c r="B598" s="29" t="s">
        <v>916</v>
      </c>
      <c r="C598" s="29" t="s">
        <v>917</v>
      </c>
      <c r="D598" s="31">
        <f>SUMIFS(D599:D631,K599:K631,"0",B599:B631,"7 3 3*")-SUMIFS(E599:E631,K599:K631,"0",B599:B631,"7 3 3*")</f>
        <v>0</v>
      </c>
      <c r="E598"/>
      <c r="F598" s="31">
        <f>SUMIFS(F599:F631,K599:K631,"0",B599:B631,"7 3 3*")</f>
        <v>0</v>
      </c>
      <c r="G598" s="31">
        <f>SUMIFS(G599:G631,K599:K631,"0",B599:B631,"7 3 3*")</f>
        <v>0</v>
      </c>
      <c r="H598" s="31">
        <f>D598 + F598 - G598</f>
        <v>0</v>
      </c>
      <c r="I598" s="31"/>
      <c r="K598" t="s">
        <v>13</v>
      </c>
    </row>
    <row r="599" spans="2:11" ht="13" x14ac:dyDescent="0.15">
      <c r="B599" s="29" t="s">
        <v>918</v>
      </c>
      <c r="C599" s="29" t="s">
        <v>919</v>
      </c>
      <c r="D599"/>
      <c r="E599" s="31">
        <f>SUMIFS(E600:E631,K600:K631,"0",B600:B631,"7 3 4*")-SUMIFS(D600:D631,K600:K631,"0",B600:B631,"7 3 4*")</f>
        <v>0</v>
      </c>
      <c r="F599" s="31">
        <f>SUMIFS(F600:F631,K600:K631,"0",B600:B631,"7 3 4*")</f>
        <v>0</v>
      </c>
      <c r="G599" s="31">
        <f>SUMIFS(G600:G631,K600:K631,"0",B600:B631,"7 3 4*")</f>
        <v>0</v>
      </c>
      <c r="H599" s="31"/>
      <c r="I599" s="31">
        <f>E599 - F599 + G599</f>
        <v>0</v>
      </c>
      <c r="K599" t="s">
        <v>13</v>
      </c>
    </row>
    <row r="600" spans="2:11" ht="13" x14ac:dyDescent="0.15">
      <c r="B600" s="29" t="s">
        <v>920</v>
      </c>
      <c r="C600" s="29" t="s">
        <v>921</v>
      </c>
      <c r="D600" s="31">
        <f>SUMIFS(D601:D631,K601:K631,"0",B601:B631,"7 3 5*")-SUMIFS(E601:E631,K601:K631,"0",B601:B631,"7 3 5*")</f>
        <v>0</v>
      </c>
      <c r="E600"/>
      <c r="F600" s="31">
        <f>SUMIFS(F601:F631,K601:K631,"0",B601:B631,"7 3 5*")</f>
        <v>0</v>
      </c>
      <c r="G600" s="31">
        <f>SUMIFS(G601:G631,K601:K631,"0",B601:B631,"7 3 5*")</f>
        <v>0</v>
      </c>
      <c r="H600" s="31">
        <f>D600 + F600 - G600</f>
        <v>0</v>
      </c>
      <c r="I600" s="31"/>
      <c r="K600" t="s">
        <v>13</v>
      </c>
    </row>
    <row r="601" spans="2:11" ht="13" x14ac:dyDescent="0.15">
      <c r="B601" s="29" t="s">
        <v>922</v>
      </c>
      <c r="C601" s="29" t="s">
        <v>923</v>
      </c>
      <c r="D601"/>
      <c r="E601" s="31">
        <f>SUMIFS(E602:E631,K602:K631,"0",B602:B631,"7 3 6*")-SUMIFS(D602:D631,K602:K631,"0",B602:B631,"7 3 6*")</f>
        <v>0</v>
      </c>
      <c r="F601" s="31">
        <f>SUMIFS(F602:F631,K602:K631,"0",B602:B631,"7 3 6*")</f>
        <v>0</v>
      </c>
      <c r="G601" s="31">
        <f>SUMIFS(G602:G631,K602:K631,"0",B602:B631,"7 3 6*")</f>
        <v>0</v>
      </c>
      <c r="H601" s="31"/>
      <c r="I601" s="31">
        <f>E601 - F601 + G601</f>
        <v>0</v>
      </c>
      <c r="K601" t="s">
        <v>13</v>
      </c>
    </row>
    <row r="602" spans="2:11" ht="13" x14ac:dyDescent="0.15">
      <c r="B602" s="29" t="s">
        <v>924</v>
      </c>
      <c r="C602" s="29" t="s">
        <v>925</v>
      </c>
      <c r="D602" s="31">
        <f>SUMIFS(D603:D631,K603:K631,"0",B603:B631,"7 4*")-SUMIFS(E603:E631,K603:K631,"0",B603:B631,"7 4*")</f>
        <v>0</v>
      </c>
      <c r="E602"/>
      <c r="F602" s="31">
        <f>SUMIFS(F603:F631,K603:K631,"0",B603:B631,"7 4*")</f>
        <v>0</v>
      </c>
      <c r="G602" s="31">
        <f>SUMIFS(G603:G631,K603:K631,"0",B603:B631,"7 4*")</f>
        <v>0</v>
      </c>
      <c r="H602" s="31">
        <f>D602 + F602 - G602</f>
        <v>0</v>
      </c>
      <c r="I602" s="31"/>
      <c r="K602" t="s">
        <v>13</v>
      </c>
    </row>
    <row r="603" spans="2:11" ht="13" x14ac:dyDescent="0.15">
      <c r="B603" s="29" t="s">
        <v>926</v>
      </c>
      <c r="C603" s="29" t="s">
        <v>927</v>
      </c>
      <c r="D603" s="31">
        <f>SUMIFS(D604:D631,K604:K631,"0",B604:B631,"7 4 1*")-SUMIFS(E604:E631,K604:K631,"0",B604:B631,"7 4 1*")</f>
        <v>0</v>
      </c>
      <c r="E603"/>
      <c r="F603" s="31">
        <f>SUMIFS(F604:F631,K604:K631,"0",B604:B631,"7 4 1*")</f>
        <v>0</v>
      </c>
      <c r="G603" s="31">
        <f>SUMIFS(G604:G631,K604:K631,"0",B604:B631,"7 4 1*")</f>
        <v>0</v>
      </c>
      <c r="H603" s="31">
        <f>D603 + F603 - G603</f>
        <v>0</v>
      </c>
      <c r="I603" s="31"/>
      <c r="K603" t="s">
        <v>13</v>
      </c>
    </row>
    <row r="604" spans="2:11" ht="13" x14ac:dyDescent="0.15">
      <c r="B604" s="29" t="s">
        <v>928</v>
      </c>
      <c r="C604" s="29" t="s">
        <v>929</v>
      </c>
      <c r="D604"/>
      <c r="E604" s="31">
        <f>SUMIFS(E605:E631,K605:K631,"0",B605:B631,"7 4 2*")-SUMIFS(D605:D631,K605:K631,"0",B605:B631,"7 4 2*")</f>
        <v>0</v>
      </c>
      <c r="F604" s="31">
        <f>SUMIFS(F605:F631,K605:K631,"0",B605:B631,"7 4 2*")</f>
        <v>0</v>
      </c>
      <c r="G604" s="31">
        <f>SUMIFS(G605:G631,K605:K631,"0",B605:B631,"7 4 2*")</f>
        <v>0</v>
      </c>
      <c r="H604" s="31"/>
      <c r="I604" s="31">
        <f>E604 - F604 + G604</f>
        <v>0</v>
      </c>
      <c r="K604" t="s">
        <v>13</v>
      </c>
    </row>
    <row r="605" spans="2:11" ht="13" x14ac:dyDescent="0.15">
      <c r="B605" s="29" t="s">
        <v>930</v>
      </c>
      <c r="C605" s="29" t="s">
        <v>931</v>
      </c>
      <c r="D605" s="31">
        <f>SUMIFS(D606:D631,K606:K631,"0",B606:B631,"7 5*")-SUMIFS(E606:E631,K606:K631,"0",B606:B631,"7 5*")</f>
        <v>0</v>
      </c>
      <c r="E605"/>
      <c r="F605" s="31">
        <f>SUMIFS(F606:F631,K606:K631,"0",B606:B631,"7 5*")</f>
        <v>0</v>
      </c>
      <c r="G605" s="31">
        <f>SUMIFS(G606:G631,K606:K631,"0",B606:B631,"7 5*")</f>
        <v>0</v>
      </c>
      <c r="H605" s="31">
        <f>D605 + F605 - G605</f>
        <v>0</v>
      </c>
      <c r="I605" s="31"/>
      <c r="K605" t="s">
        <v>13</v>
      </c>
    </row>
    <row r="606" spans="2:11" ht="13" x14ac:dyDescent="0.15">
      <c r="B606" s="29" t="s">
        <v>932</v>
      </c>
      <c r="C606" s="29" t="s">
        <v>933</v>
      </c>
      <c r="D606" s="31">
        <f>SUMIFS(D607:D631,K607:K631,"0",B607:B631,"7 5 1*")-SUMIFS(E607:E631,K607:K631,"0",B607:B631,"7 5 1*")</f>
        <v>0</v>
      </c>
      <c r="E606"/>
      <c r="F606" s="31">
        <f>SUMIFS(F607:F631,K607:K631,"0",B607:B631,"7 5 1*")</f>
        <v>0</v>
      </c>
      <c r="G606" s="31">
        <f>SUMIFS(G607:G631,K607:K631,"0",B607:B631,"7 5 1*")</f>
        <v>0</v>
      </c>
      <c r="H606" s="31">
        <f>D606 + F606 - G606</f>
        <v>0</v>
      </c>
      <c r="I606" s="31"/>
      <c r="K606" t="s">
        <v>13</v>
      </c>
    </row>
    <row r="607" spans="2:11" ht="13" x14ac:dyDescent="0.15">
      <c r="B607" s="29" t="s">
        <v>934</v>
      </c>
      <c r="C607" s="29" t="s">
        <v>935</v>
      </c>
      <c r="D607"/>
      <c r="E607" s="31">
        <f>SUMIFS(E608:E631,K608:K631,"0",B608:B631,"7 5 2*")-SUMIFS(D608:D631,K608:K631,"0",B608:B631,"7 5 2*")</f>
        <v>0</v>
      </c>
      <c r="F607" s="31">
        <f>SUMIFS(F608:F631,K608:K631,"0",B608:B631,"7 5 2*")</f>
        <v>0</v>
      </c>
      <c r="G607" s="31">
        <f>SUMIFS(G608:G631,K608:K631,"0",B608:B631,"7 5 2*")</f>
        <v>0</v>
      </c>
      <c r="H607" s="31"/>
      <c r="I607" s="31">
        <f>E607 - F607 + G607</f>
        <v>0</v>
      </c>
      <c r="K607" t="s">
        <v>13</v>
      </c>
    </row>
    <row r="608" spans="2:11" ht="13" x14ac:dyDescent="0.15">
      <c r="B608" s="29" t="s">
        <v>936</v>
      </c>
      <c r="C608" s="29" t="s">
        <v>937</v>
      </c>
      <c r="D608" s="31">
        <f>SUMIFS(D609:D631,K609:K631,"0",B609:B631,"7 6*")-SUMIFS(E609:E631,K609:K631,"0",B609:B631,"7 6*")</f>
        <v>0</v>
      </c>
      <c r="E608"/>
      <c r="F608" s="31">
        <f>SUMIFS(F609:F631,K609:K631,"0",B609:B631,"7 6*")</f>
        <v>0</v>
      </c>
      <c r="G608" s="31">
        <f>SUMIFS(G609:G631,K609:K631,"0",B609:B631,"7 6*")</f>
        <v>0</v>
      </c>
      <c r="H608" s="31">
        <f>D608 + F608 - G608</f>
        <v>0</v>
      </c>
      <c r="I608" s="31"/>
      <c r="K608" t="s">
        <v>13</v>
      </c>
    </row>
    <row r="609" spans="2:11" ht="13" x14ac:dyDescent="0.15">
      <c r="B609" s="29" t="s">
        <v>938</v>
      </c>
      <c r="C609" s="29" t="s">
        <v>939</v>
      </c>
      <c r="D609" s="31">
        <f>SUMIFS(D610:D631,K610:K631,"0",B610:B631,"7 6 1*")-SUMIFS(E610:E631,K610:K631,"0",B610:B631,"7 6 1*")</f>
        <v>0</v>
      </c>
      <c r="E609"/>
      <c r="F609" s="31">
        <f>SUMIFS(F610:F631,K610:K631,"0",B610:B631,"7 6 1*")</f>
        <v>0</v>
      </c>
      <c r="G609" s="31">
        <f>SUMIFS(G610:G631,K610:K631,"0",B610:B631,"7 6 1*")</f>
        <v>0</v>
      </c>
      <c r="H609" s="31">
        <f>D609 + F609 - G609</f>
        <v>0</v>
      </c>
      <c r="I609" s="31"/>
      <c r="K609" t="s">
        <v>13</v>
      </c>
    </row>
    <row r="610" spans="2:11" ht="13" x14ac:dyDescent="0.15">
      <c r="B610" s="29" t="s">
        <v>940</v>
      </c>
      <c r="C610" s="29" t="s">
        <v>941</v>
      </c>
      <c r="D610"/>
      <c r="E610" s="31">
        <f>SUMIFS(E611:E631,K611:K631,"0",B611:B631,"7 6 2*")-SUMIFS(D611:D631,K611:K631,"0",B611:B631,"7 6 2*")</f>
        <v>0</v>
      </c>
      <c r="F610" s="31">
        <f>SUMIFS(F611:F631,K611:K631,"0",B611:B631,"7 6 2*")</f>
        <v>0</v>
      </c>
      <c r="G610" s="31">
        <f>SUMIFS(G611:G631,K611:K631,"0",B611:B631,"7 6 2*")</f>
        <v>0</v>
      </c>
      <c r="H610" s="31"/>
      <c r="I610" s="31">
        <f>E610 - F610 + G610</f>
        <v>0</v>
      </c>
      <c r="K610" t="s">
        <v>13</v>
      </c>
    </row>
    <row r="611" spans="2:11" ht="13" x14ac:dyDescent="0.15">
      <c r="B611" s="29" t="s">
        <v>942</v>
      </c>
      <c r="C611" s="29" t="s">
        <v>943</v>
      </c>
      <c r="D611" s="31">
        <f>SUMIFS(D612:D631,K612:K631,"0",B612:B631,"7 6 3*")-SUMIFS(E612:E631,K612:K631,"0",B612:B631,"7 6 3*")</f>
        <v>0</v>
      </c>
      <c r="E611"/>
      <c r="F611" s="31">
        <f>SUMIFS(F612:F631,K612:K631,"0",B612:B631,"7 6 3*")</f>
        <v>0</v>
      </c>
      <c r="G611" s="31">
        <f>SUMIFS(G612:G631,K612:K631,"0",B612:B631,"7 6 3*")</f>
        <v>0</v>
      </c>
      <c r="H611" s="31">
        <f>D611 + F611 - G611</f>
        <v>0</v>
      </c>
      <c r="I611" s="31"/>
      <c r="K611" t="s">
        <v>13</v>
      </c>
    </row>
    <row r="612" spans="2:11" ht="13" x14ac:dyDescent="0.15">
      <c r="B612" s="29" t="s">
        <v>944</v>
      </c>
      <c r="C612" s="29" t="s">
        <v>945</v>
      </c>
      <c r="D612"/>
      <c r="E612" s="31">
        <f>SUMIFS(E613:E631,K613:K631,"0",B613:B631,"7 6 4*")-SUMIFS(D613:D631,K613:K631,"0",B613:B631,"7 6 4*")</f>
        <v>0</v>
      </c>
      <c r="F612" s="31">
        <f>SUMIFS(F613:F631,K613:K631,"0",B613:B631,"7 6 4*")</f>
        <v>0</v>
      </c>
      <c r="G612" s="31">
        <f>SUMIFS(G613:G631,K613:K631,"0",B613:B631,"7 6 4*")</f>
        <v>0</v>
      </c>
      <c r="H612" s="31"/>
      <c r="I612" s="31">
        <f>E612 - F612 + G612</f>
        <v>0</v>
      </c>
      <c r="K612" t="s">
        <v>13</v>
      </c>
    </row>
    <row r="613" spans="2:11" ht="13" x14ac:dyDescent="0.15">
      <c r="B613" s="29" t="s">
        <v>946</v>
      </c>
      <c r="C613" s="29" t="s">
        <v>947</v>
      </c>
      <c r="D613" s="31">
        <f>SUMIFS(D614:D631,K614:K631,"0",B614:B631,"8*")-SUMIFS(E614:E631,K614:K631,"0",B614:B631,"8*")</f>
        <v>0</v>
      </c>
      <c r="E613"/>
      <c r="F613" s="31">
        <f>SUMIFS(F614:F631,K614:K631,"0",B614:B631,"8*")</f>
        <v>597061675.63999999</v>
      </c>
      <c r="G613" s="31">
        <f>SUMIFS(G614:G631,K614:K631,"0",B614:B631,"8*")</f>
        <v>597061675.63999999</v>
      </c>
      <c r="H613" s="31">
        <f>D613 + F613 - G613</f>
        <v>0</v>
      </c>
      <c r="I613" s="31"/>
      <c r="K613" t="s">
        <v>13</v>
      </c>
    </row>
    <row r="614" spans="2:11" ht="13" x14ac:dyDescent="0.15">
      <c r="B614" s="29" t="s">
        <v>948</v>
      </c>
      <c r="C614" s="29" t="s">
        <v>949</v>
      </c>
      <c r="D614" s="31">
        <f>SUMIFS(D615:D631,K615:K631,"0",B615:B631,"8 1*")-SUMIFS(E615:E631,K615:K631,"0",B615:B631,"8 1*")</f>
        <v>0</v>
      </c>
      <c r="E614"/>
      <c r="F614" s="31">
        <f>SUMIFS(F615:F631,K615:K631,"0",B615:B631,"8 1*")</f>
        <v>228262001.20999998</v>
      </c>
      <c r="G614" s="31">
        <f>SUMIFS(G615:G631,K615:K631,"0",B615:B631,"8 1*")</f>
        <v>228262001.20999998</v>
      </c>
      <c r="H614" s="31">
        <f>D614 + F614 - G614</f>
        <v>0</v>
      </c>
      <c r="I614" s="31"/>
      <c r="K614" t="s">
        <v>13</v>
      </c>
    </row>
    <row r="615" spans="2:11" ht="13" x14ac:dyDescent="0.15">
      <c r="B615" s="27" t="s">
        <v>950</v>
      </c>
      <c r="C615" s="27" t="s">
        <v>951</v>
      </c>
      <c r="D615" s="30">
        <v>0</v>
      </c>
      <c r="E615" s="30"/>
      <c r="F615" s="30">
        <v>75267829.420000002</v>
      </c>
      <c r="G615" s="30">
        <v>0</v>
      </c>
      <c r="H615" s="30">
        <f>D615 + F615 - G615</f>
        <v>75267829.420000002</v>
      </c>
      <c r="I615" s="30"/>
      <c r="K615" t="s">
        <v>37</v>
      </c>
    </row>
    <row r="616" spans="2:11" ht="13" x14ac:dyDescent="0.15">
      <c r="B616" s="27" t="s">
        <v>952</v>
      </c>
      <c r="C616" s="27" t="s">
        <v>953</v>
      </c>
      <c r="D616" s="30"/>
      <c r="E616" s="30">
        <v>0</v>
      </c>
      <c r="F616" s="30">
        <v>70274945.269999996</v>
      </c>
      <c r="G616" s="30">
        <v>87712110.670000002</v>
      </c>
      <c r="H616" s="30"/>
      <c r="I616" s="30">
        <f>E616 - F616 + G616</f>
        <v>17437165.400000006</v>
      </c>
      <c r="K616" t="s">
        <v>37</v>
      </c>
    </row>
    <row r="617" spans="2:11" ht="13" x14ac:dyDescent="0.15">
      <c r="B617" s="27" t="s">
        <v>954</v>
      </c>
      <c r="C617" s="27" t="s">
        <v>955</v>
      </c>
      <c r="D617" s="30">
        <v>0</v>
      </c>
      <c r="E617" s="30"/>
      <c r="F617" s="30">
        <v>12444281.25</v>
      </c>
      <c r="G617" s="30">
        <v>0</v>
      </c>
      <c r="H617" s="30">
        <f>D617 + F617 - G617</f>
        <v>12444281.25</v>
      </c>
      <c r="I617" s="30"/>
      <c r="K617" t="s">
        <v>37</v>
      </c>
    </row>
    <row r="618" spans="2:11" ht="13" x14ac:dyDescent="0.15">
      <c r="B618" s="27" t="s">
        <v>956</v>
      </c>
      <c r="C618" s="27" t="s">
        <v>957</v>
      </c>
      <c r="D618" s="30"/>
      <c r="E618" s="30">
        <v>0</v>
      </c>
      <c r="F618" s="30">
        <v>70274945.269999996</v>
      </c>
      <c r="G618" s="30">
        <v>70274945.269999996</v>
      </c>
      <c r="H618" s="30"/>
      <c r="I618" s="30">
        <f>E618 - F618 + G618</f>
        <v>0</v>
      </c>
      <c r="K618" t="s">
        <v>37</v>
      </c>
    </row>
    <row r="619" spans="2:11" ht="13" x14ac:dyDescent="0.15">
      <c r="B619" s="27" t="s">
        <v>958</v>
      </c>
      <c r="C619" s="27" t="s">
        <v>959</v>
      </c>
      <c r="D619" s="30"/>
      <c r="E619" s="30">
        <v>0</v>
      </c>
      <c r="F619" s="30">
        <v>0</v>
      </c>
      <c r="G619" s="30">
        <v>70274945.269999996</v>
      </c>
      <c r="H619" s="30"/>
      <c r="I619" s="30">
        <f>E619 - F619 + G619</f>
        <v>70274945.269999996</v>
      </c>
      <c r="K619" t="s">
        <v>37</v>
      </c>
    </row>
    <row r="620" spans="2:11" ht="13" x14ac:dyDescent="0.15">
      <c r="B620" s="29" t="s">
        <v>960</v>
      </c>
      <c r="C620" s="29" t="s">
        <v>961</v>
      </c>
      <c r="D620"/>
      <c r="E620" s="31">
        <f>SUMIFS(E621:E631,K621:K631,"0",B621:B631,"8 2*")-SUMIFS(D621:D631,K621:K631,"0",B621:B631,"8 2*")</f>
        <v>0</v>
      </c>
      <c r="F620" s="31">
        <f>SUMIFS(F621:F631,K621:K631,"0",B621:B631,"8 2*")</f>
        <v>368799674.43000001</v>
      </c>
      <c r="G620" s="31">
        <f>SUMIFS(G621:G631,K621:K631,"0",B621:B631,"8 2*")</f>
        <v>368799674.43000001</v>
      </c>
      <c r="H620" s="31"/>
      <c r="I620" s="31">
        <f>E620 - F620 + G620</f>
        <v>0</v>
      </c>
      <c r="K620" t="s">
        <v>13</v>
      </c>
    </row>
    <row r="621" spans="2:11" ht="13" x14ac:dyDescent="0.15">
      <c r="B621" s="27" t="s">
        <v>962</v>
      </c>
      <c r="C621" s="27" t="s">
        <v>963</v>
      </c>
      <c r="D621" s="30"/>
      <c r="E621" s="30">
        <v>0</v>
      </c>
      <c r="F621" s="30">
        <v>0</v>
      </c>
      <c r="G621" s="30">
        <v>75267829.420000002</v>
      </c>
      <c r="H621" s="30"/>
      <c r="I621" s="30">
        <f>E621 - F621 + G621</f>
        <v>75267829.420000002</v>
      </c>
      <c r="K621" t="s">
        <v>37</v>
      </c>
    </row>
    <row r="622" spans="2:11" ht="13" x14ac:dyDescent="0.15">
      <c r="B622" s="27" t="s">
        <v>964</v>
      </c>
      <c r="C622" s="27" t="s">
        <v>965</v>
      </c>
      <c r="D622" s="30">
        <v>0</v>
      </c>
      <c r="E622" s="30"/>
      <c r="F622" s="30">
        <v>87712110.670000002</v>
      </c>
      <c r="G622" s="30">
        <v>70271890.939999998</v>
      </c>
      <c r="H622" s="30">
        <f>D622 + F622 - G622</f>
        <v>17440219.730000004</v>
      </c>
      <c r="I622" s="30"/>
      <c r="K622" t="s">
        <v>37</v>
      </c>
    </row>
    <row r="623" spans="2:11" ht="13" x14ac:dyDescent="0.15">
      <c r="B623" s="27" t="s">
        <v>966</v>
      </c>
      <c r="C623" s="27" t="s">
        <v>967</v>
      </c>
      <c r="D623" s="30"/>
      <c r="E623" s="30">
        <v>0</v>
      </c>
      <c r="F623" s="30">
        <v>0</v>
      </c>
      <c r="G623" s="30">
        <v>12444281.25</v>
      </c>
      <c r="H623" s="30"/>
      <c r="I623" s="30">
        <f>E623 - F623 + G623</f>
        <v>12444281.25</v>
      </c>
      <c r="K623" t="s">
        <v>37</v>
      </c>
    </row>
    <row r="624" spans="2:11" ht="13" x14ac:dyDescent="0.15">
      <c r="B624" s="27" t="s">
        <v>968</v>
      </c>
      <c r="C624" s="27" t="s">
        <v>969</v>
      </c>
      <c r="D624" s="30">
        <v>0</v>
      </c>
      <c r="E624" s="30"/>
      <c r="F624" s="30">
        <v>70271890.939999998</v>
      </c>
      <c r="G624" s="30">
        <v>70271890.939999998</v>
      </c>
      <c r="H624" s="30">
        <f t="shared" ref="H624:H631" si="14">D624 + F624 - G624</f>
        <v>0</v>
      </c>
      <c r="I624" s="30"/>
      <c r="K624" t="s">
        <v>37</v>
      </c>
    </row>
    <row r="625" spans="2:11" ht="13" x14ac:dyDescent="0.15">
      <c r="B625" s="27" t="s">
        <v>970</v>
      </c>
      <c r="C625" s="27" t="s">
        <v>971</v>
      </c>
      <c r="D625" s="30">
        <v>0</v>
      </c>
      <c r="E625" s="30"/>
      <c r="F625" s="30">
        <v>70271890.939999998</v>
      </c>
      <c r="G625" s="30">
        <v>70271890.939999998</v>
      </c>
      <c r="H625" s="30">
        <f t="shared" si="14"/>
        <v>0</v>
      </c>
      <c r="I625" s="30"/>
      <c r="K625" t="s">
        <v>37</v>
      </c>
    </row>
    <row r="626" spans="2:11" ht="13" x14ac:dyDescent="0.15">
      <c r="B626" s="27" t="s">
        <v>972</v>
      </c>
      <c r="C626" s="27" t="s">
        <v>973</v>
      </c>
      <c r="D626" s="30">
        <v>0</v>
      </c>
      <c r="E626" s="30"/>
      <c r="F626" s="30">
        <v>70271890.939999998</v>
      </c>
      <c r="G626" s="30">
        <v>70271890.939999998</v>
      </c>
      <c r="H626" s="30">
        <f t="shared" si="14"/>
        <v>0</v>
      </c>
      <c r="I626" s="30"/>
      <c r="K626" t="s">
        <v>37</v>
      </c>
    </row>
    <row r="627" spans="2:11" ht="13" x14ac:dyDescent="0.15">
      <c r="B627" s="27" t="s">
        <v>974</v>
      </c>
      <c r="C627" s="27" t="s">
        <v>975</v>
      </c>
      <c r="D627" s="30">
        <v>0</v>
      </c>
      <c r="E627" s="30"/>
      <c r="F627" s="30">
        <v>70271890.939999998</v>
      </c>
      <c r="G627" s="30">
        <v>0</v>
      </c>
      <c r="H627" s="30">
        <f t="shared" si="14"/>
        <v>70271890.939999998</v>
      </c>
      <c r="I627" s="30"/>
      <c r="K627" t="s">
        <v>37</v>
      </c>
    </row>
    <row r="628" spans="2:11" ht="13" x14ac:dyDescent="0.15">
      <c r="B628" s="29" t="s">
        <v>976</v>
      </c>
      <c r="C628" s="29" t="s">
        <v>977</v>
      </c>
      <c r="D628" s="31">
        <f>SUMIFS(D629:D631,K629:K631,"0",B629:B631,"9*")-SUMIFS(E629:E631,K629:K631,"0",B629:B631,"9*")</f>
        <v>0</v>
      </c>
      <c r="E628"/>
      <c r="F628" s="31">
        <f>SUMIFS(F629:F631,K629:K631,"0",B629:B631,"9*")</f>
        <v>0</v>
      </c>
      <c r="G628" s="31">
        <f>SUMIFS(G629:G631,K629:K631,"0",B629:B631,"9*")</f>
        <v>0</v>
      </c>
      <c r="H628" s="31">
        <f t="shared" si="14"/>
        <v>0</v>
      </c>
      <c r="I628" s="31"/>
      <c r="K628" t="s">
        <v>13</v>
      </c>
    </row>
    <row r="629" spans="2:11" ht="13" x14ac:dyDescent="0.15">
      <c r="B629" s="27" t="s">
        <v>978</v>
      </c>
      <c r="C629" s="27" t="s">
        <v>979</v>
      </c>
      <c r="D629" s="30">
        <v>0</v>
      </c>
      <c r="E629" s="30"/>
      <c r="F629" s="30">
        <v>0</v>
      </c>
      <c r="G629" s="30">
        <v>0</v>
      </c>
      <c r="H629" s="30">
        <f t="shared" si="14"/>
        <v>0</v>
      </c>
      <c r="I629" s="30"/>
      <c r="K629" t="s">
        <v>37</v>
      </c>
    </row>
    <row r="630" spans="2:11" ht="13" x14ac:dyDescent="0.15">
      <c r="B630" s="27" t="s">
        <v>980</v>
      </c>
      <c r="C630" s="27" t="s">
        <v>981</v>
      </c>
      <c r="D630" s="30">
        <v>0</v>
      </c>
      <c r="E630" s="30"/>
      <c r="F630" s="30">
        <v>0</v>
      </c>
      <c r="G630" s="30">
        <v>0</v>
      </c>
      <c r="H630" s="30">
        <f t="shared" si="14"/>
        <v>0</v>
      </c>
      <c r="I630" s="30"/>
      <c r="K630" t="s">
        <v>37</v>
      </c>
    </row>
    <row r="631" spans="2:11" ht="13" x14ac:dyDescent="0.15">
      <c r="B631" s="27" t="s">
        <v>982</v>
      </c>
      <c r="C631" s="27" t="s">
        <v>983</v>
      </c>
      <c r="D631" s="30">
        <v>0</v>
      </c>
      <c r="E631" s="30"/>
      <c r="F631" s="30">
        <v>0</v>
      </c>
      <c r="G631" s="30">
        <v>0</v>
      </c>
      <c r="H631" s="30">
        <f t="shared" si="14"/>
        <v>0</v>
      </c>
      <c r="I631" s="30"/>
      <c r="K631" t="s">
        <v>37</v>
      </c>
    </row>
    <row r="633" spans="2:11" x14ac:dyDescent="0.15">
      <c r="D633" s="32">
        <f>SUMIF(K11:K631,"=0",D11:D631)</f>
        <v>1685038.5999999992</v>
      </c>
      <c r="E633" s="32">
        <f>SUMIF(K11:K631,"=0",E11:E631)</f>
        <v>1685038.6</v>
      </c>
      <c r="F633" s="32">
        <f>SUMIF(K11:K631,"=0",F11:F631)</f>
        <v>945513962.0400002</v>
      </c>
      <c r="G633" s="32">
        <f>SUMIF(K11:K631,"=0",G11:G631)</f>
        <v>945513962.0400002</v>
      </c>
      <c r="H633" s="32">
        <f>SUMIF(K11:K631,"=0",H11:H631)</f>
        <v>246899097.02000004</v>
      </c>
      <c r="I633" s="32">
        <f>SUMIF(K11:K631,"=0",I11:I631)</f>
        <v>246899097.01999998</v>
      </c>
    </row>
    <row r="635" spans="2:11" x14ac:dyDescent="0.15">
      <c r="B635" s="28" t="str">
        <f>IF(AND(ROUND(D633, 2)=ROUND(E633, 2), ROUND(F633, 2)=ROUND(G633, 2), ROUND(H633,2)=ROUND(I633,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</sheetData>
  <mergeCells count="11">
    <mergeCell ref="D9:E9"/>
    <mergeCell ref="F9:G9"/>
    <mergeCell ref="H9:I9"/>
    <mergeCell ref="D8:E8"/>
    <mergeCell ref="F8:G8"/>
    <mergeCell ref="H8:I8"/>
    <mergeCell ref="B6:I6"/>
    <mergeCell ref="B2:I2"/>
    <mergeCell ref="B3:I3"/>
    <mergeCell ref="B4:I4"/>
    <mergeCell ref="B5:I5"/>
  </mergeCells>
  <phoneticPr fontId="0" type="noConversion"/>
  <pageMargins left="0.78740157480314965" right="0.78740157480314965" top="0.39370078740157483" bottom="0.39370078740157483" header="0" footer="0"/>
  <pageSetup scale="70" orientation="landscape" r:id="rId1"/>
  <headerFooter alignWithMargins="0">
    <oddFooter>&amp;C&amp;"Arial,"&amp;6&amp;D &amp;T&amp;L&amp;"Arial,"&amp;6Coram/ Balanza 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2024-10-26T01:30:25Z</cp:lastPrinted>
  <dcterms:created xsi:type="dcterms:W3CDTF">1996-11-27T10:00:04Z</dcterms:created>
  <dcterms:modified xsi:type="dcterms:W3CDTF">2024-11-08T18:13:18Z</dcterms:modified>
</cp:coreProperties>
</file>