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CONTABLE/"/>
    </mc:Choice>
  </mc:AlternateContent>
  <xr:revisionPtr revIDLastSave="0" documentId="8_{368B22DF-63DF-CB4D-AFE5-3FDFBF092262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32" i="1" l="1"/>
  <c r="F3132" i="1"/>
  <c r="E3132" i="1"/>
  <c r="D3132" i="1"/>
  <c r="H3130" i="1"/>
  <c r="H3129" i="1"/>
  <c r="H3128" i="1"/>
  <c r="G3127" i="1"/>
  <c r="F3127" i="1"/>
  <c r="D3127" i="1"/>
  <c r="H3127" i="1" s="1"/>
  <c r="H3126" i="1"/>
  <c r="H3125" i="1"/>
  <c r="H3124" i="1"/>
  <c r="H3123" i="1"/>
  <c r="I3122" i="1"/>
  <c r="H3121" i="1"/>
  <c r="I3120" i="1"/>
  <c r="G3119" i="1"/>
  <c r="F3119" i="1"/>
  <c r="E3119" i="1"/>
  <c r="I3118" i="1"/>
  <c r="I3117" i="1"/>
  <c r="H3116" i="1"/>
  <c r="I3115" i="1"/>
  <c r="H3114" i="1"/>
  <c r="G3113" i="1"/>
  <c r="F3113" i="1"/>
  <c r="D3113" i="1"/>
  <c r="G3112" i="1"/>
  <c r="F3112" i="1"/>
  <c r="D3112" i="1"/>
  <c r="G3111" i="1"/>
  <c r="F3111" i="1"/>
  <c r="E3111" i="1"/>
  <c r="G3110" i="1"/>
  <c r="F3110" i="1"/>
  <c r="D3110" i="1"/>
  <c r="G3109" i="1"/>
  <c r="F3109" i="1"/>
  <c r="E3109" i="1"/>
  <c r="G3108" i="1"/>
  <c r="F3108" i="1"/>
  <c r="D3108" i="1"/>
  <c r="G3107" i="1"/>
  <c r="F3107" i="1"/>
  <c r="D3107" i="1"/>
  <c r="G3106" i="1"/>
  <c r="F3106" i="1"/>
  <c r="E3106" i="1"/>
  <c r="G3105" i="1"/>
  <c r="F3105" i="1"/>
  <c r="D3105" i="1"/>
  <c r="H3105" i="1" s="1"/>
  <c r="G3104" i="1"/>
  <c r="F3104" i="1"/>
  <c r="D3104" i="1"/>
  <c r="G3103" i="1"/>
  <c r="F3103" i="1"/>
  <c r="E3103" i="1"/>
  <c r="I3103" i="1" s="1"/>
  <c r="G3102" i="1"/>
  <c r="F3102" i="1"/>
  <c r="D3102" i="1"/>
  <c r="G3101" i="1"/>
  <c r="F3101" i="1"/>
  <c r="D3101" i="1"/>
  <c r="H3101" i="1" s="1"/>
  <c r="G3100" i="1"/>
  <c r="F3100" i="1"/>
  <c r="E3100" i="1"/>
  <c r="I3100" i="1" s="1"/>
  <c r="G3099" i="1"/>
  <c r="F3099" i="1"/>
  <c r="D3099" i="1"/>
  <c r="G3098" i="1"/>
  <c r="F3098" i="1"/>
  <c r="E3098" i="1"/>
  <c r="I3098" i="1" s="1"/>
  <c r="G3097" i="1"/>
  <c r="F3097" i="1"/>
  <c r="D3097" i="1"/>
  <c r="G3096" i="1"/>
  <c r="F3096" i="1"/>
  <c r="E3096" i="1"/>
  <c r="G3095" i="1"/>
  <c r="F3095" i="1"/>
  <c r="D3095" i="1"/>
  <c r="G3094" i="1"/>
  <c r="F3094" i="1"/>
  <c r="D3094" i="1"/>
  <c r="G3093" i="1"/>
  <c r="F3093" i="1"/>
  <c r="E3093" i="1"/>
  <c r="G3092" i="1"/>
  <c r="F3092" i="1"/>
  <c r="D3092" i="1"/>
  <c r="G3091" i="1"/>
  <c r="F3091" i="1"/>
  <c r="E3091" i="1"/>
  <c r="I3091" i="1" s="1"/>
  <c r="G3090" i="1"/>
  <c r="F3090" i="1"/>
  <c r="D3090" i="1"/>
  <c r="G3089" i="1"/>
  <c r="F3089" i="1"/>
  <c r="E3089" i="1"/>
  <c r="I3089" i="1" s="1"/>
  <c r="G3088" i="1"/>
  <c r="F3088" i="1"/>
  <c r="D3088" i="1"/>
  <c r="G3087" i="1"/>
  <c r="F3087" i="1"/>
  <c r="D3087" i="1"/>
  <c r="H3087" i="1" s="1"/>
  <c r="G3086" i="1"/>
  <c r="F3086" i="1"/>
  <c r="E3086" i="1"/>
  <c r="G3085" i="1"/>
  <c r="F3085" i="1"/>
  <c r="D3085" i="1"/>
  <c r="H3085" i="1" s="1"/>
  <c r="G3084" i="1"/>
  <c r="F3084" i="1"/>
  <c r="E3084" i="1"/>
  <c r="I3084" i="1" s="1"/>
  <c r="G3083" i="1"/>
  <c r="F3083" i="1"/>
  <c r="D3083" i="1"/>
  <c r="G3082" i="1"/>
  <c r="F3082" i="1"/>
  <c r="E3082" i="1"/>
  <c r="I3082" i="1" s="1"/>
  <c r="G3081" i="1"/>
  <c r="F3081" i="1"/>
  <c r="D3081" i="1"/>
  <c r="G3080" i="1"/>
  <c r="F3080" i="1"/>
  <c r="D3080" i="1"/>
  <c r="G3079" i="1"/>
  <c r="F3079" i="1"/>
  <c r="D3079" i="1"/>
  <c r="H3078" i="1"/>
  <c r="H3077" i="1"/>
  <c r="H3076" i="1"/>
  <c r="G3075" i="1"/>
  <c r="F3075" i="1"/>
  <c r="D3075" i="1"/>
  <c r="G3074" i="1"/>
  <c r="F3074" i="1"/>
  <c r="D3074" i="1"/>
  <c r="G3073" i="1"/>
  <c r="F3073" i="1"/>
  <c r="D3073" i="1"/>
  <c r="H3073" i="1" s="1"/>
  <c r="G3072" i="1"/>
  <c r="F3072" i="1"/>
  <c r="D3072" i="1"/>
  <c r="G3071" i="1"/>
  <c r="F3071" i="1"/>
  <c r="D3071" i="1"/>
  <c r="G3070" i="1"/>
  <c r="F3070" i="1"/>
  <c r="D3070" i="1"/>
  <c r="H3070" i="1" s="1"/>
  <c r="G3069" i="1"/>
  <c r="F3069" i="1"/>
  <c r="D3069" i="1"/>
  <c r="H3069" i="1" s="1"/>
  <c r="G3068" i="1"/>
  <c r="F3068" i="1"/>
  <c r="D3068" i="1"/>
  <c r="G3067" i="1"/>
  <c r="F3067" i="1"/>
  <c r="D3067" i="1"/>
  <c r="G3066" i="1"/>
  <c r="F3066" i="1"/>
  <c r="D3066" i="1"/>
  <c r="G3065" i="1"/>
  <c r="F3065" i="1"/>
  <c r="D3065" i="1"/>
  <c r="G3064" i="1"/>
  <c r="F3064" i="1"/>
  <c r="D3064" i="1"/>
  <c r="H3064" i="1" s="1"/>
  <c r="G3063" i="1"/>
  <c r="F3063" i="1"/>
  <c r="D3063" i="1"/>
  <c r="G3062" i="1"/>
  <c r="F3062" i="1"/>
  <c r="D3062" i="1"/>
  <c r="G3061" i="1"/>
  <c r="F3061" i="1"/>
  <c r="D3061" i="1"/>
  <c r="G3060" i="1"/>
  <c r="F3060" i="1"/>
  <c r="D3060" i="1"/>
  <c r="G3059" i="1"/>
  <c r="F3059" i="1"/>
  <c r="D3059" i="1"/>
  <c r="G3058" i="1"/>
  <c r="F3058" i="1"/>
  <c r="D3058" i="1"/>
  <c r="G3057" i="1"/>
  <c r="F3057" i="1"/>
  <c r="D3057" i="1"/>
  <c r="G3056" i="1"/>
  <c r="F3056" i="1"/>
  <c r="D3056" i="1"/>
  <c r="G3055" i="1"/>
  <c r="F3055" i="1"/>
  <c r="D3055" i="1"/>
  <c r="G3054" i="1"/>
  <c r="F3054" i="1"/>
  <c r="D3054" i="1"/>
  <c r="G3053" i="1"/>
  <c r="F3053" i="1"/>
  <c r="D3053" i="1"/>
  <c r="G3052" i="1"/>
  <c r="F3052" i="1"/>
  <c r="D3052" i="1"/>
  <c r="G3051" i="1"/>
  <c r="F3051" i="1"/>
  <c r="D3051" i="1"/>
  <c r="H3050" i="1"/>
  <c r="G3049" i="1"/>
  <c r="F3049" i="1"/>
  <c r="D3049" i="1"/>
  <c r="G3048" i="1"/>
  <c r="F3048" i="1"/>
  <c r="D3048" i="1"/>
  <c r="H3048" i="1" s="1"/>
  <c r="G3047" i="1"/>
  <c r="F3047" i="1"/>
  <c r="D3047" i="1"/>
  <c r="G3046" i="1"/>
  <c r="F3046" i="1"/>
  <c r="D3046" i="1"/>
  <c r="G3045" i="1"/>
  <c r="F3045" i="1"/>
  <c r="D3045" i="1"/>
  <c r="G3044" i="1"/>
  <c r="F3044" i="1"/>
  <c r="D3044" i="1"/>
  <c r="G3043" i="1"/>
  <c r="F3043" i="1"/>
  <c r="D3043" i="1"/>
  <c r="G3042" i="1"/>
  <c r="F3042" i="1"/>
  <c r="D3042" i="1"/>
  <c r="G3041" i="1"/>
  <c r="F3041" i="1"/>
  <c r="D3041" i="1"/>
  <c r="G3040" i="1"/>
  <c r="F3040" i="1"/>
  <c r="D3040" i="1"/>
  <c r="G3039" i="1"/>
  <c r="F3039" i="1"/>
  <c r="D3039" i="1"/>
  <c r="G3038" i="1"/>
  <c r="F3038" i="1"/>
  <c r="D3038" i="1"/>
  <c r="G3037" i="1"/>
  <c r="F3037" i="1"/>
  <c r="D3037" i="1"/>
  <c r="G3036" i="1"/>
  <c r="F3036" i="1"/>
  <c r="D3036" i="1"/>
  <c r="G3035" i="1"/>
  <c r="F3035" i="1"/>
  <c r="D3035" i="1"/>
  <c r="G3034" i="1"/>
  <c r="F3034" i="1"/>
  <c r="D3034" i="1"/>
  <c r="H3033" i="1"/>
  <c r="G3032" i="1"/>
  <c r="F3032" i="1"/>
  <c r="D3032" i="1"/>
  <c r="G3031" i="1"/>
  <c r="F3031" i="1"/>
  <c r="D3031" i="1"/>
  <c r="G3030" i="1"/>
  <c r="F3030" i="1"/>
  <c r="D3030" i="1"/>
  <c r="G3029" i="1"/>
  <c r="F3029" i="1"/>
  <c r="D3029" i="1"/>
  <c r="G3028" i="1"/>
  <c r="F3028" i="1"/>
  <c r="D3028" i="1"/>
  <c r="G3027" i="1"/>
  <c r="F3027" i="1"/>
  <c r="D3027" i="1"/>
  <c r="G3026" i="1"/>
  <c r="F3026" i="1"/>
  <c r="D3026" i="1"/>
  <c r="G3025" i="1"/>
  <c r="F3025" i="1"/>
  <c r="D3025" i="1"/>
  <c r="G3024" i="1"/>
  <c r="F3024" i="1"/>
  <c r="D3024" i="1"/>
  <c r="G3023" i="1"/>
  <c r="F3023" i="1"/>
  <c r="D3023" i="1"/>
  <c r="G3022" i="1"/>
  <c r="F3022" i="1"/>
  <c r="D3022" i="1"/>
  <c r="G3021" i="1"/>
  <c r="F3021" i="1"/>
  <c r="D3021" i="1"/>
  <c r="G3020" i="1"/>
  <c r="F3020" i="1"/>
  <c r="D3020" i="1"/>
  <c r="G3019" i="1"/>
  <c r="F3019" i="1"/>
  <c r="D3019" i="1"/>
  <c r="H3019" i="1" s="1"/>
  <c r="H3018" i="1"/>
  <c r="G3017" i="1"/>
  <c r="F3017" i="1"/>
  <c r="D3017" i="1"/>
  <c r="G3016" i="1"/>
  <c r="F3016" i="1"/>
  <c r="D3016" i="1"/>
  <c r="G3015" i="1"/>
  <c r="F3015" i="1"/>
  <c r="D3015" i="1"/>
  <c r="G3014" i="1"/>
  <c r="F3014" i="1"/>
  <c r="D3014" i="1"/>
  <c r="G3013" i="1"/>
  <c r="F3013" i="1"/>
  <c r="D3013" i="1"/>
  <c r="H3013" i="1" s="1"/>
  <c r="G3012" i="1"/>
  <c r="F3012" i="1"/>
  <c r="D3012" i="1"/>
  <c r="G3011" i="1"/>
  <c r="F3011" i="1"/>
  <c r="D3011" i="1"/>
  <c r="G3010" i="1"/>
  <c r="F3010" i="1"/>
  <c r="D3010" i="1"/>
  <c r="G3009" i="1"/>
  <c r="F3009" i="1"/>
  <c r="D3009" i="1"/>
  <c r="G3008" i="1"/>
  <c r="F3008" i="1"/>
  <c r="D3008" i="1"/>
  <c r="H3007" i="1"/>
  <c r="G3006" i="1"/>
  <c r="F3006" i="1"/>
  <c r="D3006" i="1"/>
  <c r="H3005" i="1"/>
  <c r="G3005" i="1"/>
  <c r="F3005" i="1"/>
  <c r="D3005" i="1"/>
  <c r="G3004" i="1"/>
  <c r="F3004" i="1"/>
  <c r="D3004" i="1"/>
  <c r="G3003" i="1"/>
  <c r="F3003" i="1"/>
  <c r="D3003" i="1"/>
  <c r="G3002" i="1"/>
  <c r="F3002" i="1"/>
  <c r="D3002" i="1"/>
  <c r="H3002" i="1" s="1"/>
  <c r="G3001" i="1"/>
  <c r="F3001" i="1"/>
  <c r="D3001" i="1"/>
  <c r="H3000" i="1"/>
  <c r="H2999" i="1"/>
  <c r="H2998" i="1"/>
  <c r="H2997" i="1"/>
  <c r="G2996" i="1"/>
  <c r="F2996" i="1"/>
  <c r="D2996" i="1"/>
  <c r="G2995" i="1"/>
  <c r="F2995" i="1"/>
  <c r="D2995" i="1"/>
  <c r="G2994" i="1"/>
  <c r="F2994" i="1"/>
  <c r="D2994" i="1"/>
  <c r="H2994" i="1" s="1"/>
  <c r="G2993" i="1"/>
  <c r="F2993" i="1"/>
  <c r="D2993" i="1"/>
  <c r="G2992" i="1"/>
  <c r="F2992" i="1"/>
  <c r="D2992" i="1"/>
  <c r="G2991" i="1"/>
  <c r="F2991" i="1"/>
  <c r="D2991" i="1"/>
  <c r="G2990" i="1"/>
  <c r="F2990" i="1"/>
  <c r="D2990" i="1"/>
  <c r="G2989" i="1"/>
  <c r="F2989" i="1"/>
  <c r="D2989" i="1"/>
  <c r="G2988" i="1"/>
  <c r="F2988" i="1"/>
  <c r="D2988" i="1"/>
  <c r="G2987" i="1"/>
  <c r="F2987" i="1"/>
  <c r="D2987" i="1"/>
  <c r="G2986" i="1"/>
  <c r="F2986" i="1"/>
  <c r="D2986" i="1"/>
  <c r="G2985" i="1"/>
  <c r="F2985" i="1"/>
  <c r="D2985" i="1"/>
  <c r="G2984" i="1"/>
  <c r="F2984" i="1"/>
  <c r="D2984" i="1"/>
  <c r="G2983" i="1"/>
  <c r="F2983" i="1"/>
  <c r="D2983" i="1"/>
  <c r="G2982" i="1"/>
  <c r="F2982" i="1"/>
  <c r="D2982" i="1"/>
  <c r="G2981" i="1"/>
  <c r="F2981" i="1"/>
  <c r="D2981" i="1"/>
  <c r="G2980" i="1"/>
  <c r="F2980" i="1"/>
  <c r="D2980" i="1"/>
  <c r="G2979" i="1"/>
  <c r="F2979" i="1"/>
  <c r="D2979" i="1"/>
  <c r="G2978" i="1"/>
  <c r="F2978" i="1"/>
  <c r="D2978" i="1"/>
  <c r="H2978" i="1" s="1"/>
  <c r="G2977" i="1"/>
  <c r="F2977" i="1"/>
  <c r="D2977" i="1"/>
  <c r="G2976" i="1"/>
  <c r="F2976" i="1"/>
  <c r="D2976" i="1"/>
  <c r="H2975" i="1"/>
  <c r="G2974" i="1"/>
  <c r="F2974" i="1"/>
  <c r="D2974" i="1"/>
  <c r="G2973" i="1"/>
  <c r="F2973" i="1"/>
  <c r="D2973" i="1"/>
  <c r="G2972" i="1"/>
  <c r="F2972" i="1"/>
  <c r="D2972" i="1"/>
  <c r="G2971" i="1"/>
  <c r="F2971" i="1"/>
  <c r="D2971" i="1"/>
  <c r="G2970" i="1"/>
  <c r="F2970" i="1"/>
  <c r="D2970" i="1"/>
  <c r="G2969" i="1"/>
  <c r="F2969" i="1"/>
  <c r="D2969" i="1"/>
  <c r="G2968" i="1"/>
  <c r="F2968" i="1"/>
  <c r="D2968" i="1"/>
  <c r="G2967" i="1"/>
  <c r="F2967" i="1"/>
  <c r="D2967" i="1"/>
  <c r="G2966" i="1"/>
  <c r="F2966" i="1"/>
  <c r="D2966" i="1"/>
  <c r="G2965" i="1"/>
  <c r="F2965" i="1"/>
  <c r="D2965" i="1"/>
  <c r="G2964" i="1"/>
  <c r="F2964" i="1"/>
  <c r="D2964" i="1"/>
  <c r="G2963" i="1"/>
  <c r="F2963" i="1"/>
  <c r="D2963" i="1"/>
  <c r="G2962" i="1"/>
  <c r="F2962" i="1"/>
  <c r="D2962" i="1"/>
  <c r="G2961" i="1"/>
  <c r="F2961" i="1"/>
  <c r="D2961" i="1"/>
  <c r="G2960" i="1"/>
  <c r="F2960" i="1"/>
  <c r="D2960" i="1"/>
  <c r="H2959" i="1"/>
  <c r="G2958" i="1"/>
  <c r="F2958" i="1"/>
  <c r="D2958" i="1"/>
  <c r="H2958" i="1" s="1"/>
  <c r="G2957" i="1"/>
  <c r="F2957" i="1"/>
  <c r="D2957" i="1"/>
  <c r="G2956" i="1"/>
  <c r="F2956" i="1"/>
  <c r="D2956" i="1"/>
  <c r="G2955" i="1"/>
  <c r="F2955" i="1"/>
  <c r="D2955" i="1"/>
  <c r="H2955" i="1" s="1"/>
  <c r="G2954" i="1"/>
  <c r="F2954" i="1"/>
  <c r="D2954" i="1"/>
  <c r="G2953" i="1"/>
  <c r="F2953" i="1"/>
  <c r="D2953" i="1"/>
  <c r="G2952" i="1"/>
  <c r="F2952" i="1"/>
  <c r="D2952" i="1"/>
  <c r="G2951" i="1"/>
  <c r="F2951" i="1"/>
  <c r="D2951" i="1"/>
  <c r="H2950" i="1"/>
  <c r="G2949" i="1"/>
  <c r="F2949" i="1"/>
  <c r="D2949" i="1"/>
  <c r="H2949" i="1" s="1"/>
  <c r="G2948" i="1"/>
  <c r="F2948" i="1"/>
  <c r="D2948" i="1"/>
  <c r="G2947" i="1"/>
  <c r="F2947" i="1"/>
  <c r="D2947" i="1"/>
  <c r="G2946" i="1"/>
  <c r="F2946" i="1"/>
  <c r="D2946" i="1"/>
  <c r="G2945" i="1"/>
  <c r="F2945" i="1"/>
  <c r="D2945" i="1"/>
  <c r="H2945" i="1" s="1"/>
  <c r="G2944" i="1"/>
  <c r="F2944" i="1"/>
  <c r="D2944" i="1"/>
  <c r="G2943" i="1"/>
  <c r="F2943" i="1"/>
  <c r="D2943" i="1"/>
  <c r="G2942" i="1"/>
  <c r="F2942" i="1"/>
  <c r="D2942" i="1"/>
  <c r="G2941" i="1"/>
  <c r="F2941" i="1"/>
  <c r="D2941" i="1"/>
  <c r="G2940" i="1"/>
  <c r="F2940" i="1"/>
  <c r="D2940" i="1"/>
  <c r="G2939" i="1"/>
  <c r="F2939" i="1"/>
  <c r="D2939" i="1"/>
  <c r="G2938" i="1"/>
  <c r="F2938" i="1"/>
  <c r="D2938" i="1"/>
  <c r="G2937" i="1"/>
  <c r="F2937" i="1"/>
  <c r="D2937" i="1"/>
  <c r="G2936" i="1"/>
  <c r="F2936" i="1"/>
  <c r="D2936" i="1"/>
  <c r="G2935" i="1"/>
  <c r="F2935" i="1"/>
  <c r="D2935" i="1"/>
  <c r="G2934" i="1"/>
  <c r="F2934" i="1"/>
  <c r="D2934" i="1"/>
  <c r="H2933" i="1"/>
  <c r="G2932" i="1"/>
  <c r="F2932" i="1"/>
  <c r="D2932" i="1"/>
  <c r="G2931" i="1"/>
  <c r="F2931" i="1"/>
  <c r="D2931" i="1"/>
  <c r="G2930" i="1"/>
  <c r="F2930" i="1"/>
  <c r="D2930" i="1"/>
  <c r="G2929" i="1"/>
  <c r="F2929" i="1"/>
  <c r="D2929" i="1"/>
  <c r="G2928" i="1"/>
  <c r="F2928" i="1"/>
  <c r="D2928" i="1"/>
  <c r="G2927" i="1"/>
  <c r="F2927" i="1"/>
  <c r="D2927" i="1"/>
  <c r="G2926" i="1"/>
  <c r="F2926" i="1"/>
  <c r="D2926" i="1"/>
  <c r="G2925" i="1"/>
  <c r="F2925" i="1"/>
  <c r="D2925" i="1"/>
  <c r="G2924" i="1"/>
  <c r="F2924" i="1"/>
  <c r="D2924" i="1"/>
  <c r="G2923" i="1"/>
  <c r="F2923" i="1"/>
  <c r="D2923" i="1"/>
  <c r="G2922" i="1"/>
  <c r="F2922" i="1"/>
  <c r="D2922" i="1"/>
  <c r="G2921" i="1"/>
  <c r="F2921" i="1"/>
  <c r="D2921" i="1"/>
  <c r="G2920" i="1"/>
  <c r="F2920" i="1"/>
  <c r="D2920" i="1"/>
  <c r="G2919" i="1"/>
  <c r="F2919" i="1"/>
  <c r="D2919" i="1"/>
  <c r="G2918" i="1"/>
  <c r="F2918" i="1"/>
  <c r="D2918" i="1"/>
  <c r="H2917" i="1"/>
  <c r="G2916" i="1"/>
  <c r="F2916" i="1"/>
  <c r="D2916" i="1"/>
  <c r="G2915" i="1"/>
  <c r="F2915" i="1"/>
  <c r="D2915" i="1"/>
  <c r="G2914" i="1"/>
  <c r="F2914" i="1"/>
  <c r="D2914" i="1"/>
  <c r="G2913" i="1"/>
  <c r="F2913" i="1"/>
  <c r="D2913" i="1"/>
  <c r="G2912" i="1"/>
  <c r="F2912" i="1"/>
  <c r="D2912" i="1"/>
  <c r="G2911" i="1"/>
  <c r="F2911" i="1"/>
  <c r="D2911" i="1"/>
  <c r="G2910" i="1"/>
  <c r="F2910" i="1"/>
  <c r="D2910" i="1"/>
  <c r="G2909" i="1"/>
  <c r="F2909" i="1"/>
  <c r="D2909" i="1"/>
  <c r="G2908" i="1"/>
  <c r="F2908" i="1"/>
  <c r="D2908" i="1"/>
  <c r="G2907" i="1"/>
  <c r="F2907" i="1"/>
  <c r="D2907" i="1"/>
  <c r="G2906" i="1"/>
  <c r="F2906" i="1"/>
  <c r="D2906" i="1"/>
  <c r="G2905" i="1"/>
  <c r="F2905" i="1"/>
  <c r="D2905" i="1"/>
  <c r="G2904" i="1"/>
  <c r="F2904" i="1"/>
  <c r="D2904" i="1"/>
  <c r="G2903" i="1"/>
  <c r="F2903" i="1"/>
  <c r="D2903" i="1"/>
  <c r="G2902" i="1"/>
  <c r="F2902" i="1"/>
  <c r="D2902" i="1"/>
  <c r="G2901" i="1"/>
  <c r="F2901" i="1"/>
  <c r="D2901" i="1"/>
  <c r="H2900" i="1"/>
  <c r="G2899" i="1"/>
  <c r="F2899" i="1"/>
  <c r="D2899" i="1"/>
  <c r="G2898" i="1"/>
  <c r="F2898" i="1"/>
  <c r="D2898" i="1"/>
  <c r="G2897" i="1"/>
  <c r="F2897" i="1"/>
  <c r="D2897" i="1"/>
  <c r="G2896" i="1"/>
  <c r="F2896" i="1"/>
  <c r="D2896" i="1"/>
  <c r="G2895" i="1"/>
  <c r="F2895" i="1"/>
  <c r="D2895" i="1"/>
  <c r="G2894" i="1"/>
  <c r="F2894" i="1"/>
  <c r="D2894" i="1"/>
  <c r="G2893" i="1"/>
  <c r="F2893" i="1"/>
  <c r="D2893" i="1"/>
  <c r="G2892" i="1"/>
  <c r="H2892" i="1" s="1"/>
  <c r="F2892" i="1"/>
  <c r="D2892" i="1"/>
  <c r="G2891" i="1"/>
  <c r="F2891" i="1"/>
  <c r="D2891" i="1"/>
  <c r="G2890" i="1"/>
  <c r="F2890" i="1"/>
  <c r="D2890" i="1"/>
  <c r="G2889" i="1"/>
  <c r="H2889" i="1" s="1"/>
  <c r="F2889" i="1"/>
  <c r="D2889" i="1"/>
  <c r="G2888" i="1"/>
  <c r="F2888" i="1"/>
  <c r="H2888" i="1" s="1"/>
  <c r="D2888" i="1"/>
  <c r="G2887" i="1"/>
  <c r="F2887" i="1"/>
  <c r="D2887" i="1"/>
  <c r="G2886" i="1"/>
  <c r="F2886" i="1"/>
  <c r="D2886" i="1"/>
  <c r="H2886" i="1" s="1"/>
  <c r="G2885" i="1"/>
  <c r="F2885" i="1"/>
  <c r="D2885" i="1"/>
  <c r="G2884" i="1"/>
  <c r="F2884" i="1"/>
  <c r="D2884" i="1"/>
  <c r="H2883" i="1"/>
  <c r="G2882" i="1"/>
  <c r="F2882" i="1"/>
  <c r="D2882" i="1"/>
  <c r="G2881" i="1"/>
  <c r="F2881" i="1"/>
  <c r="D2881" i="1"/>
  <c r="G2880" i="1"/>
  <c r="F2880" i="1"/>
  <c r="D2880" i="1"/>
  <c r="G2879" i="1"/>
  <c r="F2879" i="1"/>
  <c r="D2879" i="1"/>
  <c r="G2878" i="1"/>
  <c r="F2878" i="1"/>
  <c r="D2878" i="1"/>
  <c r="G2877" i="1"/>
  <c r="F2877" i="1"/>
  <c r="D2877" i="1"/>
  <c r="G2876" i="1"/>
  <c r="F2876" i="1"/>
  <c r="D2876" i="1"/>
  <c r="G2875" i="1"/>
  <c r="F2875" i="1"/>
  <c r="D2875" i="1"/>
  <c r="G2874" i="1"/>
  <c r="F2874" i="1"/>
  <c r="D2874" i="1"/>
  <c r="G2873" i="1"/>
  <c r="F2873" i="1"/>
  <c r="D2873" i="1"/>
  <c r="G2872" i="1"/>
  <c r="F2872" i="1"/>
  <c r="D2872" i="1"/>
  <c r="G2871" i="1"/>
  <c r="F2871" i="1"/>
  <c r="D2871" i="1"/>
  <c r="G2870" i="1"/>
  <c r="F2870" i="1"/>
  <c r="D2870" i="1"/>
  <c r="G2869" i="1"/>
  <c r="F2869" i="1"/>
  <c r="D2869" i="1"/>
  <c r="G2868" i="1"/>
  <c r="F2868" i="1"/>
  <c r="D2868" i="1"/>
  <c r="G2867" i="1"/>
  <c r="F2867" i="1"/>
  <c r="D2867" i="1"/>
  <c r="H2866" i="1"/>
  <c r="G2865" i="1"/>
  <c r="F2865" i="1"/>
  <c r="D2865" i="1"/>
  <c r="G2864" i="1"/>
  <c r="F2864" i="1"/>
  <c r="D2864" i="1"/>
  <c r="G2863" i="1"/>
  <c r="F2863" i="1"/>
  <c r="D2863" i="1"/>
  <c r="G2862" i="1"/>
  <c r="F2862" i="1"/>
  <c r="D2862" i="1"/>
  <c r="G2861" i="1"/>
  <c r="H2861" i="1" s="1"/>
  <c r="F2861" i="1"/>
  <c r="D2861" i="1"/>
  <c r="G2860" i="1"/>
  <c r="F2860" i="1"/>
  <c r="D2860" i="1"/>
  <c r="G2859" i="1"/>
  <c r="F2859" i="1"/>
  <c r="D2859" i="1"/>
  <c r="G2858" i="1"/>
  <c r="F2858" i="1"/>
  <c r="D2858" i="1"/>
  <c r="G2857" i="1"/>
  <c r="F2857" i="1"/>
  <c r="D2857" i="1"/>
  <c r="G2856" i="1"/>
  <c r="F2856" i="1"/>
  <c r="D2856" i="1"/>
  <c r="H2856" i="1" s="1"/>
  <c r="H2855" i="1"/>
  <c r="G2854" i="1"/>
  <c r="F2854" i="1"/>
  <c r="D2854" i="1"/>
  <c r="G2853" i="1"/>
  <c r="F2853" i="1"/>
  <c r="D2853" i="1"/>
  <c r="G2852" i="1"/>
  <c r="F2852" i="1"/>
  <c r="D2852" i="1"/>
  <c r="G2851" i="1"/>
  <c r="F2851" i="1"/>
  <c r="D2851" i="1"/>
  <c r="G2850" i="1"/>
  <c r="F2850" i="1"/>
  <c r="D2850" i="1"/>
  <c r="G2849" i="1"/>
  <c r="F2849" i="1"/>
  <c r="D2849" i="1"/>
  <c r="G2848" i="1"/>
  <c r="F2848" i="1"/>
  <c r="D2848" i="1"/>
  <c r="G2847" i="1"/>
  <c r="F2847" i="1"/>
  <c r="D2847" i="1"/>
  <c r="G2846" i="1"/>
  <c r="F2846" i="1"/>
  <c r="D2846" i="1"/>
  <c r="G2845" i="1"/>
  <c r="F2845" i="1"/>
  <c r="D2845" i="1"/>
  <c r="H2844" i="1"/>
  <c r="G2843" i="1"/>
  <c r="F2843" i="1"/>
  <c r="D2843" i="1"/>
  <c r="G2842" i="1"/>
  <c r="F2842" i="1"/>
  <c r="D2842" i="1"/>
  <c r="G2841" i="1"/>
  <c r="F2841" i="1"/>
  <c r="D2841" i="1"/>
  <c r="G2840" i="1"/>
  <c r="F2840" i="1"/>
  <c r="D2840" i="1"/>
  <c r="G2839" i="1"/>
  <c r="F2839" i="1"/>
  <c r="D2839" i="1"/>
  <c r="G2838" i="1"/>
  <c r="F2838" i="1"/>
  <c r="D2838" i="1"/>
  <c r="G2837" i="1"/>
  <c r="F2837" i="1"/>
  <c r="D2837" i="1"/>
  <c r="G2836" i="1"/>
  <c r="F2836" i="1"/>
  <c r="D2836" i="1"/>
  <c r="G2835" i="1"/>
  <c r="F2835" i="1"/>
  <c r="D2835" i="1"/>
  <c r="G2834" i="1"/>
  <c r="F2834" i="1"/>
  <c r="D2834" i="1"/>
  <c r="G2833" i="1"/>
  <c r="F2833" i="1"/>
  <c r="D2833" i="1"/>
  <c r="H2833" i="1" s="1"/>
  <c r="G2832" i="1"/>
  <c r="F2832" i="1"/>
  <c r="D2832" i="1"/>
  <c r="G2831" i="1"/>
  <c r="F2831" i="1"/>
  <c r="D2831" i="1"/>
  <c r="G2830" i="1"/>
  <c r="F2830" i="1"/>
  <c r="D2830" i="1"/>
  <c r="G2829" i="1"/>
  <c r="F2829" i="1"/>
  <c r="D2829" i="1"/>
  <c r="H2828" i="1"/>
  <c r="H2827" i="1"/>
  <c r="G2826" i="1"/>
  <c r="F2826" i="1"/>
  <c r="D2826" i="1"/>
  <c r="G2825" i="1"/>
  <c r="F2825" i="1"/>
  <c r="D2825" i="1"/>
  <c r="G2824" i="1"/>
  <c r="F2824" i="1"/>
  <c r="D2824" i="1"/>
  <c r="G2823" i="1"/>
  <c r="F2823" i="1"/>
  <c r="D2823" i="1"/>
  <c r="G2822" i="1"/>
  <c r="F2822" i="1"/>
  <c r="D2822" i="1"/>
  <c r="G2821" i="1"/>
  <c r="F2821" i="1"/>
  <c r="D2821" i="1"/>
  <c r="G2820" i="1"/>
  <c r="F2820" i="1"/>
  <c r="D2820" i="1"/>
  <c r="G2819" i="1"/>
  <c r="F2819" i="1"/>
  <c r="D2819" i="1"/>
  <c r="G2818" i="1"/>
  <c r="F2818" i="1"/>
  <c r="D2818" i="1"/>
  <c r="G2817" i="1"/>
  <c r="F2817" i="1"/>
  <c r="D2817" i="1"/>
  <c r="H2816" i="1"/>
  <c r="G2815" i="1"/>
  <c r="F2815" i="1"/>
  <c r="D2815" i="1"/>
  <c r="G2814" i="1"/>
  <c r="F2814" i="1"/>
  <c r="D2814" i="1"/>
  <c r="G2813" i="1"/>
  <c r="F2813" i="1"/>
  <c r="D2813" i="1"/>
  <c r="G2812" i="1"/>
  <c r="F2812" i="1"/>
  <c r="D2812" i="1"/>
  <c r="G2811" i="1"/>
  <c r="F2811" i="1"/>
  <c r="D2811" i="1"/>
  <c r="G2810" i="1"/>
  <c r="F2810" i="1"/>
  <c r="D2810" i="1"/>
  <c r="G2809" i="1"/>
  <c r="F2809" i="1"/>
  <c r="D2809" i="1"/>
  <c r="G2808" i="1"/>
  <c r="F2808" i="1"/>
  <c r="D2808" i="1"/>
  <c r="G2807" i="1"/>
  <c r="F2807" i="1"/>
  <c r="D2807" i="1"/>
  <c r="G2806" i="1"/>
  <c r="F2806" i="1"/>
  <c r="D2806" i="1"/>
  <c r="G2805" i="1"/>
  <c r="F2805" i="1"/>
  <c r="D2805" i="1"/>
  <c r="G2804" i="1"/>
  <c r="F2804" i="1"/>
  <c r="D2804" i="1"/>
  <c r="G2803" i="1"/>
  <c r="F2803" i="1"/>
  <c r="D2803" i="1"/>
  <c r="G2802" i="1"/>
  <c r="F2802" i="1"/>
  <c r="D2802" i="1"/>
  <c r="G2801" i="1"/>
  <c r="F2801" i="1"/>
  <c r="D2801" i="1"/>
  <c r="H2800" i="1"/>
  <c r="G2799" i="1"/>
  <c r="F2799" i="1"/>
  <c r="D2799" i="1"/>
  <c r="G2798" i="1"/>
  <c r="F2798" i="1"/>
  <c r="D2798" i="1"/>
  <c r="G2797" i="1"/>
  <c r="F2797" i="1"/>
  <c r="D2797" i="1"/>
  <c r="G2796" i="1"/>
  <c r="F2796" i="1"/>
  <c r="D2796" i="1"/>
  <c r="G2795" i="1"/>
  <c r="F2795" i="1"/>
  <c r="D2795" i="1"/>
  <c r="G2794" i="1"/>
  <c r="F2794" i="1"/>
  <c r="D2794" i="1"/>
  <c r="G2793" i="1"/>
  <c r="F2793" i="1"/>
  <c r="D2793" i="1"/>
  <c r="G2792" i="1"/>
  <c r="F2792" i="1"/>
  <c r="D2792" i="1"/>
  <c r="G2791" i="1"/>
  <c r="F2791" i="1"/>
  <c r="D2791" i="1"/>
  <c r="G2790" i="1"/>
  <c r="F2790" i="1"/>
  <c r="D2790" i="1"/>
  <c r="G2789" i="1"/>
  <c r="F2789" i="1"/>
  <c r="D2789" i="1"/>
  <c r="G2788" i="1"/>
  <c r="F2788" i="1"/>
  <c r="D2788" i="1"/>
  <c r="G2787" i="1"/>
  <c r="F2787" i="1"/>
  <c r="D2787" i="1"/>
  <c r="G2786" i="1"/>
  <c r="F2786" i="1"/>
  <c r="D2786" i="1"/>
  <c r="G2785" i="1"/>
  <c r="F2785" i="1"/>
  <c r="D2785" i="1"/>
  <c r="H2784" i="1"/>
  <c r="G2783" i="1"/>
  <c r="F2783" i="1"/>
  <c r="D2783" i="1"/>
  <c r="G2782" i="1"/>
  <c r="F2782" i="1"/>
  <c r="D2782" i="1"/>
  <c r="G2781" i="1"/>
  <c r="F2781" i="1"/>
  <c r="D2781" i="1"/>
  <c r="G2780" i="1"/>
  <c r="F2780" i="1"/>
  <c r="D2780" i="1"/>
  <c r="G2779" i="1"/>
  <c r="F2779" i="1"/>
  <c r="D2779" i="1"/>
  <c r="G2778" i="1"/>
  <c r="F2778" i="1"/>
  <c r="D2778" i="1"/>
  <c r="G2777" i="1"/>
  <c r="F2777" i="1"/>
  <c r="D2777" i="1"/>
  <c r="G2776" i="1"/>
  <c r="F2776" i="1"/>
  <c r="D2776" i="1"/>
  <c r="G2775" i="1"/>
  <c r="F2775" i="1"/>
  <c r="D2775" i="1"/>
  <c r="G2774" i="1"/>
  <c r="F2774" i="1"/>
  <c r="D2774" i="1"/>
  <c r="G2773" i="1"/>
  <c r="F2773" i="1"/>
  <c r="D2773" i="1"/>
  <c r="G2772" i="1"/>
  <c r="F2772" i="1"/>
  <c r="D2772" i="1"/>
  <c r="G2771" i="1"/>
  <c r="F2771" i="1"/>
  <c r="D2771" i="1"/>
  <c r="G2770" i="1"/>
  <c r="F2770" i="1"/>
  <c r="D2770" i="1"/>
  <c r="G2769" i="1"/>
  <c r="F2769" i="1"/>
  <c r="D2769" i="1"/>
  <c r="G2768" i="1"/>
  <c r="F2768" i="1"/>
  <c r="D2768" i="1"/>
  <c r="H2767" i="1"/>
  <c r="G2766" i="1"/>
  <c r="F2766" i="1"/>
  <c r="D2766" i="1"/>
  <c r="G2765" i="1"/>
  <c r="F2765" i="1"/>
  <c r="D2765" i="1"/>
  <c r="G2764" i="1"/>
  <c r="F2764" i="1"/>
  <c r="D2764" i="1"/>
  <c r="G2763" i="1"/>
  <c r="F2763" i="1"/>
  <c r="D2763" i="1"/>
  <c r="G2762" i="1"/>
  <c r="F2762" i="1"/>
  <c r="D2762" i="1"/>
  <c r="G2761" i="1"/>
  <c r="F2761" i="1"/>
  <c r="D2761" i="1"/>
  <c r="G2760" i="1"/>
  <c r="F2760" i="1"/>
  <c r="D2760" i="1"/>
  <c r="G2759" i="1"/>
  <c r="F2759" i="1"/>
  <c r="D2759" i="1"/>
  <c r="G2758" i="1"/>
  <c r="F2758" i="1"/>
  <c r="D2758" i="1"/>
  <c r="G2757" i="1"/>
  <c r="F2757" i="1"/>
  <c r="D2757" i="1"/>
  <c r="G2756" i="1"/>
  <c r="F2756" i="1"/>
  <c r="D2756" i="1"/>
  <c r="G2755" i="1"/>
  <c r="F2755" i="1"/>
  <c r="D2755" i="1"/>
  <c r="G2754" i="1"/>
  <c r="F2754" i="1"/>
  <c r="D2754" i="1"/>
  <c r="G2753" i="1"/>
  <c r="F2753" i="1"/>
  <c r="D2753" i="1"/>
  <c r="G2752" i="1"/>
  <c r="F2752" i="1"/>
  <c r="D2752" i="1"/>
  <c r="H2752" i="1" s="1"/>
  <c r="H2751" i="1"/>
  <c r="G2750" i="1"/>
  <c r="F2750" i="1"/>
  <c r="D2750" i="1"/>
  <c r="G2749" i="1"/>
  <c r="F2749" i="1"/>
  <c r="D2749" i="1"/>
  <c r="G2748" i="1"/>
  <c r="F2748" i="1"/>
  <c r="D2748" i="1"/>
  <c r="G2747" i="1"/>
  <c r="F2747" i="1"/>
  <c r="D2747" i="1"/>
  <c r="G2746" i="1"/>
  <c r="F2746" i="1"/>
  <c r="D2746" i="1"/>
  <c r="H2746" i="1" s="1"/>
  <c r="G2745" i="1"/>
  <c r="F2745" i="1"/>
  <c r="D2745" i="1"/>
  <c r="G2744" i="1"/>
  <c r="F2744" i="1"/>
  <c r="D2744" i="1"/>
  <c r="G2743" i="1"/>
  <c r="F2743" i="1"/>
  <c r="D2743" i="1"/>
  <c r="G2742" i="1"/>
  <c r="F2742" i="1"/>
  <c r="D2742" i="1"/>
  <c r="G2741" i="1"/>
  <c r="F2741" i="1"/>
  <c r="D2741" i="1"/>
  <c r="G2740" i="1"/>
  <c r="F2740" i="1"/>
  <c r="D2740" i="1"/>
  <c r="G2739" i="1"/>
  <c r="F2739" i="1"/>
  <c r="D2739" i="1"/>
  <c r="G2738" i="1"/>
  <c r="F2738" i="1"/>
  <c r="D2738" i="1"/>
  <c r="G2737" i="1"/>
  <c r="F2737" i="1"/>
  <c r="D2737" i="1"/>
  <c r="G2736" i="1"/>
  <c r="F2736" i="1"/>
  <c r="D2736" i="1"/>
  <c r="G2735" i="1"/>
  <c r="F2735" i="1"/>
  <c r="D2735" i="1"/>
  <c r="H2734" i="1"/>
  <c r="G2733" i="1"/>
  <c r="F2733" i="1"/>
  <c r="D2733" i="1"/>
  <c r="G2732" i="1"/>
  <c r="F2732" i="1"/>
  <c r="D2732" i="1"/>
  <c r="G2731" i="1"/>
  <c r="H2731" i="1" s="1"/>
  <c r="F2731" i="1"/>
  <c r="D2731" i="1"/>
  <c r="G2730" i="1"/>
  <c r="F2730" i="1"/>
  <c r="D2730" i="1"/>
  <c r="G2729" i="1"/>
  <c r="F2729" i="1"/>
  <c r="D2729" i="1"/>
  <c r="G2728" i="1"/>
  <c r="F2728" i="1"/>
  <c r="D2728" i="1"/>
  <c r="G2727" i="1"/>
  <c r="F2727" i="1"/>
  <c r="D2727" i="1"/>
  <c r="G2726" i="1"/>
  <c r="F2726" i="1"/>
  <c r="D2726" i="1"/>
  <c r="G2725" i="1"/>
  <c r="F2725" i="1"/>
  <c r="D2725" i="1"/>
  <c r="G2724" i="1"/>
  <c r="F2724" i="1"/>
  <c r="D2724" i="1"/>
  <c r="H2724" i="1" s="1"/>
  <c r="H2723" i="1"/>
  <c r="G2722" i="1"/>
  <c r="F2722" i="1"/>
  <c r="D2722" i="1"/>
  <c r="G2721" i="1"/>
  <c r="F2721" i="1"/>
  <c r="D2721" i="1"/>
  <c r="G2720" i="1"/>
  <c r="F2720" i="1"/>
  <c r="D2720" i="1"/>
  <c r="G2719" i="1"/>
  <c r="F2719" i="1"/>
  <c r="D2719" i="1"/>
  <c r="G2718" i="1"/>
  <c r="F2718" i="1"/>
  <c r="D2718" i="1"/>
  <c r="H2718" i="1" s="1"/>
  <c r="G2717" i="1"/>
  <c r="F2717" i="1"/>
  <c r="D2717" i="1"/>
  <c r="G2716" i="1"/>
  <c r="F2716" i="1"/>
  <c r="D2716" i="1"/>
  <c r="G2715" i="1"/>
  <c r="F2715" i="1"/>
  <c r="D2715" i="1"/>
  <c r="H2714" i="1"/>
  <c r="G2713" i="1"/>
  <c r="F2713" i="1"/>
  <c r="D2713" i="1"/>
  <c r="G2712" i="1"/>
  <c r="F2712" i="1"/>
  <c r="D2712" i="1"/>
  <c r="H2712" i="1" s="1"/>
  <c r="G2711" i="1"/>
  <c r="F2711" i="1"/>
  <c r="D2711" i="1"/>
  <c r="G2710" i="1"/>
  <c r="F2710" i="1"/>
  <c r="D2710" i="1"/>
  <c r="G2709" i="1"/>
  <c r="F2709" i="1"/>
  <c r="D2709" i="1"/>
  <c r="G2708" i="1"/>
  <c r="F2708" i="1"/>
  <c r="D2708" i="1"/>
  <c r="H2707" i="1"/>
  <c r="G2706" i="1"/>
  <c r="F2706" i="1"/>
  <c r="D2706" i="1"/>
  <c r="H2706" i="1" s="1"/>
  <c r="G2705" i="1"/>
  <c r="F2705" i="1"/>
  <c r="D2705" i="1"/>
  <c r="G2704" i="1"/>
  <c r="F2704" i="1"/>
  <c r="D2704" i="1"/>
  <c r="G2703" i="1"/>
  <c r="F2703" i="1"/>
  <c r="D2703" i="1"/>
  <c r="G2702" i="1"/>
  <c r="F2702" i="1"/>
  <c r="D2702" i="1"/>
  <c r="G2701" i="1"/>
  <c r="F2701" i="1"/>
  <c r="D2701" i="1"/>
  <c r="G2700" i="1"/>
  <c r="F2700" i="1"/>
  <c r="D2700" i="1"/>
  <c r="G2699" i="1"/>
  <c r="F2699" i="1"/>
  <c r="D2699" i="1"/>
  <c r="G2698" i="1"/>
  <c r="F2698" i="1"/>
  <c r="D2698" i="1"/>
  <c r="G2697" i="1"/>
  <c r="F2697" i="1"/>
  <c r="D2697" i="1"/>
  <c r="G2696" i="1"/>
  <c r="F2696" i="1"/>
  <c r="D2696" i="1"/>
  <c r="G2695" i="1"/>
  <c r="F2695" i="1"/>
  <c r="D2695" i="1"/>
  <c r="G2694" i="1"/>
  <c r="F2694" i="1"/>
  <c r="D2694" i="1"/>
  <c r="G2693" i="1"/>
  <c r="F2693" i="1"/>
  <c r="D2693" i="1"/>
  <c r="G2692" i="1"/>
  <c r="F2692" i="1"/>
  <c r="D2692" i="1"/>
  <c r="H2691" i="1"/>
  <c r="G2690" i="1"/>
  <c r="F2690" i="1"/>
  <c r="D2690" i="1"/>
  <c r="G2689" i="1"/>
  <c r="F2689" i="1"/>
  <c r="H2689" i="1" s="1"/>
  <c r="D2689" i="1"/>
  <c r="G2688" i="1"/>
  <c r="F2688" i="1"/>
  <c r="D2688" i="1"/>
  <c r="G2687" i="1"/>
  <c r="F2687" i="1"/>
  <c r="D2687" i="1"/>
  <c r="G2686" i="1"/>
  <c r="F2686" i="1"/>
  <c r="D2686" i="1"/>
  <c r="G2685" i="1"/>
  <c r="F2685" i="1"/>
  <c r="D2685" i="1"/>
  <c r="G2684" i="1"/>
  <c r="F2684" i="1"/>
  <c r="D2684" i="1"/>
  <c r="H2684" i="1" s="1"/>
  <c r="G2683" i="1"/>
  <c r="F2683" i="1"/>
  <c r="D2683" i="1"/>
  <c r="G2682" i="1"/>
  <c r="F2682" i="1"/>
  <c r="D2682" i="1"/>
  <c r="G2681" i="1"/>
  <c r="F2681" i="1"/>
  <c r="D2681" i="1"/>
  <c r="G2680" i="1"/>
  <c r="F2680" i="1"/>
  <c r="D2680" i="1"/>
  <c r="G2679" i="1"/>
  <c r="F2679" i="1"/>
  <c r="D2679" i="1"/>
  <c r="G2678" i="1"/>
  <c r="F2678" i="1"/>
  <c r="D2678" i="1"/>
  <c r="G2677" i="1"/>
  <c r="F2677" i="1"/>
  <c r="D2677" i="1"/>
  <c r="G2676" i="1"/>
  <c r="F2676" i="1"/>
  <c r="D2676" i="1"/>
  <c r="H2675" i="1"/>
  <c r="G2674" i="1"/>
  <c r="F2674" i="1"/>
  <c r="D2674" i="1"/>
  <c r="G2673" i="1"/>
  <c r="F2673" i="1"/>
  <c r="D2673" i="1"/>
  <c r="G2672" i="1"/>
  <c r="F2672" i="1"/>
  <c r="D2672" i="1"/>
  <c r="G2671" i="1"/>
  <c r="F2671" i="1"/>
  <c r="D2671" i="1"/>
  <c r="G2670" i="1"/>
  <c r="F2670" i="1"/>
  <c r="D2670" i="1"/>
  <c r="G2669" i="1"/>
  <c r="F2669" i="1"/>
  <c r="D2669" i="1"/>
  <c r="G2668" i="1"/>
  <c r="F2668" i="1"/>
  <c r="D2668" i="1"/>
  <c r="G2667" i="1"/>
  <c r="F2667" i="1"/>
  <c r="D2667" i="1"/>
  <c r="G2666" i="1"/>
  <c r="F2666" i="1"/>
  <c r="D2666" i="1"/>
  <c r="G2665" i="1"/>
  <c r="F2665" i="1"/>
  <c r="D2665" i="1"/>
  <c r="G2664" i="1"/>
  <c r="F2664" i="1"/>
  <c r="D2664" i="1"/>
  <c r="G2663" i="1"/>
  <c r="F2663" i="1"/>
  <c r="D2663" i="1"/>
  <c r="G2662" i="1"/>
  <c r="F2662" i="1"/>
  <c r="D2662" i="1"/>
  <c r="G2661" i="1"/>
  <c r="F2661" i="1"/>
  <c r="D2661" i="1"/>
  <c r="H2660" i="1"/>
  <c r="G2659" i="1"/>
  <c r="F2659" i="1"/>
  <c r="D2659" i="1"/>
  <c r="H2659" i="1" s="1"/>
  <c r="G2658" i="1"/>
  <c r="F2658" i="1"/>
  <c r="D2658" i="1"/>
  <c r="G2657" i="1"/>
  <c r="F2657" i="1"/>
  <c r="D2657" i="1"/>
  <c r="G2656" i="1"/>
  <c r="F2656" i="1"/>
  <c r="D2656" i="1"/>
  <c r="H2656" i="1" s="1"/>
  <c r="G2655" i="1"/>
  <c r="F2655" i="1"/>
  <c r="D2655" i="1"/>
  <c r="G2654" i="1"/>
  <c r="F2654" i="1"/>
  <c r="D2654" i="1"/>
  <c r="G2653" i="1"/>
  <c r="F2653" i="1"/>
  <c r="D2653" i="1"/>
  <c r="H2653" i="1" s="1"/>
  <c r="G2652" i="1"/>
  <c r="F2652" i="1"/>
  <c r="D2652" i="1"/>
  <c r="H2651" i="1"/>
  <c r="G2650" i="1"/>
  <c r="F2650" i="1"/>
  <c r="D2650" i="1"/>
  <c r="G2649" i="1"/>
  <c r="F2649" i="1"/>
  <c r="D2649" i="1"/>
  <c r="G2648" i="1"/>
  <c r="F2648" i="1"/>
  <c r="D2648" i="1"/>
  <c r="G2647" i="1"/>
  <c r="F2647" i="1"/>
  <c r="D2647" i="1"/>
  <c r="G2646" i="1"/>
  <c r="F2646" i="1"/>
  <c r="D2646" i="1"/>
  <c r="G2645" i="1"/>
  <c r="F2645" i="1"/>
  <c r="D2645" i="1"/>
  <c r="H2645" i="1" s="1"/>
  <c r="G2644" i="1"/>
  <c r="F2644" i="1"/>
  <c r="D2644" i="1"/>
  <c r="G2643" i="1"/>
  <c r="F2643" i="1"/>
  <c r="D2643" i="1"/>
  <c r="G2642" i="1"/>
  <c r="F2642" i="1"/>
  <c r="D2642" i="1"/>
  <c r="G2641" i="1"/>
  <c r="F2641" i="1"/>
  <c r="D2641" i="1"/>
  <c r="G2640" i="1"/>
  <c r="F2640" i="1"/>
  <c r="D2640" i="1"/>
  <c r="G2639" i="1"/>
  <c r="F2639" i="1"/>
  <c r="D2639" i="1"/>
  <c r="G2638" i="1"/>
  <c r="F2638" i="1"/>
  <c r="D2638" i="1"/>
  <c r="G2637" i="1"/>
  <c r="F2637" i="1"/>
  <c r="D2637" i="1"/>
  <c r="G2636" i="1"/>
  <c r="F2636" i="1"/>
  <c r="D2636" i="1"/>
  <c r="G2635" i="1"/>
  <c r="F2635" i="1"/>
  <c r="D2635" i="1"/>
  <c r="H2634" i="1"/>
  <c r="G2633" i="1"/>
  <c r="F2633" i="1"/>
  <c r="D2633" i="1"/>
  <c r="G2632" i="1"/>
  <c r="F2632" i="1"/>
  <c r="D2632" i="1"/>
  <c r="G2631" i="1"/>
  <c r="F2631" i="1"/>
  <c r="D2631" i="1"/>
  <c r="G2630" i="1"/>
  <c r="F2630" i="1"/>
  <c r="D2630" i="1"/>
  <c r="G2629" i="1"/>
  <c r="F2629" i="1"/>
  <c r="D2629" i="1"/>
  <c r="G2628" i="1"/>
  <c r="F2628" i="1"/>
  <c r="D2628" i="1"/>
  <c r="G2627" i="1"/>
  <c r="F2627" i="1"/>
  <c r="D2627" i="1"/>
  <c r="G2626" i="1"/>
  <c r="F2626" i="1"/>
  <c r="D2626" i="1"/>
  <c r="G2625" i="1"/>
  <c r="F2625" i="1"/>
  <c r="D2625" i="1"/>
  <c r="G2624" i="1"/>
  <c r="F2624" i="1"/>
  <c r="D2624" i="1"/>
  <c r="G2623" i="1"/>
  <c r="F2623" i="1"/>
  <c r="D2623" i="1"/>
  <c r="G2622" i="1"/>
  <c r="F2622" i="1"/>
  <c r="D2622" i="1"/>
  <c r="G2621" i="1"/>
  <c r="F2621" i="1"/>
  <c r="D2621" i="1"/>
  <c r="G2620" i="1"/>
  <c r="F2620" i="1"/>
  <c r="D2620" i="1"/>
  <c r="G2619" i="1"/>
  <c r="F2619" i="1"/>
  <c r="D2619" i="1"/>
  <c r="H2618" i="1"/>
  <c r="G2617" i="1"/>
  <c r="F2617" i="1"/>
  <c r="D2617" i="1"/>
  <c r="H2617" i="1" s="1"/>
  <c r="G2616" i="1"/>
  <c r="F2616" i="1"/>
  <c r="D2616" i="1"/>
  <c r="G2615" i="1"/>
  <c r="F2615" i="1"/>
  <c r="D2615" i="1"/>
  <c r="G2614" i="1"/>
  <c r="F2614" i="1"/>
  <c r="D2614" i="1"/>
  <c r="G2613" i="1"/>
  <c r="F2613" i="1"/>
  <c r="D2613" i="1"/>
  <c r="G2612" i="1"/>
  <c r="F2612" i="1"/>
  <c r="D2612" i="1"/>
  <c r="G2611" i="1"/>
  <c r="F2611" i="1"/>
  <c r="D2611" i="1"/>
  <c r="G2610" i="1"/>
  <c r="F2610" i="1"/>
  <c r="D2610" i="1"/>
  <c r="G2609" i="1"/>
  <c r="F2609" i="1"/>
  <c r="D2609" i="1"/>
  <c r="G2608" i="1"/>
  <c r="F2608" i="1"/>
  <c r="D2608" i="1"/>
  <c r="G2607" i="1"/>
  <c r="F2607" i="1"/>
  <c r="D2607" i="1"/>
  <c r="G2606" i="1"/>
  <c r="F2606" i="1"/>
  <c r="D2606" i="1"/>
  <c r="G2605" i="1"/>
  <c r="F2605" i="1"/>
  <c r="D2605" i="1"/>
  <c r="G2604" i="1"/>
  <c r="F2604" i="1"/>
  <c r="D2604" i="1"/>
  <c r="G2603" i="1"/>
  <c r="F2603" i="1"/>
  <c r="D2603" i="1"/>
  <c r="G2602" i="1"/>
  <c r="F2602" i="1"/>
  <c r="D2602" i="1"/>
  <c r="H2601" i="1"/>
  <c r="G2600" i="1"/>
  <c r="F2600" i="1"/>
  <c r="D2600" i="1"/>
  <c r="G2599" i="1"/>
  <c r="F2599" i="1"/>
  <c r="D2599" i="1"/>
  <c r="G2598" i="1"/>
  <c r="F2598" i="1"/>
  <c r="D2598" i="1"/>
  <c r="G2597" i="1"/>
  <c r="F2597" i="1"/>
  <c r="D2597" i="1"/>
  <c r="G2596" i="1"/>
  <c r="F2596" i="1"/>
  <c r="D2596" i="1"/>
  <c r="G2595" i="1"/>
  <c r="F2595" i="1"/>
  <c r="D2595" i="1"/>
  <c r="G2594" i="1"/>
  <c r="F2594" i="1"/>
  <c r="D2594" i="1"/>
  <c r="G2593" i="1"/>
  <c r="F2593" i="1"/>
  <c r="D2593" i="1"/>
  <c r="H2593" i="1" s="1"/>
  <c r="G2592" i="1"/>
  <c r="F2592" i="1"/>
  <c r="D2592" i="1"/>
  <c r="G2591" i="1"/>
  <c r="F2591" i="1"/>
  <c r="D2591" i="1"/>
  <c r="H2590" i="1"/>
  <c r="G2589" i="1"/>
  <c r="F2589" i="1"/>
  <c r="D2589" i="1"/>
  <c r="G2588" i="1"/>
  <c r="F2588" i="1"/>
  <c r="D2588" i="1"/>
  <c r="G2587" i="1"/>
  <c r="F2587" i="1"/>
  <c r="D2587" i="1"/>
  <c r="G2586" i="1"/>
  <c r="F2586" i="1"/>
  <c r="D2586" i="1"/>
  <c r="G2585" i="1"/>
  <c r="F2585" i="1"/>
  <c r="D2585" i="1"/>
  <c r="G2584" i="1"/>
  <c r="F2584" i="1"/>
  <c r="D2584" i="1"/>
  <c r="G2583" i="1"/>
  <c r="F2583" i="1"/>
  <c r="D2583" i="1"/>
  <c r="G2582" i="1"/>
  <c r="F2582" i="1"/>
  <c r="D2582" i="1"/>
  <c r="G2581" i="1"/>
  <c r="F2581" i="1"/>
  <c r="D2581" i="1"/>
  <c r="G2580" i="1"/>
  <c r="F2580" i="1"/>
  <c r="D2580" i="1"/>
  <c r="G2579" i="1"/>
  <c r="F2579" i="1"/>
  <c r="D2579" i="1"/>
  <c r="G2578" i="1"/>
  <c r="F2578" i="1"/>
  <c r="D2578" i="1"/>
  <c r="G2577" i="1"/>
  <c r="F2577" i="1"/>
  <c r="D2577" i="1"/>
  <c r="G2576" i="1"/>
  <c r="F2576" i="1"/>
  <c r="D2576" i="1"/>
  <c r="G2575" i="1"/>
  <c r="F2575" i="1"/>
  <c r="D2575" i="1"/>
  <c r="H2574" i="1"/>
  <c r="G2573" i="1"/>
  <c r="F2573" i="1"/>
  <c r="D2573" i="1"/>
  <c r="G2572" i="1"/>
  <c r="F2572" i="1"/>
  <c r="D2572" i="1"/>
  <c r="G2571" i="1"/>
  <c r="F2571" i="1"/>
  <c r="D2571" i="1"/>
  <c r="G2570" i="1"/>
  <c r="F2570" i="1"/>
  <c r="D2570" i="1"/>
  <c r="G2569" i="1"/>
  <c r="F2569" i="1"/>
  <c r="D2569" i="1"/>
  <c r="G2568" i="1"/>
  <c r="F2568" i="1"/>
  <c r="D2568" i="1"/>
  <c r="G2567" i="1"/>
  <c r="F2567" i="1"/>
  <c r="D2567" i="1"/>
  <c r="G2566" i="1"/>
  <c r="F2566" i="1"/>
  <c r="D2566" i="1"/>
  <c r="G2565" i="1"/>
  <c r="F2565" i="1"/>
  <c r="D2565" i="1"/>
  <c r="H2565" i="1" s="1"/>
  <c r="G2564" i="1"/>
  <c r="F2564" i="1"/>
  <c r="D2564" i="1"/>
  <c r="G2563" i="1"/>
  <c r="F2563" i="1"/>
  <c r="D2563" i="1"/>
  <c r="G2562" i="1"/>
  <c r="F2562" i="1"/>
  <c r="D2562" i="1"/>
  <c r="G2561" i="1"/>
  <c r="F2561" i="1"/>
  <c r="D2561" i="1"/>
  <c r="G2560" i="1"/>
  <c r="F2560" i="1"/>
  <c r="D2560" i="1"/>
  <c r="G2559" i="1"/>
  <c r="F2559" i="1"/>
  <c r="D2559" i="1"/>
  <c r="H2558" i="1"/>
  <c r="H2557" i="1"/>
  <c r="G2556" i="1"/>
  <c r="F2556" i="1"/>
  <c r="D2556" i="1"/>
  <c r="G2555" i="1"/>
  <c r="F2555" i="1"/>
  <c r="D2555" i="1"/>
  <c r="G2554" i="1"/>
  <c r="F2554" i="1"/>
  <c r="D2554" i="1"/>
  <c r="G2553" i="1"/>
  <c r="F2553" i="1"/>
  <c r="D2553" i="1"/>
  <c r="G2552" i="1"/>
  <c r="F2552" i="1"/>
  <c r="D2552" i="1"/>
  <c r="G2551" i="1"/>
  <c r="F2551" i="1"/>
  <c r="D2551" i="1"/>
  <c r="H2551" i="1" s="1"/>
  <c r="G2550" i="1"/>
  <c r="F2550" i="1"/>
  <c r="D2550" i="1"/>
  <c r="G2549" i="1"/>
  <c r="F2549" i="1"/>
  <c r="D2549" i="1"/>
  <c r="G2548" i="1"/>
  <c r="F2548" i="1"/>
  <c r="D2548" i="1"/>
  <c r="G2547" i="1"/>
  <c r="F2547" i="1"/>
  <c r="D2547" i="1"/>
  <c r="G2546" i="1"/>
  <c r="F2546" i="1"/>
  <c r="D2546" i="1"/>
  <c r="G2545" i="1"/>
  <c r="F2545" i="1"/>
  <c r="D2545" i="1"/>
  <c r="G2544" i="1"/>
  <c r="F2544" i="1"/>
  <c r="D2544" i="1"/>
  <c r="G2543" i="1"/>
  <c r="F2543" i="1"/>
  <c r="D2543" i="1"/>
  <c r="G2542" i="1"/>
  <c r="F2542" i="1"/>
  <c r="D2542" i="1"/>
  <c r="G2541" i="1"/>
  <c r="F2541" i="1"/>
  <c r="D2541" i="1"/>
  <c r="G2540" i="1"/>
  <c r="F2540" i="1"/>
  <c r="D2540" i="1"/>
  <c r="H2539" i="1"/>
  <c r="G2538" i="1"/>
  <c r="F2538" i="1"/>
  <c r="D2538" i="1"/>
  <c r="G2537" i="1"/>
  <c r="F2537" i="1"/>
  <c r="D2537" i="1"/>
  <c r="G2536" i="1"/>
  <c r="F2536" i="1"/>
  <c r="D2536" i="1"/>
  <c r="G2535" i="1"/>
  <c r="F2535" i="1"/>
  <c r="D2535" i="1"/>
  <c r="H2535" i="1" s="1"/>
  <c r="G2534" i="1"/>
  <c r="F2534" i="1"/>
  <c r="D2534" i="1"/>
  <c r="G2533" i="1"/>
  <c r="F2533" i="1"/>
  <c r="D2533" i="1"/>
  <c r="G2532" i="1"/>
  <c r="F2532" i="1"/>
  <c r="D2532" i="1"/>
  <c r="G2531" i="1"/>
  <c r="F2531" i="1"/>
  <c r="D2531" i="1"/>
  <c r="G2530" i="1"/>
  <c r="F2530" i="1"/>
  <c r="D2530" i="1"/>
  <c r="G2529" i="1"/>
  <c r="F2529" i="1"/>
  <c r="D2529" i="1"/>
  <c r="G2528" i="1"/>
  <c r="F2528" i="1"/>
  <c r="D2528" i="1"/>
  <c r="G2527" i="1"/>
  <c r="F2527" i="1"/>
  <c r="D2527" i="1"/>
  <c r="G2526" i="1"/>
  <c r="F2526" i="1"/>
  <c r="D2526" i="1"/>
  <c r="G2525" i="1"/>
  <c r="F2525" i="1"/>
  <c r="D2525" i="1"/>
  <c r="G2524" i="1"/>
  <c r="F2524" i="1"/>
  <c r="D2524" i="1"/>
  <c r="H2523" i="1"/>
  <c r="G2522" i="1"/>
  <c r="F2522" i="1"/>
  <c r="D2522" i="1"/>
  <c r="G2521" i="1"/>
  <c r="F2521" i="1"/>
  <c r="D2521" i="1"/>
  <c r="G2520" i="1"/>
  <c r="F2520" i="1"/>
  <c r="D2520" i="1"/>
  <c r="G2519" i="1"/>
  <c r="F2519" i="1"/>
  <c r="D2519" i="1"/>
  <c r="G2518" i="1"/>
  <c r="F2518" i="1"/>
  <c r="D2518" i="1"/>
  <c r="G2517" i="1"/>
  <c r="F2517" i="1"/>
  <c r="D2517" i="1"/>
  <c r="G2516" i="1"/>
  <c r="F2516" i="1"/>
  <c r="D2516" i="1"/>
  <c r="G2515" i="1"/>
  <c r="F2515" i="1"/>
  <c r="H2515" i="1" s="1"/>
  <c r="D2515" i="1"/>
  <c r="G2514" i="1"/>
  <c r="F2514" i="1"/>
  <c r="D2514" i="1"/>
  <c r="G2513" i="1"/>
  <c r="F2513" i="1"/>
  <c r="D2513" i="1"/>
  <c r="G2512" i="1"/>
  <c r="F2512" i="1"/>
  <c r="D2512" i="1"/>
  <c r="G2511" i="1"/>
  <c r="F2511" i="1"/>
  <c r="D2511" i="1"/>
  <c r="H2511" i="1" s="1"/>
  <c r="G2510" i="1"/>
  <c r="F2510" i="1"/>
  <c r="D2510" i="1"/>
  <c r="G2509" i="1"/>
  <c r="F2509" i="1"/>
  <c r="D2509" i="1"/>
  <c r="G2508" i="1"/>
  <c r="F2508" i="1"/>
  <c r="D2508" i="1"/>
  <c r="G2507" i="1"/>
  <c r="F2507" i="1"/>
  <c r="D2507" i="1"/>
  <c r="H2506" i="1"/>
  <c r="G2505" i="1"/>
  <c r="F2505" i="1"/>
  <c r="H2505" i="1" s="1"/>
  <c r="D2505" i="1"/>
  <c r="G2504" i="1"/>
  <c r="F2504" i="1"/>
  <c r="D2504" i="1"/>
  <c r="G2503" i="1"/>
  <c r="F2503" i="1"/>
  <c r="D2503" i="1"/>
  <c r="G2502" i="1"/>
  <c r="F2502" i="1"/>
  <c r="D2502" i="1"/>
  <c r="G2501" i="1"/>
  <c r="F2501" i="1"/>
  <c r="D2501" i="1"/>
  <c r="G2500" i="1"/>
  <c r="F2500" i="1"/>
  <c r="D2500" i="1"/>
  <c r="G2499" i="1"/>
  <c r="F2499" i="1"/>
  <c r="D2499" i="1"/>
  <c r="G2498" i="1"/>
  <c r="F2498" i="1"/>
  <c r="D2498" i="1"/>
  <c r="G2497" i="1"/>
  <c r="F2497" i="1"/>
  <c r="D2497" i="1"/>
  <c r="G2496" i="1"/>
  <c r="F2496" i="1"/>
  <c r="D2496" i="1"/>
  <c r="H2495" i="1"/>
  <c r="G2494" i="1"/>
  <c r="F2494" i="1"/>
  <c r="D2494" i="1"/>
  <c r="G2493" i="1"/>
  <c r="F2493" i="1"/>
  <c r="D2493" i="1"/>
  <c r="G2492" i="1"/>
  <c r="F2492" i="1"/>
  <c r="D2492" i="1"/>
  <c r="G2491" i="1"/>
  <c r="F2491" i="1"/>
  <c r="D2491" i="1"/>
  <c r="G2490" i="1"/>
  <c r="F2490" i="1"/>
  <c r="D2490" i="1"/>
  <c r="G2489" i="1"/>
  <c r="F2489" i="1"/>
  <c r="D2489" i="1"/>
  <c r="G2488" i="1"/>
  <c r="F2488" i="1"/>
  <c r="D2488" i="1"/>
  <c r="G2487" i="1"/>
  <c r="F2487" i="1"/>
  <c r="D2487" i="1"/>
  <c r="H2486" i="1"/>
  <c r="G2485" i="1"/>
  <c r="F2485" i="1"/>
  <c r="D2485" i="1"/>
  <c r="G2484" i="1"/>
  <c r="F2484" i="1"/>
  <c r="D2484" i="1"/>
  <c r="G2483" i="1"/>
  <c r="F2483" i="1"/>
  <c r="D2483" i="1"/>
  <c r="G2482" i="1"/>
  <c r="F2482" i="1"/>
  <c r="D2482" i="1"/>
  <c r="G2481" i="1"/>
  <c r="F2481" i="1"/>
  <c r="D2481" i="1"/>
  <c r="G2480" i="1"/>
  <c r="F2480" i="1"/>
  <c r="D2480" i="1"/>
  <c r="G2479" i="1"/>
  <c r="F2479" i="1"/>
  <c r="D2479" i="1"/>
  <c r="G2478" i="1"/>
  <c r="F2478" i="1"/>
  <c r="D2478" i="1"/>
  <c r="G2477" i="1"/>
  <c r="F2477" i="1"/>
  <c r="D2477" i="1"/>
  <c r="G2476" i="1"/>
  <c r="F2476" i="1"/>
  <c r="D2476" i="1"/>
  <c r="G2475" i="1"/>
  <c r="F2475" i="1"/>
  <c r="D2475" i="1"/>
  <c r="G2474" i="1"/>
  <c r="F2474" i="1"/>
  <c r="D2474" i="1"/>
  <c r="G2473" i="1"/>
  <c r="F2473" i="1"/>
  <c r="D2473" i="1"/>
  <c r="G2472" i="1"/>
  <c r="F2472" i="1"/>
  <c r="D2472" i="1"/>
  <c r="G2471" i="1"/>
  <c r="F2471" i="1"/>
  <c r="D2471" i="1"/>
  <c r="G2470" i="1"/>
  <c r="F2470" i="1"/>
  <c r="D2470" i="1"/>
  <c r="H2469" i="1"/>
  <c r="G2468" i="1"/>
  <c r="F2468" i="1"/>
  <c r="D2468" i="1"/>
  <c r="G2467" i="1"/>
  <c r="F2467" i="1"/>
  <c r="D2467" i="1"/>
  <c r="G2466" i="1"/>
  <c r="F2466" i="1"/>
  <c r="D2466" i="1"/>
  <c r="G2465" i="1"/>
  <c r="F2465" i="1"/>
  <c r="D2465" i="1"/>
  <c r="G2464" i="1"/>
  <c r="F2464" i="1"/>
  <c r="D2464" i="1"/>
  <c r="G2463" i="1"/>
  <c r="F2463" i="1"/>
  <c r="D2463" i="1"/>
  <c r="H2463" i="1" s="1"/>
  <c r="G2462" i="1"/>
  <c r="F2462" i="1"/>
  <c r="D2462" i="1"/>
  <c r="G2461" i="1"/>
  <c r="F2461" i="1"/>
  <c r="D2461" i="1"/>
  <c r="H2461" i="1" s="1"/>
  <c r="G2460" i="1"/>
  <c r="F2460" i="1"/>
  <c r="D2460" i="1"/>
  <c r="G2459" i="1"/>
  <c r="F2459" i="1"/>
  <c r="D2459" i="1"/>
  <c r="H2458" i="1"/>
  <c r="G2457" i="1"/>
  <c r="F2457" i="1"/>
  <c r="D2457" i="1"/>
  <c r="G2456" i="1"/>
  <c r="F2456" i="1"/>
  <c r="D2456" i="1"/>
  <c r="H2456" i="1" s="1"/>
  <c r="G2455" i="1"/>
  <c r="F2455" i="1"/>
  <c r="D2455" i="1"/>
  <c r="H2455" i="1" s="1"/>
  <c r="G2454" i="1"/>
  <c r="F2454" i="1"/>
  <c r="D2454" i="1"/>
  <c r="G2453" i="1"/>
  <c r="F2453" i="1"/>
  <c r="D2453" i="1"/>
  <c r="G2452" i="1"/>
  <c r="F2452" i="1"/>
  <c r="D2452" i="1"/>
  <c r="G2451" i="1"/>
  <c r="F2451" i="1"/>
  <c r="D2451" i="1"/>
  <c r="G2450" i="1"/>
  <c r="H2450" i="1" s="1"/>
  <c r="F2450" i="1"/>
  <c r="D2450" i="1"/>
  <c r="G2449" i="1"/>
  <c r="F2449" i="1"/>
  <c r="D2449" i="1"/>
  <c r="G2448" i="1"/>
  <c r="F2448" i="1"/>
  <c r="D2448" i="1"/>
  <c r="G2447" i="1"/>
  <c r="F2447" i="1"/>
  <c r="H2447" i="1" s="1"/>
  <c r="D2447" i="1"/>
  <c r="G2446" i="1"/>
  <c r="F2446" i="1"/>
  <c r="D2446" i="1"/>
  <c r="G2445" i="1"/>
  <c r="F2445" i="1"/>
  <c r="D2445" i="1"/>
  <c r="G2444" i="1"/>
  <c r="F2444" i="1"/>
  <c r="D2444" i="1"/>
  <c r="G2443" i="1"/>
  <c r="F2443" i="1"/>
  <c r="D2443" i="1"/>
  <c r="H2442" i="1"/>
  <c r="G2441" i="1"/>
  <c r="F2441" i="1"/>
  <c r="D2441" i="1"/>
  <c r="G2440" i="1"/>
  <c r="F2440" i="1"/>
  <c r="D2440" i="1"/>
  <c r="G2439" i="1"/>
  <c r="F2439" i="1"/>
  <c r="D2439" i="1"/>
  <c r="G2438" i="1"/>
  <c r="F2438" i="1"/>
  <c r="D2438" i="1"/>
  <c r="G2437" i="1"/>
  <c r="F2437" i="1"/>
  <c r="H2437" i="1" s="1"/>
  <c r="D2437" i="1"/>
  <c r="G2436" i="1"/>
  <c r="F2436" i="1"/>
  <c r="D2436" i="1"/>
  <c r="H2436" i="1" s="1"/>
  <c r="G2435" i="1"/>
  <c r="F2435" i="1"/>
  <c r="D2435" i="1"/>
  <c r="G2434" i="1"/>
  <c r="F2434" i="1"/>
  <c r="D2434" i="1"/>
  <c r="G2433" i="1"/>
  <c r="F2433" i="1"/>
  <c r="D2433" i="1"/>
  <c r="H2433" i="1" s="1"/>
  <c r="G2432" i="1"/>
  <c r="F2432" i="1"/>
  <c r="D2432" i="1"/>
  <c r="H2431" i="1"/>
  <c r="G2430" i="1"/>
  <c r="F2430" i="1"/>
  <c r="D2430" i="1"/>
  <c r="H2430" i="1" s="1"/>
  <c r="G2429" i="1"/>
  <c r="F2429" i="1"/>
  <c r="D2429" i="1"/>
  <c r="G2428" i="1"/>
  <c r="F2428" i="1"/>
  <c r="D2428" i="1"/>
  <c r="G2427" i="1"/>
  <c r="F2427" i="1"/>
  <c r="D2427" i="1"/>
  <c r="G2426" i="1"/>
  <c r="F2426" i="1"/>
  <c r="D2426" i="1"/>
  <c r="G2425" i="1"/>
  <c r="F2425" i="1"/>
  <c r="D2425" i="1"/>
  <c r="H2425" i="1" s="1"/>
  <c r="G2424" i="1"/>
  <c r="F2424" i="1"/>
  <c r="D2424" i="1"/>
  <c r="G2423" i="1"/>
  <c r="F2423" i="1"/>
  <c r="D2423" i="1"/>
  <c r="G2422" i="1"/>
  <c r="F2422" i="1"/>
  <c r="D2422" i="1"/>
  <c r="G2421" i="1"/>
  <c r="F2421" i="1"/>
  <c r="D2421" i="1"/>
  <c r="G2420" i="1"/>
  <c r="F2420" i="1"/>
  <c r="D2420" i="1"/>
  <c r="G2419" i="1"/>
  <c r="F2419" i="1"/>
  <c r="D2419" i="1"/>
  <c r="G2418" i="1"/>
  <c r="F2418" i="1"/>
  <c r="D2418" i="1"/>
  <c r="G2417" i="1"/>
  <c r="F2417" i="1"/>
  <c r="D2417" i="1"/>
  <c r="G2416" i="1"/>
  <c r="F2416" i="1"/>
  <c r="D2416" i="1"/>
  <c r="H2415" i="1"/>
  <c r="G2414" i="1"/>
  <c r="F2414" i="1"/>
  <c r="D2414" i="1"/>
  <c r="G2413" i="1"/>
  <c r="F2413" i="1"/>
  <c r="D2413" i="1"/>
  <c r="G2412" i="1"/>
  <c r="F2412" i="1"/>
  <c r="D2412" i="1"/>
  <c r="G2411" i="1"/>
  <c r="F2411" i="1"/>
  <c r="D2411" i="1"/>
  <c r="G2410" i="1"/>
  <c r="F2410" i="1"/>
  <c r="D2410" i="1"/>
  <c r="G2409" i="1"/>
  <c r="F2409" i="1"/>
  <c r="D2409" i="1"/>
  <c r="G2408" i="1"/>
  <c r="F2408" i="1"/>
  <c r="D2408" i="1"/>
  <c r="G2407" i="1"/>
  <c r="F2407" i="1"/>
  <c r="D2407" i="1"/>
  <c r="G2406" i="1"/>
  <c r="F2406" i="1"/>
  <c r="D2406" i="1"/>
  <c r="G2405" i="1"/>
  <c r="F2405" i="1"/>
  <c r="D2405" i="1"/>
  <c r="G2404" i="1"/>
  <c r="F2404" i="1"/>
  <c r="D2404" i="1"/>
  <c r="G2403" i="1"/>
  <c r="F2403" i="1"/>
  <c r="D2403" i="1"/>
  <c r="G2402" i="1"/>
  <c r="F2402" i="1"/>
  <c r="D2402" i="1"/>
  <c r="G2401" i="1"/>
  <c r="F2401" i="1"/>
  <c r="D2401" i="1"/>
  <c r="H2401" i="1" s="1"/>
  <c r="G2400" i="1"/>
  <c r="F2400" i="1"/>
  <c r="D2400" i="1"/>
  <c r="G2399" i="1"/>
  <c r="F2399" i="1"/>
  <c r="D2399" i="1"/>
  <c r="H2398" i="1"/>
  <c r="G2397" i="1"/>
  <c r="F2397" i="1"/>
  <c r="D2397" i="1"/>
  <c r="G2396" i="1"/>
  <c r="F2396" i="1"/>
  <c r="D2396" i="1"/>
  <c r="G2395" i="1"/>
  <c r="F2395" i="1"/>
  <c r="D2395" i="1"/>
  <c r="G2394" i="1"/>
  <c r="F2394" i="1"/>
  <c r="D2394" i="1"/>
  <c r="G2393" i="1"/>
  <c r="F2393" i="1"/>
  <c r="D2393" i="1"/>
  <c r="G2392" i="1"/>
  <c r="F2392" i="1"/>
  <c r="D2392" i="1"/>
  <c r="G2391" i="1"/>
  <c r="F2391" i="1"/>
  <c r="D2391" i="1"/>
  <c r="G2390" i="1"/>
  <c r="F2390" i="1"/>
  <c r="H2390" i="1" s="1"/>
  <c r="D2390" i="1"/>
  <c r="G2389" i="1"/>
  <c r="F2389" i="1"/>
  <c r="D2389" i="1"/>
  <c r="G2388" i="1"/>
  <c r="F2388" i="1"/>
  <c r="D2388" i="1"/>
  <c r="H2387" i="1"/>
  <c r="G2386" i="1"/>
  <c r="F2386" i="1"/>
  <c r="D2386" i="1"/>
  <c r="G2385" i="1"/>
  <c r="F2385" i="1"/>
  <c r="D2385" i="1"/>
  <c r="G2384" i="1"/>
  <c r="F2384" i="1"/>
  <c r="D2384" i="1"/>
  <c r="G2383" i="1"/>
  <c r="F2383" i="1"/>
  <c r="D2383" i="1"/>
  <c r="G2382" i="1"/>
  <c r="F2382" i="1"/>
  <c r="D2382" i="1"/>
  <c r="G2381" i="1"/>
  <c r="F2381" i="1"/>
  <c r="D2381" i="1"/>
  <c r="G2380" i="1"/>
  <c r="F2380" i="1"/>
  <c r="D2380" i="1"/>
  <c r="G2379" i="1"/>
  <c r="F2379" i="1"/>
  <c r="D2379" i="1"/>
  <c r="G2378" i="1"/>
  <c r="F2378" i="1"/>
  <c r="D2378" i="1"/>
  <c r="G2377" i="1"/>
  <c r="F2377" i="1"/>
  <c r="D2377" i="1"/>
  <c r="G2376" i="1"/>
  <c r="F2376" i="1"/>
  <c r="D2376" i="1"/>
  <c r="G2375" i="1"/>
  <c r="F2375" i="1"/>
  <c r="D2375" i="1"/>
  <c r="G2374" i="1"/>
  <c r="F2374" i="1"/>
  <c r="D2374" i="1"/>
  <c r="G2373" i="1"/>
  <c r="F2373" i="1"/>
  <c r="D2373" i="1"/>
  <c r="G2372" i="1"/>
  <c r="F2372" i="1"/>
  <c r="D2372" i="1"/>
  <c r="H2371" i="1"/>
  <c r="G2370" i="1"/>
  <c r="F2370" i="1"/>
  <c r="D2370" i="1"/>
  <c r="G2369" i="1"/>
  <c r="F2369" i="1"/>
  <c r="D2369" i="1"/>
  <c r="G2368" i="1"/>
  <c r="F2368" i="1"/>
  <c r="D2368" i="1"/>
  <c r="G2367" i="1"/>
  <c r="F2367" i="1"/>
  <c r="D2367" i="1"/>
  <c r="G2366" i="1"/>
  <c r="F2366" i="1"/>
  <c r="D2366" i="1"/>
  <c r="G2365" i="1"/>
  <c r="F2365" i="1"/>
  <c r="D2365" i="1"/>
  <c r="G2364" i="1"/>
  <c r="F2364" i="1"/>
  <c r="D2364" i="1"/>
  <c r="G2363" i="1"/>
  <c r="F2363" i="1"/>
  <c r="D2363" i="1"/>
  <c r="G2362" i="1"/>
  <c r="F2362" i="1"/>
  <c r="D2362" i="1"/>
  <c r="G2361" i="1"/>
  <c r="F2361" i="1"/>
  <c r="D2361" i="1"/>
  <c r="H2360" i="1"/>
  <c r="G2359" i="1"/>
  <c r="F2359" i="1"/>
  <c r="D2359" i="1"/>
  <c r="G2358" i="1"/>
  <c r="F2358" i="1"/>
  <c r="D2358" i="1"/>
  <c r="G2357" i="1"/>
  <c r="F2357" i="1"/>
  <c r="D2357" i="1"/>
  <c r="G2356" i="1"/>
  <c r="F2356" i="1"/>
  <c r="D2356" i="1"/>
  <c r="G2355" i="1"/>
  <c r="F2355" i="1"/>
  <c r="D2355" i="1"/>
  <c r="G2354" i="1"/>
  <c r="F2354" i="1"/>
  <c r="D2354" i="1"/>
  <c r="G2353" i="1"/>
  <c r="F2353" i="1"/>
  <c r="D2353" i="1"/>
  <c r="G2352" i="1"/>
  <c r="F2352" i="1"/>
  <c r="D2352" i="1"/>
  <c r="G2351" i="1"/>
  <c r="F2351" i="1"/>
  <c r="D2351" i="1"/>
  <c r="G2350" i="1"/>
  <c r="F2350" i="1"/>
  <c r="D2350" i="1"/>
  <c r="G2349" i="1"/>
  <c r="F2349" i="1"/>
  <c r="D2349" i="1"/>
  <c r="G2348" i="1"/>
  <c r="F2348" i="1"/>
  <c r="D2348" i="1"/>
  <c r="G2347" i="1"/>
  <c r="F2347" i="1"/>
  <c r="D2347" i="1"/>
  <c r="H2347" i="1" s="1"/>
  <c r="G2346" i="1"/>
  <c r="F2346" i="1"/>
  <c r="D2346" i="1"/>
  <c r="H2346" i="1" s="1"/>
  <c r="G2345" i="1"/>
  <c r="F2345" i="1"/>
  <c r="D2345" i="1"/>
  <c r="G2344" i="1"/>
  <c r="F2344" i="1"/>
  <c r="D2344" i="1"/>
  <c r="H2343" i="1"/>
  <c r="G2342" i="1"/>
  <c r="F2342" i="1"/>
  <c r="D2342" i="1"/>
  <c r="G2341" i="1"/>
  <c r="F2341" i="1"/>
  <c r="D2341" i="1"/>
  <c r="G2340" i="1"/>
  <c r="F2340" i="1"/>
  <c r="D2340" i="1"/>
  <c r="G2339" i="1"/>
  <c r="F2339" i="1"/>
  <c r="D2339" i="1"/>
  <c r="G2338" i="1"/>
  <c r="F2338" i="1"/>
  <c r="D2338" i="1"/>
  <c r="G2337" i="1"/>
  <c r="F2337" i="1"/>
  <c r="D2337" i="1"/>
  <c r="G2336" i="1"/>
  <c r="F2336" i="1"/>
  <c r="D2336" i="1"/>
  <c r="G2335" i="1"/>
  <c r="F2335" i="1"/>
  <c r="D2335" i="1"/>
  <c r="G2334" i="1"/>
  <c r="F2334" i="1"/>
  <c r="D2334" i="1"/>
  <c r="G2333" i="1"/>
  <c r="F2333" i="1"/>
  <c r="D2333" i="1"/>
  <c r="G2332" i="1"/>
  <c r="F2332" i="1"/>
  <c r="D2332" i="1"/>
  <c r="G2331" i="1"/>
  <c r="F2331" i="1"/>
  <c r="D2331" i="1"/>
  <c r="G2330" i="1"/>
  <c r="F2330" i="1"/>
  <c r="D2330" i="1"/>
  <c r="G2329" i="1"/>
  <c r="F2329" i="1"/>
  <c r="D2329" i="1"/>
  <c r="G2328" i="1"/>
  <c r="F2328" i="1"/>
  <c r="D2328" i="1"/>
  <c r="H2327" i="1"/>
  <c r="G2326" i="1"/>
  <c r="F2326" i="1"/>
  <c r="D2326" i="1"/>
  <c r="G2325" i="1"/>
  <c r="F2325" i="1"/>
  <c r="D2325" i="1"/>
  <c r="G2324" i="1"/>
  <c r="F2324" i="1"/>
  <c r="D2324" i="1"/>
  <c r="G2323" i="1"/>
  <c r="F2323" i="1"/>
  <c r="D2323" i="1"/>
  <c r="G2322" i="1"/>
  <c r="F2322" i="1"/>
  <c r="D2322" i="1"/>
  <c r="G2321" i="1"/>
  <c r="F2321" i="1"/>
  <c r="D2321" i="1"/>
  <c r="G2320" i="1"/>
  <c r="F2320" i="1"/>
  <c r="D2320" i="1"/>
  <c r="G2319" i="1"/>
  <c r="F2319" i="1"/>
  <c r="D2319" i="1"/>
  <c r="G2318" i="1"/>
  <c r="F2318" i="1"/>
  <c r="D2318" i="1"/>
  <c r="G2317" i="1"/>
  <c r="F2317" i="1"/>
  <c r="D2317" i="1"/>
  <c r="H2316" i="1"/>
  <c r="G2315" i="1"/>
  <c r="F2315" i="1"/>
  <c r="D2315" i="1"/>
  <c r="G2314" i="1"/>
  <c r="F2314" i="1"/>
  <c r="D2314" i="1"/>
  <c r="G2313" i="1"/>
  <c r="F2313" i="1"/>
  <c r="D2313" i="1"/>
  <c r="G2312" i="1"/>
  <c r="F2312" i="1"/>
  <c r="D2312" i="1"/>
  <c r="G2311" i="1"/>
  <c r="F2311" i="1"/>
  <c r="D2311" i="1"/>
  <c r="G2310" i="1"/>
  <c r="F2310" i="1"/>
  <c r="D2310" i="1"/>
  <c r="G2309" i="1"/>
  <c r="F2309" i="1"/>
  <c r="D2309" i="1"/>
  <c r="G2308" i="1"/>
  <c r="F2308" i="1"/>
  <c r="D2308" i="1"/>
  <c r="G2307" i="1"/>
  <c r="F2307" i="1"/>
  <c r="D2307" i="1"/>
  <c r="G2306" i="1"/>
  <c r="F2306" i="1"/>
  <c r="D2306" i="1"/>
  <c r="G2305" i="1"/>
  <c r="F2305" i="1"/>
  <c r="D2305" i="1"/>
  <c r="G2304" i="1"/>
  <c r="F2304" i="1"/>
  <c r="D2304" i="1"/>
  <c r="G2303" i="1"/>
  <c r="F2303" i="1"/>
  <c r="D2303" i="1"/>
  <c r="G2302" i="1"/>
  <c r="F2302" i="1"/>
  <c r="D2302" i="1"/>
  <c r="G2301" i="1"/>
  <c r="F2301" i="1"/>
  <c r="D2301" i="1"/>
  <c r="G2300" i="1"/>
  <c r="F2300" i="1"/>
  <c r="D2300" i="1"/>
  <c r="H2299" i="1"/>
  <c r="G2298" i="1"/>
  <c r="F2298" i="1"/>
  <c r="D2298" i="1"/>
  <c r="G2297" i="1"/>
  <c r="F2297" i="1"/>
  <c r="D2297" i="1"/>
  <c r="G2296" i="1"/>
  <c r="F2296" i="1"/>
  <c r="D2296" i="1"/>
  <c r="G2295" i="1"/>
  <c r="F2295" i="1"/>
  <c r="D2295" i="1"/>
  <c r="G2294" i="1"/>
  <c r="F2294" i="1"/>
  <c r="D2294" i="1"/>
  <c r="G2293" i="1"/>
  <c r="F2293" i="1"/>
  <c r="D2293" i="1"/>
  <c r="G2292" i="1"/>
  <c r="F2292" i="1"/>
  <c r="D2292" i="1"/>
  <c r="G2291" i="1"/>
  <c r="F2291" i="1"/>
  <c r="D2291" i="1"/>
  <c r="G2290" i="1"/>
  <c r="F2290" i="1"/>
  <c r="D2290" i="1"/>
  <c r="G2289" i="1"/>
  <c r="F2289" i="1"/>
  <c r="D2289" i="1"/>
  <c r="H2288" i="1"/>
  <c r="G2287" i="1"/>
  <c r="F2287" i="1"/>
  <c r="D2287" i="1"/>
  <c r="G2286" i="1"/>
  <c r="F2286" i="1"/>
  <c r="D2286" i="1"/>
  <c r="G2285" i="1"/>
  <c r="F2285" i="1"/>
  <c r="D2285" i="1"/>
  <c r="G2284" i="1"/>
  <c r="F2284" i="1"/>
  <c r="D2284" i="1"/>
  <c r="G2283" i="1"/>
  <c r="F2283" i="1"/>
  <c r="D2283" i="1"/>
  <c r="H2283" i="1" s="1"/>
  <c r="G2282" i="1"/>
  <c r="F2282" i="1"/>
  <c r="D2282" i="1"/>
  <c r="G2281" i="1"/>
  <c r="F2281" i="1"/>
  <c r="D2281" i="1"/>
  <c r="G2280" i="1"/>
  <c r="F2280" i="1"/>
  <c r="D2280" i="1"/>
  <c r="H2279" i="1"/>
  <c r="G2278" i="1"/>
  <c r="F2278" i="1"/>
  <c r="D2278" i="1"/>
  <c r="G2277" i="1"/>
  <c r="F2277" i="1"/>
  <c r="D2277" i="1"/>
  <c r="G2276" i="1"/>
  <c r="F2276" i="1"/>
  <c r="D2276" i="1"/>
  <c r="G2275" i="1"/>
  <c r="F2275" i="1"/>
  <c r="D2275" i="1"/>
  <c r="G2274" i="1"/>
  <c r="F2274" i="1"/>
  <c r="D2274" i="1"/>
  <c r="G2273" i="1"/>
  <c r="F2273" i="1"/>
  <c r="D2273" i="1"/>
  <c r="G2272" i="1"/>
  <c r="F2272" i="1"/>
  <c r="D2272" i="1"/>
  <c r="G2271" i="1"/>
  <c r="F2271" i="1"/>
  <c r="D2271" i="1"/>
  <c r="G2270" i="1"/>
  <c r="F2270" i="1"/>
  <c r="D2270" i="1"/>
  <c r="G2269" i="1"/>
  <c r="F2269" i="1"/>
  <c r="D2269" i="1"/>
  <c r="G2268" i="1"/>
  <c r="F2268" i="1"/>
  <c r="D2268" i="1"/>
  <c r="G2267" i="1"/>
  <c r="F2267" i="1"/>
  <c r="D2267" i="1"/>
  <c r="G2266" i="1"/>
  <c r="F2266" i="1"/>
  <c r="D2266" i="1"/>
  <c r="G2265" i="1"/>
  <c r="F2265" i="1"/>
  <c r="D2265" i="1"/>
  <c r="G2264" i="1"/>
  <c r="F2264" i="1"/>
  <c r="D2264" i="1"/>
  <c r="H2263" i="1"/>
  <c r="G2262" i="1"/>
  <c r="F2262" i="1"/>
  <c r="D2262" i="1"/>
  <c r="G2261" i="1"/>
  <c r="F2261" i="1"/>
  <c r="D2261" i="1"/>
  <c r="G2260" i="1"/>
  <c r="F2260" i="1"/>
  <c r="D2260" i="1"/>
  <c r="G2259" i="1"/>
  <c r="F2259" i="1"/>
  <c r="D2259" i="1"/>
  <c r="G2258" i="1"/>
  <c r="F2258" i="1"/>
  <c r="D2258" i="1"/>
  <c r="G2257" i="1"/>
  <c r="F2257" i="1"/>
  <c r="D2257" i="1"/>
  <c r="G2256" i="1"/>
  <c r="F2256" i="1"/>
  <c r="D2256" i="1"/>
  <c r="G2255" i="1"/>
  <c r="F2255" i="1"/>
  <c r="D2255" i="1"/>
  <c r="G2254" i="1"/>
  <c r="F2254" i="1"/>
  <c r="D2254" i="1"/>
  <c r="G2253" i="1"/>
  <c r="F2253" i="1"/>
  <c r="D2253" i="1"/>
  <c r="H2252" i="1"/>
  <c r="G2251" i="1"/>
  <c r="F2251" i="1"/>
  <c r="D2251" i="1"/>
  <c r="G2250" i="1"/>
  <c r="F2250" i="1"/>
  <c r="D2250" i="1"/>
  <c r="G2249" i="1"/>
  <c r="F2249" i="1"/>
  <c r="D2249" i="1"/>
  <c r="G2248" i="1"/>
  <c r="F2248" i="1"/>
  <c r="D2248" i="1"/>
  <c r="G2247" i="1"/>
  <c r="F2247" i="1"/>
  <c r="D2247" i="1"/>
  <c r="G2246" i="1"/>
  <c r="F2246" i="1"/>
  <c r="D2246" i="1"/>
  <c r="G2245" i="1"/>
  <c r="F2245" i="1"/>
  <c r="D2245" i="1"/>
  <c r="G2244" i="1"/>
  <c r="F2244" i="1"/>
  <c r="D2244" i="1"/>
  <c r="G2243" i="1"/>
  <c r="F2243" i="1"/>
  <c r="D2243" i="1"/>
  <c r="G2242" i="1"/>
  <c r="F2242" i="1"/>
  <c r="D2242" i="1"/>
  <c r="G2241" i="1"/>
  <c r="F2241" i="1"/>
  <c r="D2241" i="1"/>
  <c r="G2240" i="1"/>
  <c r="F2240" i="1"/>
  <c r="D2240" i="1"/>
  <c r="H2240" i="1" s="1"/>
  <c r="G2239" i="1"/>
  <c r="F2239" i="1"/>
  <c r="D2239" i="1"/>
  <c r="G2238" i="1"/>
  <c r="F2238" i="1"/>
  <c r="D2238" i="1"/>
  <c r="G2237" i="1"/>
  <c r="F2237" i="1"/>
  <c r="D2237" i="1"/>
  <c r="H2236" i="1"/>
  <c r="G2235" i="1"/>
  <c r="F2235" i="1"/>
  <c r="D2235" i="1"/>
  <c r="G2234" i="1"/>
  <c r="F2234" i="1"/>
  <c r="D2234" i="1"/>
  <c r="G2233" i="1"/>
  <c r="F2233" i="1"/>
  <c r="D2233" i="1"/>
  <c r="G2232" i="1"/>
  <c r="F2232" i="1"/>
  <c r="D2232" i="1"/>
  <c r="G2231" i="1"/>
  <c r="F2231" i="1"/>
  <c r="D2231" i="1"/>
  <c r="H2231" i="1" s="1"/>
  <c r="G2230" i="1"/>
  <c r="F2230" i="1"/>
  <c r="D2230" i="1"/>
  <c r="G2229" i="1"/>
  <c r="F2229" i="1"/>
  <c r="D2229" i="1"/>
  <c r="G2228" i="1"/>
  <c r="F2228" i="1"/>
  <c r="D2228" i="1"/>
  <c r="H2228" i="1" s="1"/>
  <c r="G2227" i="1"/>
  <c r="F2227" i="1"/>
  <c r="D2227" i="1"/>
  <c r="G2226" i="1"/>
  <c r="F2226" i="1"/>
  <c r="D2226" i="1"/>
  <c r="H2225" i="1"/>
  <c r="G2224" i="1"/>
  <c r="F2224" i="1"/>
  <c r="D2224" i="1"/>
  <c r="G2223" i="1"/>
  <c r="F2223" i="1"/>
  <c r="D2223" i="1"/>
  <c r="G2222" i="1"/>
  <c r="F2222" i="1"/>
  <c r="D2222" i="1"/>
  <c r="G2221" i="1"/>
  <c r="F2221" i="1"/>
  <c r="D2221" i="1"/>
  <c r="G2220" i="1"/>
  <c r="F2220" i="1"/>
  <c r="D2220" i="1"/>
  <c r="G2219" i="1"/>
  <c r="F2219" i="1"/>
  <c r="D2219" i="1"/>
  <c r="G2218" i="1"/>
  <c r="F2218" i="1"/>
  <c r="D2218" i="1"/>
  <c r="G2217" i="1"/>
  <c r="F2217" i="1"/>
  <c r="D2217" i="1"/>
  <c r="G2216" i="1"/>
  <c r="F2216" i="1"/>
  <c r="D2216" i="1"/>
  <c r="G2215" i="1"/>
  <c r="F2215" i="1"/>
  <c r="D2215" i="1"/>
  <c r="G2214" i="1"/>
  <c r="F2214" i="1"/>
  <c r="D2214" i="1"/>
  <c r="G2213" i="1"/>
  <c r="F2213" i="1"/>
  <c r="D2213" i="1"/>
  <c r="G2212" i="1"/>
  <c r="F2212" i="1"/>
  <c r="D2212" i="1"/>
  <c r="G2211" i="1"/>
  <c r="F2211" i="1"/>
  <c r="D2211" i="1"/>
  <c r="G2210" i="1"/>
  <c r="F2210" i="1"/>
  <c r="D2210" i="1"/>
  <c r="H2209" i="1"/>
  <c r="G2208" i="1"/>
  <c r="F2208" i="1"/>
  <c r="D2208" i="1"/>
  <c r="G2207" i="1"/>
  <c r="F2207" i="1"/>
  <c r="D2207" i="1"/>
  <c r="G2206" i="1"/>
  <c r="F2206" i="1"/>
  <c r="D2206" i="1"/>
  <c r="G2205" i="1"/>
  <c r="F2205" i="1"/>
  <c r="D2205" i="1"/>
  <c r="G2204" i="1"/>
  <c r="F2204" i="1"/>
  <c r="D2204" i="1"/>
  <c r="G2203" i="1"/>
  <c r="F2203" i="1"/>
  <c r="D2203" i="1"/>
  <c r="G2202" i="1"/>
  <c r="F2202" i="1"/>
  <c r="D2202" i="1"/>
  <c r="G2201" i="1"/>
  <c r="F2201" i="1"/>
  <c r="D2201" i="1"/>
  <c r="G2200" i="1"/>
  <c r="F2200" i="1"/>
  <c r="D2200" i="1"/>
  <c r="G2199" i="1"/>
  <c r="F2199" i="1"/>
  <c r="D2199" i="1"/>
  <c r="H2198" i="1"/>
  <c r="G2197" i="1"/>
  <c r="F2197" i="1"/>
  <c r="D2197" i="1"/>
  <c r="H2197" i="1" s="1"/>
  <c r="G2196" i="1"/>
  <c r="F2196" i="1"/>
  <c r="D2196" i="1"/>
  <c r="G2195" i="1"/>
  <c r="F2195" i="1"/>
  <c r="D2195" i="1"/>
  <c r="G2194" i="1"/>
  <c r="F2194" i="1"/>
  <c r="D2194" i="1"/>
  <c r="G2193" i="1"/>
  <c r="F2193" i="1"/>
  <c r="D2193" i="1"/>
  <c r="H2193" i="1" s="1"/>
  <c r="G2192" i="1"/>
  <c r="F2192" i="1"/>
  <c r="D2192" i="1"/>
  <c r="G2191" i="1"/>
  <c r="F2191" i="1"/>
  <c r="D2191" i="1"/>
  <c r="G2190" i="1"/>
  <c r="F2190" i="1"/>
  <c r="D2190" i="1"/>
  <c r="H2189" i="1"/>
  <c r="G2188" i="1"/>
  <c r="F2188" i="1"/>
  <c r="H2188" i="1" s="1"/>
  <c r="D2188" i="1"/>
  <c r="G2187" i="1"/>
  <c r="F2187" i="1"/>
  <c r="D2187" i="1"/>
  <c r="G2186" i="1"/>
  <c r="F2186" i="1"/>
  <c r="D2186" i="1"/>
  <c r="G2185" i="1"/>
  <c r="F2185" i="1"/>
  <c r="D2185" i="1"/>
  <c r="G2184" i="1"/>
  <c r="F2184" i="1"/>
  <c r="D2184" i="1"/>
  <c r="G2183" i="1"/>
  <c r="F2183" i="1"/>
  <c r="D2183" i="1"/>
  <c r="G2182" i="1"/>
  <c r="F2182" i="1"/>
  <c r="D2182" i="1"/>
  <c r="G2181" i="1"/>
  <c r="F2181" i="1"/>
  <c r="D2181" i="1"/>
  <c r="G2180" i="1"/>
  <c r="F2180" i="1"/>
  <c r="D2180" i="1"/>
  <c r="G2179" i="1"/>
  <c r="F2179" i="1"/>
  <c r="D2179" i="1"/>
  <c r="G2178" i="1"/>
  <c r="F2178" i="1"/>
  <c r="D2178" i="1"/>
  <c r="G2177" i="1"/>
  <c r="F2177" i="1"/>
  <c r="D2177" i="1"/>
  <c r="G2176" i="1"/>
  <c r="F2176" i="1"/>
  <c r="D2176" i="1"/>
  <c r="G2175" i="1"/>
  <c r="F2175" i="1"/>
  <c r="D2175" i="1"/>
  <c r="G2174" i="1"/>
  <c r="F2174" i="1"/>
  <c r="D2174" i="1"/>
  <c r="G2173" i="1"/>
  <c r="F2173" i="1"/>
  <c r="D2173" i="1"/>
  <c r="G2172" i="1"/>
  <c r="F2172" i="1"/>
  <c r="D2172" i="1"/>
  <c r="H2171" i="1"/>
  <c r="G2170" i="1"/>
  <c r="F2170" i="1"/>
  <c r="D2170" i="1"/>
  <c r="G2169" i="1"/>
  <c r="F2169" i="1"/>
  <c r="D2169" i="1"/>
  <c r="G2168" i="1"/>
  <c r="F2168" i="1"/>
  <c r="D2168" i="1"/>
  <c r="G2167" i="1"/>
  <c r="F2167" i="1"/>
  <c r="D2167" i="1"/>
  <c r="G2166" i="1"/>
  <c r="F2166" i="1"/>
  <c r="D2166" i="1"/>
  <c r="G2165" i="1"/>
  <c r="F2165" i="1"/>
  <c r="D2165" i="1"/>
  <c r="G2164" i="1"/>
  <c r="F2164" i="1"/>
  <c r="D2164" i="1"/>
  <c r="H2164" i="1" s="1"/>
  <c r="G2163" i="1"/>
  <c r="F2163" i="1"/>
  <c r="D2163" i="1"/>
  <c r="G2162" i="1"/>
  <c r="F2162" i="1"/>
  <c r="D2162" i="1"/>
  <c r="G2161" i="1"/>
  <c r="F2161" i="1"/>
  <c r="D2161" i="1"/>
  <c r="G2160" i="1"/>
  <c r="F2160" i="1"/>
  <c r="D2160" i="1"/>
  <c r="G2159" i="1"/>
  <c r="F2159" i="1"/>
  <c r="D2159" i="1"/>
  <c r="G2158" i="1"/>
  <c r="F2158" i="1"/>
  <c r="D2158" i="1"/>
  <c r="G2157" i="1"/>
  <c r="F2157" i="1"/>
  <c r="D2157" i="1"/>
  <c r="G2156" i="1"/>
  <c r="F2156" i="1"/>
  <c r="D2156" i="1"/>
  <c r="G2155" i="1"/>
  <c r="F2155" i="1"/>
  <c r="D2155" i="1"/>
  <c r="H2154" i="1"/>
  <c r="G2153" i="1"/>
  <c r="F2153" i="1"/>
  <c r="D2153" i="1"/>
  <c r="G2152" i="1"/>
  <c r="F2152" i="1"/>
  <c r="D2152" i="1"/>
  <c r="G2151" i="1"/>
  <c r="F2151" i="1"/>
  <c r="D2151" i="1"/>
  <c r="G2150" i="1"/>
  <c r="F2150" i="1"/>
  <c r="D2150" i="1"/>
  <c r="G2149" i="1"/>
  <c r="F2149" i="1"/>
  <c r="D2149" i="1"/>
  <c r="G2148" i="1"/>
  <c r="F2148" i="1"/>
  <c r="D2148" i="1"/>
  <c r="G2147" i="1"/>
  <c r="F2147" i="1"/>
  <c r="D2147" i="1"/>
  <c r="G2146" i="1"/>
  <c r="F2146" i="1"/>
  <c r="D2146" i="1"/>
  <c r="G2145" i="1"/>
  <c r="F2145" i="1"/>
  <c r="D2145" i="1"/>
  <c r="G2144" i="1"/>
  <c r="F2144" i="1"/>
  <c r="D2144" i="1"/>
  <c r="G2143" i="1"/>
  <c r="F2143" i="1"/>
  <c r="D2143" i="1"/>
  <c r="G2142" i="1"/>
  <c r="F2142" i="1"/>
  <c r="D2142" i="1"/>
  <c r="H2142" i="1" s="1"/>
  <c r="G2141" i="1"/>
  <c r="F2141" i="1"/>
  <c r="D2141" i="1"/>
  <c r="G2140" i="1"/>
  <c r="F2140" i="1"/>
  <c r="D2140" i="1"/>
  <c r="G2139" i="1"/>
  <c r="F2139" i="1"/>
  <c r="D2139" i="1"/>
  <c r="G2138" i="1"/>
  <c r="F2138" i="1"/>
  <c r="D2138" i="1"/>
  <c r="H2137" i="1"/>
  <c r="G2136" i="1"/>
  <c r="F2136" i="1"/>
  <c r="D2136" i="1"/>
  <c r="H2136" i="1" s="1"/>
  <c r="G2135" i="1"/>
  <c r="F2135" i="1"/>
  <c r="D2135" i="1"/>
  <c r="G2134" i="1"/>
  <c r="F2134" i="1"/>
  <c r="D2134" i="1"/>
  <c r="H2134" i="1" s="1"/>
  <c r="G2133" i="1"/>
  <c r="F2133" i="1"/>
  <c r="D2133" i="1"/>
  <c r="G2132" i="1"/>
  <c r="F2132" i="1"/>
  <c r="D2132" i="1"/>
  <c r="G2131" i="1"/>
  <c r="F2131" i="1"/>
  <c r="D2131" i="1"/>
  <c r="H2131" i="1" s="1"/>
  <c r="G2130" i="1"/>
  <c r="F2130" i="1"/>
  <c r="D2130" i="1"/>
  <c r="H2129" i="1"/>
  <c r="G2128" i="1"/>
  <c r="F2128" i="1"/>
  <c r="D2128" i="1"/>
  <c r="G2127" i="1"/>
  <c r="F2127" i="1"/>
  <c r="D2127" i="1"/>
  <c r="G2126" i="1"/>
  <c r="F2126" i="1"/>
  <c r="D2126" i="1"/>
  <c r="G2125" i="1"/>
  <c r="F2125" i="1"/>
  <c r="D2125" i="1"/>
  <c r="H2125" i="1" s="1"/>
  <c r="G2124" i="1"/>
  <c r="F2124" i="1"/>
  <c r="D2124" i="1"/>
  <c r="G2123" i="1"/>
  <c r="F2123" i="1"/>
  <c r="D2123" i="1"/>
  <c r="G2122" i="1"/>
  <c r="F2122" i="1"/>
  <c r="D2122" i="1"/>
  <c r="G2121" i="1"/>
  <c r="F2121" i="1"/>
  <c r="D2121" i="1"/>
  <c r="G2120" i="1"/>
  <c r="F2120" i="1"/>
  <c r="D2120" i="1"/>
  <c r="G2119" i="1"/>
  <c r="H2119" i="1" s="1"/>
  <c r="F2119" i="1"/>
  <c r="D2119" i="1"/>
  <c r="G2118" i="1"/>
  <c r="F2118" i="1"/>
  <c r="D2118" i="1"/>
  <c r="H2117" i="1"/>
  <c r="G2116" i="1"/>
  <c r="F2116" i="1"/>
  <c r="D2116" i="1"/>
  <c r="G2115" i="1"/>
  <c r="F2115" i="1"/>
  <c r="D2115" i="1"/>
  <c r="H2115" i="1" s="1"/>
  <c r="G2114" i="1"/>
  <c r="F2114" i="1"/>
  <c r="D2114" i="1"/>
  <c r="G2113" i="1"/>
  <c r="F2113" i="1"/>
  <c r="D2113" i="1"/>
  <c r="G2112" i="1"/>
  <c r="F2112" i="1"/>
  <c r="D2112" i="1"/>
  <c r="G2111" i="1"/>
  <c r="F2111" i="1"/>
  <c r="D2111" i="1"/>
  <c r="G2110" i="1"/>
  <c r="F2110" i="1"/>
  <c r="D2110" i="1"/>
  <c r="G2109" i="1"/>
  <c r="F2109" i="1"/>
  <c r="D2109" i="1"/>
  <c r="G2108" i="1"/>
  <c r="F2108" i="1"/>
  <c r="D2108" i="1"/>
  <c r="G2107" i="1"/>
  <c r="F2107" i="1"/>
  <c r="D2107" i="1"/>
  <c r="G2106" i="1"/>
  <c r="F2106" i="1"/>
  <c r="D2106" i="1"/>
  <c r="H2105" i="1"/>
  <c r="G2104" i="1"/>
  <c r="F2104" i="1"/>
  <c r="D2104" i="1"/>
  <c r="G2103" i="1"/>
  <c r="F2103" i="1"/>
  <c r="D2103" i="1"/>
  <c r="G2102" i="1"/>
  <c r="F2102" i="1"/>
  <c r="D2102" i="1"/>
  <c r="G2101" i="1"/>
  <c r="F2101" i="1"/>
  <c r="D2101" i="1"/>
  <c r="G2100" i="1"/>
  <c r="F2100" i="1"/>
  <c r="D2100" i="1"/>
  <c r="G2099" i="1"/>
  <c r="F2099" i="1"/>
  <c r="D2099" i="1"/>
  <c r="G2098" i="1"/>
  <c r="F2098" i="1"/>
  <c r="D2098" i="1"/>
  <c r="H2097" i="1"/>
  <c r="G2096" i="1"/>
  <c r="F2096" i="1"/>
  <c r="D2096" i="1"/>
  <c r="G2095" i="1"/>
  <c r="F2095" i="1"/>
  <c r="D2095" i="1"/>
  <c r="G2094" i="1"/>
  <c r="F2094" i="1"/>
  <c r="D2094" i="1"/>
  <c r="H2094" i="1" s="1"/>
  <c r="G2093" i="1"/>
  <c r="F2093" i="1"/>
  <c r="D2093" i="1"/>
  <c r="G2092" i="1"/>
  <c r="F2092" i="1"/>
  <c r="D2092" i="1"/>
  <c r="H2092" i="1" s="1"/>
  <c r="G2091" i="1"/>
  <c r="F2091" i="1"/>
  <c r="D2091" i="1"/>
  <c r="H2091" i="1" s="1"/>
  <c r="G2090" i="1"/>
  <c r="F2090" i="1"/>
  <c r="D2090" i="1"/>
  <c r="G2089" i="1"/>
  <c r="F2089" i="1"/>
  <c r="D2089" i="1"/>
  <c r="H2089" i="1" s="1"/>
  <c r="G2088" i="1"/>
  <c r="F2088" i="1"/>
  <c r="D2088" i="1"/>
  <c r="G2087" i="1"/>
  <c r="F2087" i="1"/>
  <c r="D2087" i="1"/>
  <c r="H2087" i="1" s="1"/>
  <c r="G2086" i="1"/>
  <c r="F2086" i="1"/>
  <c r="D2086" i="1"/>
  <c r="H2085" i="1"/>
  <c r="G2084" i="1"/>
  <c r="F2084" i="1"/>
  <c r="D2084" i="1"/>
  <c r="G2083" i="1"/>
  <c r="F2083" i="1"/>
  <c r="D2083" i="1"/>
  <c r="G2082" i="1"/>
  <c r="F2082" i="1"/>
  <c r="D2082" i="1"/>
  <c r="G2081" i="1"/>
  <c r="F2081" i="1"/>
  <c r="D2081" i="1"/>
  <c r="H2081" i="1" s="1"/>
  <c r="G2080" i="1"/>
  <c r="F2080" i="1"/>
  <c r="D2080" i="1"/>
  <c r="G2079" i="1"/>
  <c r="F2079" i="1"/>
  <c r="D2079" i="1"/>
  <c r="G2078" i="1"/>
  <c r="F2078" i="1"/>
  <c r="D2078" i="1"/>
  <c r="G2077" i="1"/>
  <c r="F2077" i="1"/>
  <c r="D2077" i="1"/>
  <c r="G2076" i="1"/>
  <c r="F2076" i="1"/>
  <c r="D2076" i="1"/>
  <c r="G2075" i="1"/>
  <c r="F2075" i="1"/>
  <c r="D2075" i="1"/>
  <c r="G2074" i="1"/>
  <c r="F2074" i="1"/>
  <c r="D2074" i="1"/>
  <c r="H2073" i="1"/>
  <c r="G2072" i="1"/>
  <c r="F2072" i="1"/>
  <c r="D2072" i="1"/>
  <c r="G2071" i="1"/>
  <c r="F2071" i="1"/>
  <c r="D2071" i="1"/>
  <c r="G2070" i="1"/>
  <c r="F2070" i="1"/>
  <c r="D2070" i="1"/>
  <c r="G2069" i="1"/>
  <c r="F2069" i="1"/>
  <c r="D2069" i="1"/>
  <c r="G2068" i="1"/>
  <c r="F2068" i="1"/>
  <c r="D2068" i="1"/>
  <c r="H2068" i="1" s="1"/>
  <c r="G2067" i="1"/>
  <c r="F2067" i="1"/>
  <c r="D2067" i="1"/>
  <c r="G2066" i="1"/>
  <c r="F2066" i="1"/>
  <c r="D2066" i="1"/>
  <c r="H2065" i="1"/>
  <c r="G2064" i="1"/>
  <c r="F2064" i="1"/>
  <c r="D2064" i="1"/>
  <c r="G2063" i="1"/>
  <c r="F2063" i="1"/>
  <c r="D2063" i="1"/>
  <c r="G2062" i="1"/>
  <c r="F2062" i="1"/>
  <c r="D2062" i="1"/>
  <c r="H2062" i="1" s="1"/>
  <c r="G2061" i="1"/>
  <c r="F2061" i="1"/>
  <c r="D2061" i="1"/>
  <c r="G2060" i="1"/>
  <c r="F2060" i="1"/>
  <c r="D2060" i="1"/>
  <c r="G2059" i="1"/>
  <c r="F2059" i="1"/>
  <c r="D2059" i="1"/>
  <c r="G2058" i="1"/>
  <c r="F2058" i="1"/>
  <c r="D2058" i="1"/>
  <c r="G2057" i="1"/>
  <c r="F2057" i="1"/>
  <c r="D2057" i="1"/>
  <c r="G2056" i="1"/>
  <c r="F2056" i="1"/>
  <c r="D2056" i="1"/>
  <c r="G2055" i="1"/>
  <c r="F2055" i="1"/>
  <c r="D2055" i="1"/>
  <c r="G2054" i="1"/>
  <c r="F2054" i="1"/>
  <c r="D2054" i="1"/>
  <c r="H2053" i="1"/>
  <c r="G2052" i="1"/>
  <c r="F2052" i="1"/>
  <c r="D2052" i="1"/>
  <c r="H2052" i="1" s="1"/>
  <c r="G2051" i="1"/>
  <c r="F2051" i="1"/>
  <c r="D2051" i="1"/>
  <c r="G2050" i="1"/>
  <c r="F2050" i="1"/>
  <c r="D2050" i="1"/>
  <c r="G2049" i="1"/>
  <c r="F2049" i="1"/>
  <c r="D2049" i="1"/>
  <c r="G2048" i="1"/>
  <c r="F2048" i="1"/>
  <c r="D2048" i="1"/>
  <c r="G2047" i="1"/>
  <c r="F2047" i="1"/>
  <c r="D2047" i="1"/>
  <c r="H2047" i="1" s="1"/>
  <c r="G2046" i="1"/>
  <c r="F2046" i="1"/>
  <c r="D2046" i="1"/>
  <c r="H2045" i="1"/>
  <c r="G2044" i="1"/>
  <c r="F2044" i="1"/>
  <c r="D2044" i="1"/>
  <c r="G2043" i="1"/>
  <c r="F2043" i="1"/>
  <c r="D2043" i="1"/>
  <c r="G2042" i="1"/>
  <c r="F2042" i="1"/>
  <c r="D2042" i="1"/>
  <c r="G2041" i="1"/>
  <c r="F2041" i="1"/>
  <c r="D2041" i="1"/>
  <c r="H2041" i="1" s="1"/>
  <c r="G2040" i="1"/>
  <c r="F2040" i="1"/>
  <c r="D2040" i="1"/>
  <c r="G2039" i="1"/>
  <c r="F2039" i="1"/>
  <c r="D2039" i="1"/>
  <c r="G2038" i="1"/>
  <c r="F2038" i="1"/>
  <c r="D2038" i="1"/>
  <c r="G2037" i="1"/>
  <c r="F2037" i="1"/>
  <c r="D2037" i="1"/>
  <c r="G2036" i="1"/>
  <c r="F2036" i="1"/>
  <c r="D2036" i="1"/>
  <c r="G2035" i="1"/>
  <c r="F2035" i="1"/>
  <c r="D2035" i="1"/>
  <c r="G2034" i="1"/>
  <c r="F2034" i="1"/>
  <c r="D2034" i="1"/>
  <c r="H2033" i="1"/>
  <c r="G2032" i="1"/>
  <c r="F2032" i="1"/>
  <c r="D2032" i="1"/>
  <c r="G2031" i="1"/>
  <c r="F2031" i="1"/>
  <c r="D2031" i="1"/>
  <c r="G2030" i="1"/>
  <c r="F2030" i="1"/>
  <c r="D2030" i="1"/>
  <c r="G2029" i="1"/>
  <c r="F2029" i="1"/>
  <c r="D2029" i="1"/>
  <c r="G2028" i="1"/>
  <c r="F2028" i="1"/>
  <c r="D2028" i="1"/>
  <c r="G2027" i="1"/>
  <c r="F2027" i="1"/>
  <c r="D2027" i="1"/>
  <c r="G2026" i="1"/>
  <c r="F2026" i="1"/>
  <c r="D2026" i="1"/>
  <c r="H2025" i="1"/>
  <c r="G2024" i="1"/>
  <c r="F2024" i="1"/>
  <c r="D2024" i="1"/>
  <c r="G2023" i="1"/>
  <c r="F2023" i="1"/>
  <c r="D2023" i="1"/>
  <c r="G2022" i="1"/>
  <c r="F2022" i="1"/>
  <c r="D2022" i="1"/>
  <c r="G2021" i="1"/>
  <c r="F2021" i="1"/>
  <c r="D2021" i="1"/>
  <c r="G2020" i="1"/>
  <c r="F2020" i="1"/>
  <c r="D2020" i="1"/>
  <c r="G2019" i="1"/>
  <c r="F2019" i="1"/>
  <c r="D2019" i="1"/>
  <c r="G2018" i="1"/>
  <c r="F2018" i="1"/>
  <c r="D2018" i="1"/>
  <c r="G2017" i="1"/>
  <c r="F2017" i="1"/>
  <c r="D2017" i="1"/>
  <c r="G2016" i="1"/>
  <c r="F2016" i="1"/>
  <c r="D2016" i="1"/>
  <c r="G2015" i="1"/>
  <c r="F2015" i="1"/>
  <c r="D2015" i="1"/>
  <c r="G2014" i="1"/>
  <c r="F2014" i="1"/>
  <c r="D2014" i="1"/>
  <c r="H2013" i="1"/>
  <c r="G2012" i="1"/>
  <c r="F2012" i="1"/>
  <c r="D2012" i="1"/>
  <c r="G2011" i="1"/>
  <c r="F2011" i="1"/>
  <c r="D2011" i="1"/>
  <c r="G2010" i="1"/>
  <c r="F2010" i="1"/>
  <c r="D2010" i="1"/>
  <c r="G2009" i="1"/>
  <c r="F2009" i="1"/>
  <c r="D2009" i="1"/>
  <c r="G2008" i="1"/>
  <c r="F2008" i="1"/>
  <c r="D2008" i="1"/>
  <c r="G2007" i="1"/>
  <c r="F2007" i="1"/>
  <c r="D2007" i="1"/>
  <c r="G2006" i="1"/>
  <c r="F2006" i="1"/>
  <c r="D2006" i="1"/>
  <c r="G2005" i="1"/>
  <c r="F2005" i="1"/>
  <c r="D2005" i="1"/>
  <c r="G2004" i="1"/>
  <c r="F2004" i="1"/>
  <c r="D2004" i="1"/>
  <c r="G2003" i="1"/>
  <c r="F2003" i="1"/>
  <c r="D2003" i="1"/>
  <c r="G2002" i="1"/>
  <c r="F2002" i="1"/>
  <c r="D2002" i="1"/>
  <c r="H2001" i="1"/>
  <c r="G2000" i="1"/>
  <c r="F2000" i="1"/>
  <c r="D2000" i="1"/>
  <c r="G1999" i="1"/>
  <c r="F1999" i="1"/>
  <c r="D1999" i="1"/>
  <c r="G1998" i="1"/>
  <c r="F1998" i="1"/>
  <c r="D1998" i="1"/>
  <c r="G1997" i="1"/>
  <c r="F1997" i="1"/>
  <c r="D1997" i="1"/>
  <c r="G1996" i="1"/>
  <c r="F1996" i="1"/>
  <c r="D1996" i="1"/>
  <c r="G1995" i="1"/>
  <c r="F1995" i="1"/>
  <c r="D1995" i="1"/>
  <c r="G1994" i="1"/>
  <c r="F1994" i="1"/>
  <c r="D1994" i="1"/>
  <c r="G1993" i="1"/>
  <c r="F1993" i="1"/>
  <c r="D1993" i="1"/>
  <c r="G1992" i="1"/>
  <c r="F1992" i="1"/>
  <c r="D1992" i="1"/>
  <c r="G1991" i="1"/>
  <c r="F1991" i="1"/>
  <c r="D1991" i="1"/>
  <c r="G1990" i="1"/>
  <c r="F1990" i="1"/>
  <c r="D1990" i="1"/>
  <c r="H1989" i="1"/>
  <c r="G1988" i="1"/>
  <c r="F1988" i="1"/>
  <c r="D1988" i="1"/>
  <c r="G1987" i="1"/>
  <c r="F1987" i="1"/>
  <c r="D1987" i="1"/>
  <c r="G1986" i="1"/>
  <c r="F1986" i="1"/>
  <c r="D1986" i="1"/>
  <c r="G1985" i="1"/>
  <c r="F1985" i="1"/>
  <c r="D1985" i="1"/>
  <c r="G1984" i="1"/>
  <c r="F1984" i="1"/>
  <c r="D1984" i="1"/>
  <c r="G1983" i="1"/>
  <c r="F1983" i="1"/>
  <c r="D1983" i="1"/>
  <c r="G1982" i="1"/>
  <c r="F1982" i="1"/>
  <c r="D1982" i="1"/>
  <c r="G1981" i="1"/>
  <c r="F1981" i="1"/>
  <c r="D1981" i="1"/>
  <c r="G1980" i="1"/>
  <c r="F1980" i="1"/>
  <c r="D1980" i="1"/>
  <c r="G1979" i="1"/>
  <c r="F1979" i="1"/>
  <c r="D1979" i="1"/>
  <c r="G1978" i="1"/>
  <c r="F1978" i="1"/>
  <c r="D1978" i="1"/>
  <c r="H1977" i="1"/>
  <c r="G1976" i="1"/>
  <c r="F1976" i="1"/>
  <c r="D1976" i="1"/>
  <c r="G1975" i="1"/>
  <c r="F1975" i="1"/>
  <c r="D1975" i="1"/>
  <c r="G1974" i="1"/>
  <c r="F1974" i="1"/>
  <c r="D1974" i="1"/>
  <c r="G1973" i="1"/>
  <c r="F1973" i="1"/>
  <c r="D1973" i="1"/>
  <c r="G1972" i="1"/>
  <c r="F1972" i="1"/>
  <c r="D1972" i="1"/>
  <c r="G1971" i="1"/>
  <c r="F1971" i="1"/>
  <c r="D1971" i="1"/>
  <c r="G1970" i="1"/>
  <c r="F1970" i="1"/>
  <c r="D1970" i="1"/>
  <c r="G1969" i="1"/>
  <c r="F1969" i="1"/>
  <c r="D1969" i="1"/>
  <c r="G1968" i="1"/>
  <c r="F1968" i="1"/>
  <c r="D1968" i="1"/>
  <c r="G1967" i="1"/>
  <c r="F1967" i="1"/>
  <c r="D1967" i="1"/>
  <c r="G1966" i="1"/>
  <c r="F1966" i="1"/>
  <c r="D1966" i="1"/>
  <c r="H1965" i="1"/>
  <c r="G1964" i="1"/>
  <c r="F1964" i="1"/>
  <c r="D1964" i="1"/>
  <c r="G1963" i="1"/>
  <c r="F1963" i="1"/>
  <c r="D1963" i="1"/>
  <c r="G1962" i="1"/>
  <c r="F1962" i="1"/>
  <c r="D1962" i="1"/>
  <c r="G1961" i="1"/>
  <c r="F1961" i="1"/>
  <c r="D1961" i="1"/>
  <c r="G1960" i="1"/>
  <c r="F1960" i="1"/>
  <c r="D1960" i="1"/>
  <c r="G1959" i="1"/>
  <c r="F1959" i="1"/>
  <c r="D1959" i="1"/>
  <c r="G1958" i="1"/>
  <c r="F1958" i="1"/>
  <c r="D1958" i="1"/>
  <c r="H1957" i="1"/>
  <c r="G1956" i="1"/>
  <c r="F1956" i="1"/>
  <c r="D1956" i="1"/>
  <c r="G1955" i="1"/>
  <c r="F1955" i="1"/>
  <c r="D1955" i="1"/>
  <c r="G1954" i="1"/>
  <c r="F1954" i="1"/>
  <c r="D1954" i="1"/>
  <c r="G1953" i="1"/>
  <c r="F1953" i="1"/>
  <c r="D1953" i="1"/>
  <c r="G1952" i="1"/>
  <c r="F1952" i="1"/>
  <c r="D1952" i="1"/>
  <c r="G1951" i="1"/>
  <c r="F1951" i="1"/>
  <c r="D1951" i="1"/>
  <c r="G1950" i="1"/>
  <c r="F1950" i="1"/>
  <c r="D1950" i="1"/>
  <c r="G1949" i="1"/>
  <c r="F1949" i="1"/>
  <c r="D1949" i="1"/>
  <c r="H1949" i="1" s="1"/>
  <c r="G1948" i="1"/>
  <c r="F1948" i="1"/>
  <c r="D1948" i="1"/>
  <c r="G1947" i="1"/>
  <c r="F1947" i="1"/>
  <c r="D1947" i="1"/>
  <c r="G1946" i="1"/>
  <c r="F1946" i="1"/>
  <c r="D1946" i="1"/>
  <c r="H1945" i="1"/>
  <c r="G1944" i="1"/>
  <c r="F1944" i="1"/>
  <c r="D1944" i="1"/>
  <c r="G1943" i="1"/>
  <c r="F1943" i="1"/>
  <c r="D1943" i="1"/>
  <c r="H1943" i="1" s="1"/>
  <c r="G1942" i="1"/>
  <c r="F1942" i="1"/>
  <c r="D1942" i="1"/>
  <c r="H1942" i="1" s="1"/>
  <c r="G1941" i="1"/>
  <c r="F1941" i="1"/>
  <c r="D1941" i="1"/>
  <c r="G1940" i="1"/>
  <c r="F1940" i="1"/>
  <c r="D1940" i="1"/>
  <c r="G1939" i="1"/>
  <c r="F1939" i="1"/>
  <c r="D1939" i="1"/>
  <c r="G1938" i="1"/>
  <c r="F1938" i="1"/>
  <c r="D1938" i="1"/>
  <c r="H1938" i="1" s="1"/>
  <c r="H1937" i="1"/>
  <c r="G1936" i="1"/>
  <c r="F1936" i="1"/>
  <c r="D1936" i="1"/>
  <c r="G1935" i="1"/>
  <c r="F1935" i="1"/>
  <c r="D1935" i="1"/>
  <c r="G1934" i="1"/>
  <c r="F1934" i="1"/>
  <c r="D1934" i="1"/>
  <c r="G1933" i="1"/>
  <c r="F1933" i="1"/>
  <c r="D1933" i="1"/>
  <c r="G1932" i="1"/>
  <c r="F1932" i="1"/>
  <c r="D1932" i="1"/>
  <c r="G1931" i="1"/>
  <c r="F1931" i="1"/>
  <c r="D1931" i="1"/>
  <c r="G1930" i="1"/>
  <c r="F1930" i="1"/>
  <c r="D1930" i="1"/>
  <c r="G1929" i="1"/>
  <c r="F1929" i="1"/>
  <c r="D1929" i="1"/>
  <c r="G1928" i="1"/>
  <c r="F1928" i="1"/>
  <c r="D1928" i="1"/>
  <c r="G1927" i="1"/>
  <c r="F1927" i="1"/>
  <c r="D1927" i="1"/>
  <c r="G1926" i="1"/>
  <c r="F1926" i="1"/>
  <c r="D1926" i="1"/>
  <c r="H1925" i="1"/>
  <c r="G1924" i="1"/>
  <c r="F1924" i="1"/>
  <c r="D1924" i="1"/>
  <c r="G1923" i="1"/>
  <c r="F1923" i="1"/>
  <c r="D1923" i="1"/>
  <c r="G1922" i="1"/>
  <c r="F1922" i="1"/>
  <c r="D1922" i="1"/>
  <c r="G1921" i="1"/>
  <c r="F1921" i="1"/>
  <c r="D1921" i="1"/>
  <c r="G1920" i="1"/>
  <c r="F1920" i="1"/>
  <c r="D1920" i="1"/>
  <c r="G1919" i="1"/>
  <c r="F1919" i="1"/>
  <c r="D1919" i="1"/>
  <c r="G1918" i="1"/>
  <c r="F1918" i="1"/>
  <c r="D1918" i="1"/>
  <c r="H1917" i="1"/>
  <c r="G1916" i="1"/>
  <c r="F1916" i="1"/>
  <c r="D1916" i="1"/>
  <c r="H1916" i="1" s="1"/>
  <c r="G1915" i="1"/>
  <c r="F1915" i="1"/>
  <c r="D1915" i="1"/>
  <c r="G1914" i="1"/>
  <c r="F1914" i="1"/>
  <c r="D1914" i="1"/>
  <c r="G1913" i="1"/>
  <c r="F1913" i="1"/>
  <c r="D1913" i="1"/>
  <c r="G1912" i="1"/>
  <c r="F1912" i="1"/>
  <c r="D1912" i="1"/>
  <c r="G1911" i="1"/>
  <c r="F1911" i="1"/>
  <c r="D1911" i="1"/>
  <c r="G1910" i="1"/>
  <c r="F1910" i="1"/>
  <c r="D1910" i="1"/>
  <c r="G1909" i="1"/>
  <c r="F1909" i="1"/>
  <c r="D1909" i="1"/>
  <c r="G1908" i="1"/>
  <c r="F1908" i="1"/>
  <c r="D1908" i="1"/>
  <c r="G1907" i="1"/>
  <c r="F1907" i="1"/>
  <c r="D1907" i="1"/>
  <c r="G1906" i="1"/>
  <c r="F1906" i="1"/>
  <c r="D1906" i="1"/>
  <c r="H1905" i="1"/>
  <c r="G1904" i="1"/>
  <c r="H1904" i="1" s="1"/>
  <c r="F1904" i="1"/>
  <c r="D1904" i="1"/>
  <c r="G1903" i="1"/>
  <c r="F1903" i="1"/>
  <c r="D1903" i="1"/>
  <c r="G1902" i="1"/>
  <c r="F1902" i="1"/>
  <c r="D1902" i="1"/>
  <c r="G1901" i="1"/>
  <c r="F1901" i="1"/>
  <c r="D1901" i="1"/>
  <c r="G1900" i="1"/>
  <c r="F1900" i="1"/>
  <c r="D1900" i="1"/>
  <c r="G1899" i="1"/>
  <c r="F1899" i="1"/>
  <c r="H1899" i="1" s="1"/>
  <c r="D1899" i="1"/>
  <c r="G1898" i="1"/>
  <c r="F1898" i="1"/>
  <c r="D1898" i="1"/>
  <c r="H1898" i="1" s="1"/>
  <c r="H1897" i="1"/>
  <c r="G1896" i="1"/>
  <c r="F1896" i="1"/>
  <c r="D1896" i="1"/>
  <c r="G1895" i="1"/>
  <c r="F1895" i="1"/>
  <c r="D1895" i="1"/>
  <c r="G1894" i="1"/>
  <c r="F1894" i="1"/>
  <c r="D1894" i="1"/>
  <c r="G1893" i="1"/>
  <c r="F1893" i="1"/>
  <c r="D1893" i="1"/>
  <c r="G1892" i="1"/>
  <c r="F1892" i="1"/>
  <c r="D1892" i="1"/>
  <c r="G1891" i="1"/>
  <c r="F1891" i="1"/>
  <c r="D1891" i="1"/>
  <c r="G1890" i="1"/>
  <c r="F1890" i="1"/>
  <c r="D1890" i="1"/>
  <c r="H1890" i="1" s="1"/>
  <c r="G1889" i="1"/>
  <c r="F1889" i="1"/>
  <c r="D1889" i="1"/>
  <c r="G1888" i="1"/>
  <c r="F1888" i="1"/>
  <c r="D1888" i="1"/>
  <c r="G1887" i="1"/>
  <c r="F1887" i="1"/>
  <c r="D1887" i="1"/>
  <c r="G1886" i="1"/>
  <c r="F1886" i="1"/>
  <c r="D1886" i="1"/>
  <c r="H1885" i="1"/>
  <c r="G1884" i="1"/>
  <c r="F1884" i="1"/>
  <c r="D1884" i="1"/>
  <c r="H1884" i="1" s="1"/>
  <c r="G1883" i="1"/>
  <c r="F1883" i="1"/>
  <c r="D1883" i="1"/>
  <c r="G1882" i="1"/>
  <c r="F1882" i="1"/>
  <c r="D1882" i="1"/>
  <c r="G1881" i="1"/>
  <c r="F1881" i="1"/>
  <c r="D1881" i="1"/>
  <c r="G1880" i="1"/>
  <c r="F1880" i="1"/>
  <c r="D1880" i="1"/>
  <c r="G1879" i="1"/>
  <c r="F1879" i="1"/>
  <c r="D1879" i="1"/>
  <c r="G1878" i="1"/>
  <c r="F1878" i="1"/>
  <c r="D1878" i="1"/>
  <c r="H1877" i="1"/>
  <c r="G1876" i="1"/>
  <c r="F1876" i="1"/>
  <c r="D1876" i="1"/>
  <c r="G1875" i="1"/>
  <c r="F1875" i="1"/>
  <c r="D1875" i="1"/>
  <c r="G1874" i="1"/>
  <c r="F1874" i="1"/>
  <c r="D1874" i="1"/>
  <c r="G1873" i="1"/>
  <c r="F1873" i="1"/>
  <c r="D1873" i="1"/>
  <c r="G1872" i="1"/>
  <c r="F1872" i="1"/>
  <c r="D1872" i="1"/>
  <c r="G1871" i="1"/>
  <c r="F1871" i="1"/>
  <c r="D1871" i="1"/>
  <c r="G1870" i="1"/>
  <c r="F1870" i="1"/>
  <c r="D1870" i="1"/>
  <c r="G1869" i="1"/>
  <c r="F1869" i="1"/>
  <c r="D1869" i="1"/>
  <c r="G1868" i="1"/>
  <c r="F1868" i="1"/>
  <c r="D1868" i="1"/>
  <c r="G1867" i="1"/>
  <c r="F1867" i="1"/>
  <c r="D1867" i="1"/>
  <c r="G1866" i="1"/>
  <c r="F1866" i="1"/>
  <c r="D1866" i="1"/>
  <c r="H1865" i="1"/>
  <c r="G1864" i="1"/>
  <c r="F1864" i="1"/>
  <c r="D1864" i="1"/>
  <c r="G1863" i="1"/>
  <c r="F1863" i="1"/>
  <c r="D1863" i="1"/>
  <c r="G1862" i="1"/>
  <c r="F1862" i="1"/>
  <c r="D1862" i="1"/>
  <c r="G1861" i="1"/>
  <c r="F1861" i="1"/>
  <c r="D1861" i="1"/>
  <c r="G1860" i="1"/>
  <c r="F1860" i="1"/>
  <c r="D1860" i="1"/>
  <c r="G1859" i="1"/>
  <c r="F1859" i="1"/>
  <c r="D1859" i="1"/>
  <c r="G1858" i="1"/>
  <c r="F1858" i="1"/>
  <c r="D1858" i="1"/>
  <c r="G1857" i="1"/>
  <c r="F1857" i="1"/>
  <c r="D1857" i="1"/>
  <c r="G1856" i="1"/>
  <c r="F1856" i="1"/>
  <c r="D1856" i="1"/>
  <c r="G1855" i="1"/>
  <c r="F1855" i="1"/>
  <c r="D1855" i="1"/>
  <c r="G1854" i="1"/>
  <c r="F1854" i="1"/>
  <c r="D1854" i="1"/>
  <c r="H1853" i="1"/>
  <c r="G1852" i="1"/>
  <c r="F1852" i="1"/>
  <c r="D1852" i="1"/>
  <c r="H1852" i="1" s="1"/>
  <c r="G1851" i="1"/>
  <c r="F1851" i="1"/>
  <c r="D1851" i="1"/>
  <c r="G1850" i="1"/>
  <c r="F1850" i="1"/>
  <c r="D1850" i="1"/>
  <c r="G1849" i="1"/>
  <c r="F1849" i="1"/>
  <c r="D1849" i="1"/>
  <c r="G1848" i="1"/>
  <c r="F1848" i="1"/>
  <c r="D1848" i="1"/>
  <c r="G1847" i="1"/>
  <c r="F1847" i="1"/>
  <c r="D1847" i="1"/>
  <c r="G1846" i="1"/>
  <c r="F1846" i="1"/>
  <c r="D1846" i="1"/>
  <c r="H1845" i="1"/>
  <c r="G1844" i="1"/>
  <c r="F1844" i="1"/>
  <c r="D1844" i="1"/>
  <c r="H1844" i="1" s="1"/>
  <c r="G1843" i="1"/>
  <c r="F1843" i="1"/>
  <c r="D1843" i="1"/>
  <c r="G1842" i="1"/>
  <c r="F1842" i="1"/>
  <c r="D1842" i="1"/>
  <c r="G1841" i="1"/>
  <c r="F1841" i="1"/>
  <c r="D1841" i="1"/>
  <c r="G1840" i="1"/>
  <c r="F1840" i="1"/>
  <c r="D1840" i="1"/>
  <c r="G1839" i="1"/>
  <c r="F1839" i="1"/>
  <c r="D1839" i="1"/>
  <c r="G1838" i="1"/>
  <c r="F1838" i="1"/>
  <c r="D1838" i="1"/>
  <c r="G1837" i="1"/>
  <c r="F1837" i="1"/>
  <c r="D1837" i="1"/>
  <c r="G1836" i="1"/>
  <c r="F1836" i="1"/>
  <c r="D1836" i="1"/>
  <c r="G1835" i="1"/>
  <c r="F1835" i="1"/>
  <c r="D1835" i="1"/>
  <c r="G1834" i="1"/>
  <c r="F1834" i="1"/>
  <c r="D1834" i="1"/>
  <c r="H1833" i="1"/>
  <c r="G1832" i="1"/>
  <c r="F1832" i="1"/>
  <c r="D1832" i="1"/>
  <c r="G1831" i="1"/>
  <c r="F1831" i="1"/>
  <c r="D1831" i="1"/>
  <c r="G1830" i="1"/>
  <c r="F1830" i="1"/>
  <c r="D1830" i="1"/>
  <c r="G1829" i="1"/>
  <c r="F1829" i="1"/>
  <c r="D1829" i="1"/>
  <c r="G1828" i="1"/>
  <c r="F1828" i="1"/>
  <c r="D1828" i="1"/>
  <c r="G1827" i="1"/>
  <c r="F1827" i="1"/>
  <c r="D1827" i="1"/>
  <c r="G1826" i="1"/>
  <c r="F1826" i="1"/>
  <c r="D1826" i="1"/>
  <c r="G1825" i="1"/>
  <c r="F1825" i="1"/>
  <c r="D1825" i="1"/>
  <c r="G1824" i="1"/>
  <c r="F1824" i="1"/>
  <c r="D1824" i="1"/>
  <c r="G1823" i="1"/>
  <c r="F1823" i="1"/>
  <c r="D1823" i="1"/>
  <c r="G1822" i="1"/>
  <c r="F1822" i="1"/>
  <c r="D1822" i="1"/>
  <c r="H1821" i="1"/>
  <c r="G1820" i="1"/>
  <c r="F1820" i="1"/>
  <c r="D1820" i="1"/>
  <c r="G1819" i="1"/>
  <c r="F1819" i="1"/>
  <c r="D1819" i="1"/>
  <c r="G1818" i="1"/>
  <c r="F1818" i="1"/>
  <c r="D1818" i="1"/>
  <c r="G1817" i="1"/>
  <c r="F1817" i="1"/>
  <c r="D1817" i="1"/>
  <c r="G1816" i="1"/>
  <c r="F1816" i="1"/>
  <c r="D1816" i="1"/>
  <c r="G1815" i="1"/>
  <c r="F1815" i="1"/>
  <c r="D1815" i="1"/>
  <c r="G1814" i="1"/>
  <c r="F1814" i="1"/>
  <c r="D1814" i="1"/>
  <c r="G1813" i="1"/>
  <c r="F1813" i="1"/>
  <c r="D1813" i="1"/>
  <c r="G1812" i="1"/>
  <c r="F1812" i="1"/>
  <c r="D1812" i="1"/>
  <c r="G1811" i="1"/>
  <c r="F1811" i="1"/>
  <c r="D1811" i="1"/>
  <c r="G1810" i="1"/>
  <c r="F1810" i="1"/>
  <c r="D1810" i="1"/>
  <c r="H1809" i="1"/>
  <c r="G1808" i="1"/>
  <c r="F1808" i="1"/>
  <c r="D1808" i="1"/>
  <c r="G1807" i="1"/>
  <c r="F1807" i="1"/>
  <c r="D1807" i="1"/>
  <c r="G1806" i="1"/>
  <c r="F1806" i="1"/>
  <c r="D1806" i="1"/>
  <c r="G1805" i="1"/>
  <c r="F1805" i="1"/>
  <c r="D1805" i="1"/>
  <c r="H1805" i="1" s="1"/>
  <c r="G1804" i="1"/>
  <c r="F1804" i="1"/>
  <c r="D1804" i="1"/>
  <c r="G1803" i="1"/>
  <c r="F1803" i="1"/>
  <c r="D1803" i="1"/>
  <c r="G1802" i="1"/>
  <c r="F1802" i="1"/>
  <c r="D1802" i="1"/>
  <c r="H1801" i="1"/>
  <c r="G1800" i="1"/>
  <c r="F1800" i="1"/>
  <c r="D1800" i="1"/>
  <c r="G1799" i="1"/>
  <c r="F1799" i="1"/>
  <c r="D1799" i="1"/>
  <c r="G1798" i="1"/>
  <c r="F1798" i="1"/>
  <c r="D1798" i="1"/>
  <c r="G1797" i="1"/>
  <c r="F1797" i="1"/>
  <c r="D1797" i="1"/>
  <c r="G1796" i="1"/>
  <c r="F1796" i="1"/>
  <c r="D1796" i="1"/>
  <c r="G1795" i="1"/>
  <c r="F1795" i="1"/>
  <c r="D1795" i="1"/>
  <c r="G1794" i="1"/>
  <c r="F1794" i="1"/>
  <c r="D1794" i="1"/>
  <c r="G1793" i="1"/>
  <c r="F1793" i="1"/>
  <c r="D1793" i="1"/>
  <c r="G1792" i="1"/>
  <c r="F1792" i="1"/>
  <c r="D1792" i="1"/>
  <c r="G1791" i="1"/>
  <c r="F1791" i="1"/>
  <c r="D1791" i="1"/>
  <c r="G1790" i="1"/>
  <c r="F1790" i="1"/>
  <c r="D1790" i="1"/>
  <c r="H1789" i="1"/>
  <c r="G1788" i="1"/>
  <c r="F1788" i="1"/>
  <c r="D1788" i="1"/>
  <c r="G1787" i="1"/>
  <c r="F1787" i="1"/>
  <c r="D1787" i="1"/>
  <c r="G1786" i="1"/>
  <c r="F1786" i="1"/>
  <c r="D1786" i="1"/>
  <c r="G1785" i="1"/>
  <c r="F1785" i="1"/>
  <c r="D1785" i="1"/>
  <c r="G1784" i="1"/>
  <c r="F1784" i="1"/>
  <c r="D1784" i="1"/>
  <c r="G1783" i="1"/>
  <c r="F1783" i="1"/>
  <c r="D1783" i="1"/>
  <c r="G1782" i="1"/>
  <c r="F1782" i="1"/>
  <c r="D1782" i="1"/>
  <c r="H1781" i="1"/>
  <c r="G1780" i="1"/>
  <c r="F1780" i="1"/>
  <c r="D1780" i="1"/>
  <c r="G1779" i="1"/>
  <c r="F1779" i="1"/>
  <c r="D1779" i="1"/>
  <c r="G1778" i="1"/>
  <c r="F1778" i="1"/>
  <c r="D1778" i="1"/>
  <c r="G1777" i="1"/>
  <c r="F1777" i="1"/>
  <c r="D1777" i="1"/>
  <c r="G1776" i="1"/>
  <c r="F1776" i="1"/>
  <c r="D1776" i="1"/>
  <c r="G1775" i="1"/>
  <c r="F1775" i="1"/>
  <c r="D1775" i="1"/>
  <c r="G1774" i="1"/>
  <c r="F1774" i="1"/>
  <c r="D1774" i="1"/>
  <c r="G1773" i="1"/>
  <c r="F1773" i="1"/>
  <c r="D1773" i="1"/>
  <c r="G1772" i="1"/>
  <c r="F1772" i="1"/>
  <c r="D1772" i="1"/>
  <c r="G1771" i="1"/>
  <c r="F1771" i="1"/>
  <c r="D1771" i="1"/>
  <c r="G1770" i="1"/>
  <c r="F1770" i="1"/>
  <c r="D1770" i="1"/>
  <c r="G1769" i="1"/>
  <c r="F1769" i="1"/>
  <c r="D1769" i="1"/>
  <c r="G1768" i="1"/>
  <c r="F1768" i="1"/>
  <c r="D1768" i="1"/>
  <c r="G1767" i="1"/>
  <c r="F1767" i="1"/>
  <c r="D1767" i="1"/>
  <c r="G1766" i="1"/>
  <c r="F1766" i="1"/>
  <c r="D1766" i="1"/>
  <c r="G1765" i="1"/>
  <c r="F1765" i="1"/>
  <c r="D1765" i="1"/>
  <c r="H1764" i="1"/>
  <c r="G1763" i="1"/>
  <c r="F1763" i="1"/>
  <c r="D1763" i="1"/>
  <c r="G1762" i="1"/>
  <c r="F1762" i="1"/>
  <c r="D1762" i="1"/>
  <c r="G1761" i="1"/>
  <c r="F1761" i="1"/>
  <c r="D1761" i="1"/>
  <c r="G1760" i="1"/>
  <c r="F1760" i="1"/>
  <c r="D1760" i="1"/>
  <c r="G1759" i="1"/>
  <c r="F1759" i="1"/>
  <c r="D1759" i="1"/>
  <c r="G1758" i="1"/>
  <c r="F1758" i="1"/>
  <c r="D1758" i="1"/>
  <c r="G1757" i="1"/>
  <c r="F1757" i="1"/>
  <c r="D1757" i="1"/>
  <c r="G1756" i="1"/>
  <c r="F1756" i="1"/>
  <c r="D1756" i="1"/>
  <c r="G1755" i="1"/>
  <c r="F1755" i="1"/>
  <c r="D1755" i="1"/>
  <c r="G1754" i="1"/>
  <c r="F1754" i="1"/>
  <c r="D1754" i="1"/>
  <c r="G1753" i="1"/>
  <c r="F1753" i="1"/>
  <c r="D1753" i="1"/>
  <c r="H1752" i="1"/>
  <c r="G1751" i="1"/>
  <c r="F1751" i="1"/>
  <c r="D1751" i="1"/>
  <c r="G1750" i="1"/>
  <c r="F1750" i="1"/>
  <c r="D1750" i="1"/>
  <c r="G1749" i="1"/>
  <c r="F1749" i="1"/>
  <c r="D1749" i="1"/>
  <c r="G1748" i="1"/>
  <c r="F1748" i="1"/>
  <c r="D1748" i="1"/>
  <c r="G1747" i="1"/>
  <c r="F1747" i="1"/>
  <c r="D1747" i="1"/>
  <c r="G1746" i="1"/>
  <c r="F1746" i="1"/>
  <c r="D1746" i="1"/>
  <c r="H1746" i="1" s="1"/>
  <c r="G1745" i="1"/>
  <c r="F1745" i="1"/>
  <c r="D1745" i="1"/>
  <c r="G1744" i="1"/>
  <c r="F1744" i="1"/>
  <c r="D1744" i="1"/>
  <c r="G1743" i="1"/>
  <c r="F1743" i="1"/>
  <c r="D1743" i="1"/>
  <c r="H1743" i="1" s="1"/>
  <c r="G1742" i="1"/>
  <c r="F1742" i="1"/>
  <c r="D1742" i="1"/>
  <c r="H1742" i="1" s="1"/>
  <c r="G1741" i="1"/>
  <c r="F1741" i="1"/>
  <c r="D1741" i="1"/>
  <c r="H1740" i="1"/>
  <c r="G1739" i="1"/>
  <c r="F1739" i="1"/>
  <c r="D1739" i="1"/>
  <c r="G1738" i="1"/>
  <c r="F1738" i="1"/>
  <c r="D1738" i="1"/>
  <c r="G1737" i="1"/>
  <c r="F1737" i="1"/>
  <c r="D1737" i="1"/>
  <c r="G1736" i="1"/>
  <c r="F1736" i="1"/>
  <c r="D1736" i="1"/>
  <c r="G1735" i="1"/>
  <c r="F1735" i="1"/>
  <c r="D1735" i="1"/>
  <c r="H1735" i="1" s="1"/>
  <c r="G1734" i="1"/>
  <c r="F1734" i="1"/>
  <c r="D1734" i="1"/>
  <c r="G1733" i="1"/>
  <c r="F1733" i="1"/>
  <c r="D1733" i="1"/>
  <c r="G1732" i="1"/>
  <c r="F1732" i="1"/>
  <c r="D1732" i="1"/>
  <c r="G1731" i="1"/>
  <c r="F1731" i="1"/>
  <c r="D1731" i="1"/>
  <c r="G1730" i="1"/>
  <c r="F1730" i="1"/>
  <c r="D1730" i="1"/>
  <c r="G1729" i="1"/>
  <c r="F1729" i="1"/>
  <c r="D1729" i="1"/>
  <c r="H1728" i="1"/>
  <c r="G1727" i="1"/>
  <c r="F1727" i="1"/>
  <c r="D1727" i="1"/>
  <c r="G1726" i="1"/>
  <c r="F1726" i="1"/>
  <c r="D1726" i="1"/>
  <c r="G1725" i="1"/>
  <c r="F1725" i="1"/>
  <c r="D1725" i="1"/>
  <c r="G1724" i="1"/>
  <c r="F1724" i="1"/>
  <c r="D1724" i="1"/>
  <c r="G1723" i="1"/>
  <c r="F1723" i="1"/>
  <c r="D1723" i="1"/>
  <c r="G1722" i="1"/>
  <c r="F1722" i="1"/>
  <c r="D1722" i="1"/>
  <c r="G1721" i="1"/>
  <c r="F1721" i="1"/>
  <c r="D1721" i="1"/>
  <c r="G1720" i="1"/>
  <c r="F1720" i="1"/>
  <c r="D1720" i="1"/>
  <c r="G1719" i="1"/>
  <c r="F1719" i="1"/>
  <c r="D1719" i="1"/>
  <c r="G1718" i="1"/>
  <c r="F1718" i="1"/>
  <c r="D1718" i="1"/>
  <c r="H1718" i="1" s="1"/>
  <c r="G1717" i="1"/>
  <c r="F1717" i="1"/>
  <c r="D1717" i="1"/>
  <c r="H1716" i="1"/>
  <c r="G1715" i="1"/>
  <c r="F1715" i="1"/>
  <c r="D1715" i="1"/>
  <c r="G1714" i="1"/>
  <c r="F1714" i="1"/>
  <c r="D1714" i="1"/>
  <c r="H1714" i="1" s="1"/>
  <c r="G1713" i="1"/>
  <c r="F1713" i="1"/>
  <c r="D1713" i="1"/>
  <c r="G1712" i="1"/>
  <c r="F1712" i="1"/>
  <c r="D1712" i="1"/>
  <c r="G1711" i="1"/>
  <c r="F1711" i="1"/>
  <c r="D1711" i="1"/>
  <c r="G1710" i="1"/>
  <c r="F1710" i="1"/>
  <c r="D1710" i="1"/>
  <c r="G1709" i="1"/>
  <c r="F1709" i="1"/>
  <c r="D1709" i="1"/>
  <c r="G1708" i="1"/>
  <c r="F1708" i="1"/>
  <c r="D1708" i="1"/>
  <c r="G1707" i="1"/>
  <c r="F1707" i="1"/>
  <c r="D1707" i="1"/>
  <c r="G1706" i="1"/>
  <c r="F1706" i="1"/>
  <c r="D1706" i="1"/>
  <c r="G1705" i="1"/>
  <c r="F1705" i="1"/>
  <c r="D1705" i="1"/>
  <c r="H1704" i="1"/>
  <c r="G1703" i="1"/>
  <c r="F1703" i="1"/>
  <c r="D1703" i="1"/>
  <c r="G1702" i="1"/>
  <c r="F1702" i="1"/>
  <c r="D1702" i="1"/>
  <c r="G1701" i="1"/>
  <c r="F1701" i="1"/>
  <c r="D1701" i="1"/>
  <c r="G1700" i="1"/>
  <c r="F1700" i="1"/>
  <c r="D1700" i="1"/>
  <c r="G1699" i="1"/>
  <c r="F1699" i="1"/>
  <c r="D1699" i="1"/>
  <c r="G1698" i="1"/>
  <c r="F1698" i="1"/>
  <c r="D1698" i="1"/>
  <c r="G1697" i="1"/>
  <c r="F1697" i="1"/>
  <c r="D1697" i="1"/>
  <c r="G1696" i="1"/>
  <c r="F1696" i="1"/>
  <c r="D1696" i="1"/>
  <c r="G1695" i="1"/>
  <c r="F1695" i="1"/>
  <c r="D1695" i="1"/>
  <c r="G1694" i="1"/>
  <c r="F1694" i="1"/>
  <c r="D1694" i="1"/>
  <c r="G1693" i="1"/>
  <c r="F1693" i="1"/>
  <c r="D1693" i="1"/>
  <c r="H1692" i="1"/>
  <c r="G1691" i="1"/>
  <c r="F1691" i="1"/>
  <c r="D1691" i="1"/>
  <c r="G1690" i="1"/>
  <c r="F1690" i="1"/>
  <c r="D1690" i="1"/>
  <c r="G1689" i="1"/>
  <c r="F1689" i="1"/>
  <c r="D1689" i="1"/>
  <c r="G1688" i="1"/>
  <c r="F1688" i="1"/>
  <c r="D1688" i="1"/>
  <c r="G1687" i="1"/>
  <c r="F1687" i="1"/>
  <c r="D1687" i="1"/>
  <c r="G1686" i="1"/>
  <c r="F1686" i="1"/>
  <c r="D1686" i="1"/>
  <c r="G1685" i="1"/>
  <c r="F1685" i="1"/>
  <c r="D1685" i="1"/>
  <c r="G1684" i="1"/>
  <c r="F1684" i="1"/>
  <c r="D1684" i="1"/>
  <c r="G1683" i="1"/>
  <c r="F1683" i="1"/>
  <c r="D1683" i="1"/>
  <c r="G1682" i="1"/>
  <c r="F1682" i="1"/>
  <c r="D1682" i="1"/>
  <c r="G1681" i="1"/>
  <c r="F1681" i="1"/>
  <c r="D1681" i="1"/>
  <c r="H1681" i="1" s="1"/>
  <c r="H1680" i="1"/>
  <c r="G1679" i="1"/>
  <c r="F1679" i="1"/>
  <c r="D1679" i="1"/>
  <c r="G1678" i="1"/>
  <c r="F1678" i="1"/>
  <c r="D1678" i="1"/>
  <c r="G1677" i="1"/>
  <c r="F1677" i="1"/>
  <c r="D1677" i="1"/>
  <c r="G1676" i="1"/>
  <c r="F1676" i="1"/>
  <c r="D1676" i="1"/>
  <c r="G1675" i="1"/>
  <c r="F1675" i="1"/>
  <c r="D1675" i="1"/>
  <c r="H1675" i="1" s="1"/>
  <c r="G1674" i="1"/>
  <c r="F1674" i="1"/>
  <c r="D1674" i="1"/>
  <c r="G1673" i="1"/>
  <c r="F1673" i="1"/>
  <c r="D1673" i="1"/>
  <c r="G1672" i="1"/>
  <c r="F1672" i="1"/>
  <c r="D1672" i="1"/>
  <c r="G1671" i="1"/>
  <c r="F1671" i="1"/>
  <c r="D1671" i="1"/>
  <c r="G1670" i="1"/>
  <c r="F1670" i="1"/>
  <c r="D1670" i="1"/>
  <c r="G1669" i="1"/>
  <c r="F1669" i="1"/>
  <c r="D1669" i="1"/>
  <c r="H1668" i="1"/>
  <c r="G1667" i="1"/>
  <c r="F1667" i="1"/>
  <c r="D1667" i="1"/>
  <c r="G1666" i="1"/>
  <c r="F1666" i="1"/>
  <c r="D1666" i="1"/>
  <c r="G1665" i="1"/>
  <c r="F1665" i="1"/>
  <c r="D1665" i="1"/>
  <c r="G1664" i="1"/>
  <c r="F1664" i="1"/>
  <c r="D1664" i="1"/>
  <c r="G1663" i="1"/>
  <c r="F1663" i="1"/>
  <c r="D1663" i="1"/>
  <c r="G1662" i="1"/>
  <c r="F1662" i="1"/>
  <c r="D1662" i="1"/>
  <c r="G1661" i="1"/>
  <c r="F1661" i="1"/>
  <c r="D1661" i="1"/>
  <c r="G1660" i="1"/>
  <c r="F1660" i="1"/>
  <c r="D1660" i="1"/>
  <c r="G1659" i="1"/>
  <c r="F1659" i="1"/>
  <c r="D1659" i="1"/>
  <c r="G1658" i="1"/>
  <c r="F1658" i="1"/>
  <c r="D1658" i="1"/>
  <c r="G1657" i="1"/>
  <c r="F1657" i="1"/>
  <c r="D1657" i="1"/>
  <c r="H1656" i="1"/>
  <c r="G1655" i="1"/>
  <c r="F1655" i="1"/>
  <c r="D1655" i="1"/>
  <c r="G1654" i="1"/>
  <c r="F1654" i="1"/>
  <c r="D1654" i="1"/>
  <c r="H1654" i="1" s="1"/>
  <c r="G1653" i="1"/>
  <c r="F1653" i="1"/>
  <c r="D1653" i="1"/>
  <c r="G1652" i="1"/>
  <c r="F1652" i="1"/>
  <c r="D1652" i="1"/>
  <c r="H1652" i="1" s="1"/>
  <c r="G1651" i="1"/>
  <c r="F1651" i="1"/>
  <c r="D1651" i="1"/>
  <c r="G1650" i="1"/>
  <c r="F1650" i="1"/>
  <c r="D1650" i="1"/>
  <c r="H1650" i="1" s="1"/>
  <c r="G1649" i="1"/>
  <c r="F1649" i="1"/>
  <c r="D1649" i="1"/>
  <c r="G1648" i="1"/>
  <c r="F1648" i="1"/>
  <c r="D1648" i="1"/>
  <c r="G1647" i="1"/>
  <c r="F1647" i="1"/>
  <c r="D1647" i="1"/>
  <c r="G1646" i="1"/>
  <c r="F1646" i="1"/>
  <c r="D1646" i="1"/>
  <c r="G1645" i="1"/>
  <c r="F1645" i="1"/>
  <c r="D1645" i="1"/>
  <c r="H1644" i="1"/>
  <c r="G1643" i="1"/>
  <c r="F1643" i="1"/>
  <c r="D1643" i="1"/>
  <c r="G1642" i="1"/>
  <c r="F1642" i="1"/>
  <c r="D1642" i="1"/>
  <c r="G1641" i="1"/>
  <c r="F1641" i="1"/>
  <c r="D1641" i="1"/>
  <c r="G1640" i="1"/>
  <c r="F1640" i="1"/>
  <c r="D1640" i="1"/>
  <c r="G1639" i="1"/>
  <c r="F1639" i="1"/>
  <c r="D1639" i="1"/>
  <c r="G1638" i="1"/>
  <c r="F1638" i="1"/>
  <c r="D1638" i="1"/>
  <c r="G1637" i="1"/>
  <c r="F1637" i="1"/>
  <c r="D1637" i="1"/>
  <c r="G1636" i="1"/>
  <c r="F1636" i="1"/>
  <c r="D1636" i="1"/>
  <c r="G1635" i="1"/>
  <c r="F1635" i="1"/>
  <c r="D1635" i="1"/>
  <c r="G1634" i="1"/>
  <c r="F1634" i="1"/>
  <c r="D1634" i="1"/>
  <c r="G1633" i="1"/>
  <c r="F1633" i="1"/>
  <c r="D1633" i="1"/>
  <c r="H1632" i="1"/>
  <c r="G1631" i="1"/>
  <c r="F1631" i="1"/>
  <c r="D1631" i="1"/>
  <c r="G1630" i="1"/>
  <c r="F1630" i="1"/>
  <c r="D1630" i="1"/>
  <c r="G1629" i="1"/>
  <c r="F1629" i="1"/>
  <c r="D1629" i="1"/>
  <c r="G1628" i="1"/>
  <c r="F1628" i="1"/>
  <c r="D1628" i="1"/>
  <c r="G1627" i="1"/>
  <c r="F1627" i="1"/>
  <c r="D1627" i="1"/>
  <c r="G1626" i="1"/>
  <c r="F1626" i="1"/>
  <c r="D1626" i="1"/>
  <c r="G1625" i="1"/>
  <c r="F1625" i="1"/>
  <c r="D1625" i="1"/>
  <c r="G1624" i="1"/>
  <c r="F1624" i="1"/>
  <c r="D1624" i="1"/>
  <c r="G1623" i="1"/>
  <c r="F1623" i="1"/>
  <c r="D1623" i="1"/>
  <c r="G1622" i="1"/>
  <c r="F1622" i="1"/>
  <c r="D1622" i="1"/>
  <c r="G1621" i="1"/>
  <c r="F1621" i="1"/>
  <c r="D1621" i="1"/>
  <c r="H1620" i="1"/>
  <c r="G1619" i="1"/>
  <c r="F1619" i="1"/>
  <c r="D1619" i="1"/>
  <c r="G1618" i="1"/>
  <c r="F1618" i="1"/>
  <c r="D1618" i="1"/>
  <c r="G1617" i="1"/>
  <c r="F1617" i="1"/>
  <c r="D1617" i="1"/>
  <c r="G1616" i="1"/>
  <c r="F1616" i="1"/>
  <c r="D1616" i="1"/>
  <c r="H1616" i="1" s="1"/>
  <c r="G1615" i="1"/>
  <c r="F1615" i="1"/>
  <c r="D1615" i="1"/>
  <c r="G1614" i="1"/>
  <c r="F1614" i="1"/>
  <c r="D1614" i="1"/>
  <c r="G1613" i="1"/>
  <c r="F1613" i="1"/>
  <c r="D1613" i="1"/>
  <c r="G1612" i="1"/>
  <c r="F1612" i="1"/>
  <c r="D1612" i="1"/>
  <c r="G1611" i="1"/>
  <c r="F1611" i="1"/>
  <c r="D1611" i="1"/>
  <c r="G1610" i="1"/>
  <c r="F1610" i="1"/>
  <c r="D1610" i="1"/>
  <c r="G1609" i="1"/>
  <c r="F1609" i="1"/>
  <c r="D1609" i="1"/>
  <c r="H1608" i="1"/>
  <c r="G1607" i="1"/>
  <c r="F1607" i="1"/>
  <c r="D1607" i="1"/>
  <c r="G1606" i="1"/>
  <c r="F1606" i="1"/>
  <c r="D1606" i="1"/>
  <c r="G1605" i="1"/>
  <c r="F1605" i="1"/>
  <c r="D1605" i="1"/>
  <c r="H1605" i="1" s="1"/>
  <c r="G1604" i="1"/>
  <c r="F1604" i="1"/>
  <c r="D1604" i="1"/>
  <c r="G1603" i="1"/>
  <c r="F1603" i="1"/>
  <c r="D1603" i="1"/>
  <c r="G1602" i="1"/>
  <c r="F1602" i="1"/>
  <c r="D1602" i="1"/>
  <c r="G1601" i="1"/>
  <c r="F1601" i="1"/>
  <c r="D1601" i="1"/>
  <c r="G1600" i="1"/>
  <c r="F1600" i="1"/>
  <c r="D1600" i="1"/>
  <c r="G1599" i="1"/>
  <c r="F1599" i="1"/>
  <c r="D1599" i="1"/>
  <c r="G1598" i="1"/>
  <c r="F1598" i="1"/>
  <c r="D1598" i="1"/>
  <c r="G1597" i="1"/>
  <c r="F1597" i="1"/>
  <c r="D1597" i="1"/>
  <c r="H1596" i="1"/>
  <c r="G1595" i="1"/>
  <c r="F1595" i="1"/>
  <c r="D1595" i="1"/>
  <c r="G1594" i="1"/>
  <c r="F1594" i="1"/>
  <c r="D1594" i="1"/>
  <c r="G1593" i="1"/>
  <c r="F1593" i="1"/>
  <c r="D1593" i="1"/>
  <c r="G1592" i="1"/>
  <c r="F1592" i="1"/>
  <c r="D1592" i="1"/>
  <c r="G1591" i="1"/>
  <c r="F1591" i="1"/>
  <c r="D1591" i="1"/>
  <c r="G1590" i="1"/>
  <c r="F1590" i="1"/>
  <c r="D1590" i="1"/>
  <c r="G1589" i="1"/>
  <c r="F1589" i="1"/>
  <c r="D1589" i="1"/>
  <c r="G1588" i="1"/>
  <c r="F1588" i="1"/>
  <c r="D1588" i="1"/>
  <c r="G1587" i="1"/>
  <c r="F1587" i="1"/>
  <c r="D1587" i="1"/>
  <c r="G1586" i="1"/>
  <c r="F1586" i="1"/>
  <c r="D1586" i="1"/>
  <c r="G1585" i="1"/>
  <c r="F1585" i="1"/>
  <c r="D1585" i="1"/>
  <c r="H1584" i="1"/>
  <c r="G1583" i="1"/>
  <c r="F1583" i="1"/>
  <c r="D1583" i="1"/>
  <c r="G1582" i="1"/>
  <c r="F1582" i="1"/>
  <c r="D1582" i="1"/>
  <c r="G1581" i="1"/>
  <c r="F1581" i="1"/>
  <c r="D1581" i="1"/>
  <c r="G1580" i="1"/>
  <c r="F1580" i="1"/>
  <c r="D1580" i="1"/>
  <c r="G1579" i="1"/>
  <c r="F1579" i="1"/>
  <c r="D1579" i="1"/>
  <c r="G1578" i="1"/>
  <c r="F1578" i="1"/>
  <c r="D1578" i="1"/>
  <c r="G1577" i="1"/>
  <c r="F1577" i="1"/>
  <c r="D1577" i="1"/>
  <c r="G1576" i="1"/>
  <c r="F1576" i="1"/>
  <c r="D1576" i="1"/>
  <c r="G1575" i="1"/>
  <c r="F1575" i="1"/>
  <c r="D1575" i="1"/>
  <c r="G1574" i="1"/>
  <c r="F1574" i="1"/>
  <c r="D1574" i="1"/>
  <c r="G1573" i="1"/>
  <c r="F1573" i="1"/>
  <c r="D1573" i="1"/>
  <c r="H1572" i="1"/>
  <c r="G1571" i="1"/>
  <c r="F1571" i="1"/>
  <c r="D1571" i="1"/>
  <c r="G1570" i="1"/>
  <c r="F1570" i="1"/>
  <c r="D1570" i="1"/>
  <c r="G1569" i="1"/>
  <c r="F1569" i="1"/>
  <c r="D1569" i="1"/>
  <c r="G1568" i="1"/>
  <c r="H1568" i="1" s="1"/>
  <c r="F1568" i="1"/>
  <c r="D1568" i="1"/>
  <c r="G1567" i="1"/>
  <c r="F1567" i="1"/>
  <c r="D1567" i="1"/>
  <c r="G1566" i="1"/>
  <c r="F1566" i="1"/>
  <c r="D1566" i="1"/>
  <c r="G1565" i="1"/>
  <c r="F1565" i="1"/>
  <c r="D1565" i="1"/>
  <c r="G1564" i="1"/>
  <c r="F1564" i="1"/>
  <c r="D1564" i="1"/>
  <c r="G1563" i="1"/>
  <c r="F1563" i="1"/>
  <c r="D1563" i="1"/>
  <c r="G1562" i="1"/>
  <c r="F1562" i="1"/>
  <c r="D1562" i="1"/>
  <c r="G1561" i="1"/>
  <c r="F1561" i="1"/>
  <c r="D1561" i="1"/>
  <c r="H1560" i="1"/>
  <c r="G1559" i="1"/>
  <c r="F1559" i="1"/>
  <c r="D1559" i="1"/>
  <c r="G1558" i="1"/>
  <c r="F1558" i="1"/>
  <c r="D1558" i="1"/>
  <c r="G1557" i="1"/>
  <c r="F1557" i="1"/>
  <c r="D1557" i="1"/>
  <c r="G1556" i="1"/>
  <c r="F1556" i="1"/>
  <c r="D1556" i="1"/>
  <c r="H1556" i="1" s="1"/>
  <c r="G1555" i="1"/>
  <c r="F1555" i="1"/>
  <c r="D1555" i="1"/>
  <c r="G1554" i="1"/>
  <c r="F1554" i="1"/>
  <c r="D1554" i="1"/>
  <c r="G1553" i="1"/>
  <c r="F1553" i="1"/>
  <c r="D1553" i="1"/>
  <c r="G1552" i="1"/>
  <c r="F1552" i="1"/>
  <c r="D1552" i="1"/>
  <c r="G1551" i="1"/>
  <c r="F1551" i="1"/>
  <c r="D1551" i="1"/>
  <c r="H1551" i="1" s="1"/>
  <c r="G1550" i="1"/>
  <c r="F1550" i="1"/>
  <c r="D1550" i="1"/>
  <c r="G1549" i="1"/>
  <c r="F1549" i="1"/>
  <c r="D1549" i="1"/>
  <c r="H1548" i="1"/>
  <c r="G1547" i="1"/>
  <c r="F1547" i="1"/>
  <c r="D1547" i="1"/>
  <c r="G1546" i="1"/>
  <c r="F1546" i="1"/>
  <c r="D1546" i="1"/>
  <c r="G1545" i="1"/>
  <c r="F1545" i="1"/>
  <c r="D1545" i="1"/>
  <c r="H1545" i="1" s="1"/>
  <c r="G1544" i="1"/>
  <c r="F1544" i="1"/>
  <c r="H1544" i="1" s="1"/>
  <c r="D1544" i="1"/>
  <c r="G1543" i="1"/>
  <c r="F1543" i="1"/>
  <c r="D1543" i="1"/>
  <c r="G1542" i="1"/>
  <c r="F1542" i="1"/>
  <c r="D1542" i="1"/>
  <c r="G1541" i="1"/>
  <c r="F1541" i="1"/>
  <c r="D1541" i="1"/>
  <c r="G1540" i="1"/>
  <c r="F1540" i="1"/>
  <c r="D1540" i="1"/>
  <c r="G1539" i="1"/>
  <c r="F1539" i="1"/>
  <c r="D1539" i="1"/>
  <c r="G1538" i="1"/>
  <c r="F1538" i="1"/>
  <c r="D1538" i="1"/>
  <c r="G1537" i="1"/>
  <c r="F1537" i="1"/>
  <c r="D1537" i="1"/>
  <c r="H1536" i="1"/>
  <c r="G1535" i="1"/>
  <c r="F1535" i="1"/>
  <c r="D1535" i="1"/>
  <c r="G1534" i="1"/>
  <c r="F1534" i="1"/>
  <c r="D1534" i="1"/>
  <c r="G1533" i="1"/>
  <c r="F1533" i="1"/>
  <c r="D1533" i="1"/>
  <c r="G1532" i="1"/>
  <c r="F1532" i="1"/>
  <c r="D1532" i="1"/>
  <c r="H1532" i="1" s="1"/>
  <c r="G1531" i="1"/>
  <c r="F1531" i="1"/>
  <c r="D1531" i="1"/>
  <c r="G1530" i="1"/>
  <c r="F1530" i="1"/>
  <c r="D1530" i="1"/>
  <c r="G1529" i="1"/>
  <c r="F1529" i="1"/>
  <c r="D1529" i="1"/>
  <c r="G1528" i="1"/>
  <c r="F1528" i="1"/>
  <c r="D1528" i="1"/>
  <c r="G1527" i="1"/>
  <c r="F1527" i="1"/>
  <c r="D1527" i="1"/>
  <c r="G1526" i="1"/>
  <c r="F1526" i="1"/>
  <c r="D1526" i="1"/>
  <c r="G1525" i="1"/>
  <c r="F1525" i="1"/>
  <c r="D1525" i="1"/>
  <c r="H1524" i="1"/>
  <c r="G1523" i="1"/>
  <c r="F1523" i="1"/>
  <c r="D1523" i="1"/>
  <c r="G1522" i="1"/>
  <c r="F1522" i="1"/>
  <c r="D1522" i="1"/>
  <c r="G1521" i="1"/>
  <c r="F1521" i="1"/>
  <c r="D1521" i="1"/>
  <c r="G1520" i="1"/>
  <c r="F1520" i="1"/>
  <c r="H1520" i="1" s="1"/>
  <c r="D1520" i="1"/>
  <c r="G1519" i="1"/>
  <c r="F1519" i="1"/>
  <c r="D1519" i="1"/>
  <c r="H1519" i="1" s="1"/>
  <c r="G1518" i="1"/>
  <c r="F1518" i="1"/>
  <c r="D1518" i="1"/>
  <c r="G1517" i="1"/>
  <c r="F1517" i="1"/>
  <c r="D1517" i="1"/>
  <c r="G1516" i="1"/>
  <c r="F1516" i="1"/>
  <c r="D1516" i="1"/>
  <c r="G1515" i="1"/>
  <c r="F1515" i="1"/>
  <c r="D1515" i="1"/>
  <c r="G1514" i="1"/>
  <c r="F1514" i="1"/>
  <c r="D1514" i="1"/>
  <c r="G1513" i="1"/>
  <c r="F1513" i="1"/>
  <c r="D1513" i="1"/>
  <c r="G1512" i="1"/>
  <c r="F1512" i="1"/>
  <c r="D1512" i="1"/>
  <c r="G1511" i="1"/>
  <c r="F1511" i="1"/>
  <c r="D1511" i="1"/>
  <c r="G1510" i="1"/>
  <c r="F1510" i="1"/>
  <c r="D1510" i="1"/>
  <c r="G1509" i="1"/>
  <c r="F1509" i="1"/>
  <c r="D1509" i="1"/>
  <c r="G1508" i="1"/>
  <c r="F1508" i="1"/>
  <c r="D1508" i="1"/>
  <c r="G1507" i="1"/>
  <c r="F1507" i="1"/>
  <c r="D1507" i="1"/>
  <c r="H1506" i="1"/>
  <c r="G1505" i="1"/>
  <c r="F1505" i="1"/>
  <c r="D1505" i="1"/>
  <c r="G1504" i="1"/>
  <c r="F1504" i="1"/>
  <c r="D1504" i="1"/>
  <c r="G1503" i="1"/>
  <c r="F1503" i="1"/>
  <c r="D1503" i="1"/>
  <c r="G1502" i="1"/>
  <c r="F1502" i="1"/>
  <c r="D1502" i="1"/>
  <c r="G1501" i="1"/>
  <c r="F1501" i="1"/>
  <c r="D1501" i="1"/>
  <c r="G1500" i="1"/>
  <c r="F1500" i="1"/>
  <c r="D1500" i="1"/>
  <c r="G1499" i="1"/>
  <c r="F1499" i="1"/>
  <c r="D1499" i="1"/>
  <c r="G1498" i="1"/>
  <c r="F1498" i="1"/>
  <c r="D1498" i="1"/>
  <c r="G1497" i="1"/>
  <c r="F1497" i="1"/>
  <c r="D1497" i="1"/>
  <c r="H1497" i="1" s="1"/>
  <c r="G1496" i="1"/>
  <c r="F1496" i="1"/>
  <c r="D1496" i="1"/>
  <c r="G1495" i="1"/>
  <c r="F1495" i="1"/>
  <c r="D1495" i="1"/>
  <c r="H1494" i="1"/>
  <c r="G1493" i="1"/>
  <c r="F1493" i="1"/>
  <c r="D1493" i="1"/>
  <c r="G1492" i="1"/>
  <c r="F1492" i="1"/>
  <c r="D1492" i="1"/>
  <c r="G1491" i="1"/>
  <c r="F1491" i="1"/>
  <c r="D1491" i="1"/>
  <c r="H1491" i="1" s="1"/>
  <c r="G1490" i="1"/>
  <c r="F1490" i="1"/>
  <c r="D1490" i="1"/>
  <c r="G1489" i="1"/>
  <c r="F1489" i="1"/>
  <c r="D1489" i="1"/>
  <c r="G1488" i="1"/>
  <c r="F1488" i="1"/>
  <c r="D1488" i="1"/>
  <c r="G1487" i="1"/>
  <c r="F1487" i="1"/>
  <c r="D1487" i="1"/>
  <c r="G1486" i="1"/>
  <c r="F1486" i="1"/>
  <c r="D1486" i="1"/>
  <c r="G1485" i="1"/>
  <c r="F1485" i="1"/>
  <c r="D1485" i="1"/>
  <c r="G1484" i="1"/>
  <c r="F1484" i="1"/>
  <c r="D1484" i="1"/>
  <c r="G1483" i="1"/>
  <c r="F1483" i="1"/>
  <c r="D1483" i="1"/>
  <c r="H1482" i="1"/>
  <c r="G1481" i="1"/>
  <c r="F1481" i="1"/>
  <c r="D1481" i="1"/>
  <c r="H1481" i="1" s="1"/>
  <c r="G1480" i="1"/>
  <c r="F1480" i="1"/>
  <c r="D1480" i="1"/>
  <c r="G1479" i="1"/>
  <c r="F1479" i="1"/>
  <c r="D1479" i="1"/>
  <c r="G1478" i="1"/>
  <c r="F1478" i="1"/>
  <c r="D1478" i="1"/>
  <c r="G1477" i="1"/>
  <c r="F1477" i="1"/>
  <c r="D1477" i="1"/>
  <c r="G1476" i="1"/>
  <c r="F1476" i="1"/>
  <c r="D1476" i="1"/>
  <c r="G1475" i="1"/>
  <c r="F1475" i="1"/>
  <c r="D1475" i="1"/>
  <c r="G1474" i="1"/>
  <c r="F1474" i="1"/>
  <c r="D1474" i="1"/>
  <c r="G1473" i="1"/>
  <c r="F1473" i="1"/>
  <c r="D1473" i="1"/>
  <c r="G1472" i="1"/>
  <c r="F1472" i="1"/>
  <c r="D1472" i="1"/>
  <c r="G1471" i="1"/>
  <c r="F1471" i="1"/>
  <c r="D1471" i="1"/>
  <c r="H1470" i="1"/>
  <c r="G1469" i="1"/>
  <c r="F1469" i="1"/>
  <c r="D1469" i="1"/>
  <c r="G1468" i="1"/>
  <c r="F1468" i="1"/>
  <c r="D1468" i="1"/>
  <c r="G1467" i="1"/>
  <c r="F1467" i="1"/>
  <c r="D1467" i="1"/>
  <c r="G1466" i="1"/>
  <c r="F1466" i="1"/>
  <c r="D1466" i="1"/>
  <c r="G1465" i="1"/>
  <c r="F1465" i="1"/>
  <c r="D1465" i="1"/>
  <c r="G1464" i="1"/>
  <c r="F1464" i="1"/>
  <c r="D1464" i="1"/>
  <c r="G1463" i="1"/>
  <c r="F1463" i="1"/>
  <c r="D1463" i="1"/>
  <c r="G1462" i="1"/>
  <c r="F1462" i="1"/>
  <c r="D1462" i="1"/>
  <c r="G1461" i="1"/>
  <c r="F1461" i="1"/>
  <c r="D1461" i="1"/>
  <c r="G1460" i="1"/>
  <c r="F1460" i="1"/>
  <c r="D1460" i="1"/>
  <c r="G1459" i="1"/>
  <c r="F1459" i="1"/>
  <c r="D1459" i="1"/>
  <c r="H1458" i="1"/>
  <c r="G1457" i="1"/>
  <c r="F1457" i="1"/>
  <c r="D1457" i="1"/>
  <c r="G1456" i="1"/>
  <c r="F1456" i="1"/>
  <c r="D1456" i="1"/>
  <c r="G1455" i="1"/>
  <c r="F1455" i="1"/>
  <c r="D1455" i="1"/>
  <c r="G1454" i="1"/>
  <c r="F1454" i="1"/>
  <c r="D1454" i="1"/>
  <c r="G1453" i="1"/>
  <c r="F1453" i="1"/>
  <c r="D1453" i="1"/>
  <c r="G1452" i="1"/>
  <c r="F1452" i="1"/>
  <c r="D1452" i="1"/>
  <c r="G1451" i="1"/>
  <c r="F1451" i="1"/>
  <c r="D1451" i="1"/>
  <c r="G1450" i="1"/>
  <c r="F1450" i="1"/>
  <c r="D1450" i="1"/>
  <c r="G1449" i="1"/>
  <c r="F1449" i="1"/>
  <c r="D1449" i="1"/>
  <c r="G1448" i="1"/>
  <c r="F1448" i="1"/>
  <c r="D1448" i="1"/>
  <c r="G1447" i="1"/>
  <c r="F1447" i="1"/>
  <c r="D1447" i="1"/>
  <c r="H1446" i="1"/>
  <c r="G1445" i="1"/>
  <c r="F1445" i="1"/>
  <c r="D1445" i="1"/>
  <c r="G1444" i="1"/>
  <c r="F1444" i="1"/>
  <c r="D1444" i="1"/>
  <c r="G1443" i="1"/>
  <c r="F1443" i="1"/>
  <c r="D1443" i="1"/>
  <c r="G1442" i="1"/>
  <c r="F1442" i="1"/>
  <c r="D1442" i="1"/>
  <c r="H1442" i="1" s="1"/>
  <c r="G1441" i="1"/>
  <c r="F1441" i="1"/>
  <c r="D1441" i="1"/>
  <c r="G1440" i="1"/>
  <c r="F1440" i="1"/>
  <c r="D1440" i="1"/>
  <c r="G1439" i="1"/>
  <c r="F1439" i="1"/>
  <c r="D1439" i="1"/>
  <c r="G1438" i="1"/>
  <c r="F1438" i="1"/>
  <c r="D1438" i="1"/>
  <c r="G1437" i="1"/>
  <c r="F1437" i="1"/>
  <c r="D1437" i="1"/>
  <c r="G1436" i="1"/>
  <c r="F1436" i="1"/>
  <c r="D1436" i="1"/>
  <c r="G1435" i="1"/>
  <c r="F1435" i="1"/>
  <c r="D1435" i="1"/>
  <c r="H1434" i="1"/>
  <c r="G1433" i="1"/>
  <c r="F1433" i="1"/>
  <c r="D1433" i="1"/>
  <c r="G1432" i="1"/>
  <c r="F1432" i="1"/>
  <c r="D1432" i="1"/>
  <c r="G1431" i="1"/>
  <c r="F1431" i="1"/>
  <c r="D1431" i="1"/>
  <c r="G1430" i="1"/>
  <c r="F1430" i="1"/>
  <c r="D1430" i="1"/>
  <c r="G1429" i="1"/>
  <c r="F1429" i="1"/>
  <c r="D1429" i="1"/>
  <c r="G1428" i="1"/>
  <c r="F1428" i="1"/>
  <c r="D1428" i="1"/>
  <c r="G1427" i="1"/>
  <c r="F1427" i="1"/>
  <c r="D1427" i="1"/>
  <c r="G1426" i="1"/>
  <c r="F1426" i="1"/>
  <c r="D1426" i="1"/>
  <c r="G1425" i="1"/>
  <c r="F1425" i="1"/>
  <c r="D1425" i="1"/>
  <c r="G1424" i="1"/>
  <c r="F1424" i="1"/>
  <c r="D1424" i="1"/>
  <c r="G1423" i="1"/>
  <c r="F1423" i="1"/>
  <c r="D1423" i="1"/>
  <c r="H1422" i="1"/>
  <c r="G1421" i="1"/>
  <c r="F1421" i="1"/>
  <c r="D1421" i="1"/>
  <c r="G1420" i="1"/>
  <c r="F1420" i="1"/>
  <c r="D1420" i="1"/>
  <c r="G1419" i="1"/>
  <c r="F1419" i="1"/>
  <c r="D1419" i="1"/>
  <c r="G1418" i="1"/>
  <c r="F1418" i="1"/>
  <c r="D1418" i="1"/>
  <c r="G1417" i="1"/>
  <c r="F1417" i="1"/>
  <c r="D1417" i="1"/>
  <c r="G1416" i="1"/>
  <c r="F1416" i="1"/>
  <c r="D1416" i="1"/>
  <c r="G1415" i="1"/>
  <c r="F1415" i="1"/>
  <c r="D1415" i="1"/>
  <c r="G1414" i="1"/>
  <c r="F1414" i="1"/>
  <c r="D1414" i="1"/>
  <c r="G1413" i="1"/>
  <c r="F1413" i="1"/>
  <c r="D1413" i="1"/>
  <c r="G1412" i="1"/>
  <c r="F1412" i="1"/>
  <c r="D1412" i="1"/>
  <c r="G1411" i="1"/>
  <c r="F1411" i="1"/>
  <c r="D1411" i="1"/>
  <c r="H1410" i="1"/>
  <c r="G1409" i="1"/>
  <c r="F1409" i="1"/>
  <c r="D1409" i="1"/>
  <c r="G1408" i="1"/>
  <c r="F1408" i="1"/>
  <c r="D1408" i="1"/>
  <c r="G1407" i="1"/>
  <c r="F1407" i="1"/>
  <c r="D1407" i="1"/>
  <c r="G1406" i="1"/>
  <c r="F1406" i="1"/>
  <c r="D1406" i="1"/>
  <c r="G1405" i="1"/>
  <c r="F1405" i="1"/>
  <c r="D1405" i="1"/>
  <c r="G1404" i="1"/>
  <c r="F1404" i="1"/>
  <c r="D1404" i="1"/>
  <c r="G1403" i="1"/>
  <c r="F1403" i="1"/>
  <c r="D1403" i="1"/>
  <c r="G1402" i="1"/>
  <c r="F1402" i="1"/>
  <c r="D1402" i="1"/>
  <c r="G1401" i="1"/>
  <c r="F1401" i="1"/>
  <c r="D1401" i="1"/>
  <c r="G1400" i="1"/>
  <c r="F1400" i="1"/>
  <c r="D1400" i="1"/>
  <c r="G1399" i="1"/>
  <c r="F1399" i="1"/>
  <c r="D1399" i="1"/>
  <c r="H1398" i="1"/>
  <c r="G1397" i="1"/>
  <c r="F1397" i="1"/>
  <c r="D1397" i="1"/>
  <c r="G1396" i="1"/>
  <c r="F1396" i="1"/>
  <c r="H1396" i="1" s="1"/>
  <c r="D1396" i="1"/>
  <c r="G1395" i="1"/>
  <c r="F1395" i="1"/>
  <c r="D1395" i="1"/>
  <c r="G1394" i="1"/>
  <c r="F1394" i="1"/>
  <c r="D1394" i="1"/>
  <c r="G1393" i="1"/>
  <c r="F1393" i="1"/>
  <c r="D1393" i="1"/>
  <c r="G1392" i="1"/>
  <c r="F1392" i="1"/>
  <c r="D1392" i="1"/>
  <c r="G1391" i="1"/>
  <c r="F1391" i="1"/>
  <c r="D1391" i="1"/>
  <c r="G1390" i="1"/>
  <c r="F1390" i="1"/>
  <c r="D1390" i="1"/>
  <c r="G1389" i="1"/>
  <c r="F1389" i="1"/>
  <c r="D1389" i="1"/>
  <c r="G1388" i="1"/>
  <c r="F1388" i="1"/>
  <c r="D1388" i="1"/>
  <c r="H1388" i="1" s="1"/>
  <c r="G1387" i="1"/>
  <c r="F1387" i="1"/>
  <c r="D1387" i="1"/>
  <c r="H1386" i="1"/>
  <c r="G1385" i="1"/>
  <c r="F1385" i="1"/>
  <c r="D1385" i="1"/>
  <c r="G1384" i="1"/>
  <c r="F1384" i="1"/>
  <c r="D1384" i="1"/>
  <c r="G1383" i="1"/>
  <c r="F1383" i="1"/>
  <c r="D1383" i="1"/>
  <c r="G1382" i="1"/>
  <c r="F1382" i="1"/>
  <c r="D1382" i="1"/>
  <c r="G1381" i="1"/>
  <c r="F1381" i="1"/>
  <c r="D1381" i="1"/>
  <c r="G1380" i="1"/>
  <c r="F1380" i="1"/>
  <c r="D1380" i="1"/>
  <c r="G1379" i="1"/>
  <c r="F1379" i="1"/>
  <c r="D1379" i="1"/>
  <c r="G1378" i="1"/>
  <c r="F1378" i="1"/>
  <c r="D1378" i="1"/>
  <c r="G1377" i="1"/>
  <c r="F1377" i="1"/>
  <c r="D1377" i="1"/>
  <c r="G1376" i="1"/>
  <c r="F1376" i="1"/>
  <c r="D1376" i="1"/>
  <c r="G1375" i="1"/>
  <c r="F1375" i="1"/>
  <c r="D1375" i="1"/>
  <c r="H1374" i="1"/>
  <c r="G1373" i="1"/>
  <c r="F1373" i="1"/>
  <c r="D1373" i="1"/>
  <c r="G1372" i="1"/>
  <c r="F1372" i="1"/>
  <c r="D1372" i="1"/>
  <c r="G1371" i="1"/>
  <c r="F1371" i="1"/>
  <c r="D1371" i="1"/>
  <c r="G1370" i="1"/>
  <c r="F1370" i="1"/>
  <c r="D1370" i="1"/>
  <c r="G1369" i="1"/>
  <c r="F1369" i="1"/>
  <c r="D1369" i="1"/>
  <c r="G1368" i="1"/>
  <c r="F1368" i="1"/>
  <c r="D1368" i="1"/>
  <c r="G1367" i="1"/>
  <c r="F1367" i="1"/>
  <c r="D1367" i="1"/>
  <c r="G1366" i="1"/>
  <c r="F1366" i="1"/>
  <c r="D1366" i="1"/>
  <c r="G1365" i="1"/>
  <c r="F1365" i="1"/>
  <c r="D1365" i="1"/>
  <c r="G1364" i="1"/>
  <c r="F1364" i="1"/>
  <c r="D1364" i="1"/>
  <c r="G1363" i="1"/>
  <c r="F1363" i="1"/>
  <c r="D1363" i="1"/>
  <c r="H1362" i="1"/>
  <c r="G1361" i="1"/>
  <c r="F1361" i="1"/>
  <c r="D1361" i="1"/>
  <c r="G1360" i="1"/>
  <c r="F1360" i="1"/>
  <c r="D1360" i="1"/>
  <c r="G1359" i="1"/>
  <c r="F1359" i="1"/>
  <c r="D1359" i="1"/>
  <c r="G1358" i="1"/>
  <c r="F1358" i="1"/>
  <c r="D1358" i="1"/>
  <c r="G1357" i="1"/>
  <c r="F1357" i="1"/>
  <c r="D1357" i="1"/>
  <c r="G1356" i="1"/>
  <c r="F1356" i="1"/>
  <c r="D1356" i="1"/>
  <c r="G1355" i="1"/>
  <c r="F1355" i="1"/>
  <c r="D1355" i="1"/>
  <c r="G1354" i="1"/>
  <c r="F1354" i="1"/>
  <c r="D1354" i="1"/>
  <c r="G1353" i="1"/>
  <c r="F1353" i="1"/>
  <c r="D1353" i="1"/>
  <c r="G1352" i="1"/>
  <c r="F1352" i="1"/>
  <c r="D1352" i="1"/>
  <c r="G1351" i="1"/>
  <c r="F1351" i="1"/>
  <c r="D1351" i="1"/>
  <c r="H1350" i="1"/>
  <c r="G1349" i="1"/>
  <c r="H1349" i="1" s="1"/>
  <c r="F1349" i="1"/>
  <c r="D1349" i="1"/>
  <c r="G1348" i="1"/>
  <c r="F1348" i="1"/>
  <c r="D1348" i="1"/>
  <c r="G1347" i="1"/>
  <c r="F1347" i="1"/>
  <c r="D1347" i="1"/>
  <c r="G1346" i="1"/>
  <c r="F1346" i="1"/>
  <c r="D1346" i="1"/>
  <c r="G1345" i="1"/>
  <c r="F1345" i="1"/>
  <c r="D1345" i="1"/>
  <c r="G1344" i="1"/>
  <c r="F1344" i="1"/>
  <c r="D1344" i="1"/>
  <c r="G1343" i="1"/>
  <c r="F1343" i="1"/>
  <c r="D1343" i="1"/>
  <c r="G1342" i="1"/>
  <c r="F1342" i="1"/>
  <c r="D1342" i="1"/>
  <c r="G1341" i="1"/>
  <c r="F1341" i="1"/>
  <c r="D1341" i="1"/>
  <c r="G1340" i="1"/>
  <c r="F1340" i="1"/>
  <c r="D1340" i="1"/>
  <c r="G1339" i="1"/>
  <c r="F1339" i="1"/>
  <c r="D1339" i="1"/>
  <c r="H1338" i="1"/>
  <c r="G1337" i="1"/>
  <c r="F1337" i="1"/>
  <c r="D1337" i="1"/>
  <c r="G1336" i="1"/>
  <c r="F1336" i="1"/>
  <c r="D1336" i="1"/>
  <c r="G1335" i="1"/>
  <c r="F1335" i="1"/>
  <c r="D1335" i="1"/>
  <c r="G1334" i="1"/>
  <c r="F1334" i="1"/>
  <c r="D1334" i="1"/>
  <c r="G1333" i="1"/>
  <c r="F1333" i="1"/>
  <c r="D1333" i="1"/>
  <c r="G1332" i="1"/>
  <c r="F1332" i="1"/>
  <c r="D1332" i="1"/>
  <c r="G1331" i="1"/>
  <c r="F1331" i="1"/>
  <c r="D1331" i="1"/>
  <c r="G1330" i="1"/>
  <c r="F1330" i="1"/>
  <c r="D1330" i="1"/>
  <c r="G1329" i="1"/>
  <c r="F1329" i="1"/>
  <c r="D1329" i="1"/>
  <c r="G1328" i="1"/>
  <c r="F1328" i="1"/>
  <c r="D1328" i="1"/>
  <c r="G1327" i="1"/>
  <c r="F1327" i="1"/>
  <c r="D1327" i="1"/>
  <c r="H1326" i="1"/>
  <c r="G1325" i="1"/>
  <c r="F1325" i="1"/>
  <c r="D1325" i="1"/>
  <c r="G1324" i="1"/>
  <c r="F1324" i="1"/>
  <c r="D1324" i="1"/>
  <c r="G1323" i="1"/>
  <c r="F1323" i="1"/>
  <c r="D1323" i="1"/>
  <c r="H1323" i="1" s="1"/>
  <c r="G1322" i="1"/>
  <c r="F1322" i="1"/>
  <c r="D1322" i="1"/>
  <c r="G1321" i="1"/>
  <c r="F1321" i="1"/>
  <c r="D1321" i="1"/>
  <c r="G1320" i="1"/>
  <c r="F1320" i="1"/>
  <c r="D1320" i="1"/>
  <c r="G1319" i="1"/>
  <c r="F1319" i="1"/>
  <c r="D1319" i="1"/>
  <c r="G1318" i="1"/>
  <c r="F1318" i="1"/>
  <c r="D1318" i="1"/>
  <c r="H1318" i="1" s="1"/>
  <c r="G1317" i="1"/>
  <c r="F1317" i="1"/>
  <c r="D1317" i="1"/>
  <c r="G1316" i="1"/>
  <c r="F1316" i="1"/>
  <c r="H1316" i="1" s="1"/>
  <c r="D1316" i="1"/>
  <c r="G1315" i="1"/>
  <c r="F1315" i="1"/>
  <c r="D1315" i="1"/>
  <c r="H1314" i="1"/>
  <c r="G1313" i="1"/>
  <c r="F1313" i="1"/>
  <c r="D1313" i="1"/>
  <c r="G1312" i="1"/>
  <c r="F1312" i="1"/>
  <c r="D1312" i="1"/>
  <c r="H1312" i="1" s="1"/>
  <c r="G1311" i="1"/>
  <c r="F1311" i="1"/>
  <c r="D1311" i="1"/>
  <c r="G1310" i="1"/>
  <c r="F1310" i="1"/>
  <c r="D1310" i="1"/>
  <c r="H1309" i="1"/>
  <c r="G1308" i="1"/>
  <c r="F1308" i="1"/>
  <c r="D1308" i="1"/>
  <c r="G1307" i="1"/>
  <c r="F1307" i="1"/>
  <c r="D1307" i="1"/>
  <c r="G1306" i="1"/>
  <c r="F1306" i="1"/>
  <c r="D1306" i="1"/>
  <c r="G1305" i="1"/>
  <c r="F1305" i="1"/>
  <c r="D1305" i="1"/>
  <c r="G1304" i="1"/>
  <c r="F1304" i="1"/>
  <c r="D1304" i="1"/>
  <c r="G1303" i="1"/>
  <c r="F1303" i="1"/>
  <c r="D1303" i="1"/>
  <c r="G1302" i="1"/>
  <c r="F1302" i="1"/>
  <c r="D1302" i="1"/>
  <c r="G1301" i="1"/>
  <c r="F1301" i="1"/>
  <c r="D1301" i="1"/>
  <c r="G1300" i="1"/>
  <c r="F1300" i="1"/>
  <c r="D1300" i="1"/>
  <c r="G1299" i="1"/>
  <c r="F1299" i="1"/>
  <c r="D1299" i="1"/>
  <c r="G1298" i="1"/>
  <c r="F1298" i="1"/>
  <c r="D1298" i="1"/>
  <c r="H1297" i="1"/>
  <c r="G1296" i="1"/>
  <c r="F1296" i="1"/>
  <c r="D1296" i="1"/>
  <c r="G1295" i="1"/>
  <c r="F1295" i="1"/>
  <c r="D1295" i="1"/>
  <c r="G1294" i="1"/>
  <c r="F1294" i="1"/>
  <c r="D1294" i="1"/>
  <c r="G1293" i="1"/>
  <c r="F1293" i="1"/>
  <c r="D1293" i="1"/>
  <c r="G1292" i="1"/>
  <c r="F1292" i="1"/>
  <c r="D1292" i="1"/>
  <c r="G1291" i="1"/>
  <c r="F1291" i="1"/>
  <c r="D1291" i="1"/>
  <c r="G1290" i="1"/>
  <c r="F1290" i="1"/>
  <c r="D1290" i="1"/>
  <c r="G1289" i="1"/>
  <c r="F1289" i="1"/>
  <c r="D1289" i="1"/>
  <c r="G1288" i="1"/>
  <c r="F1288" i="1"/>
  <c r="D1288" i="1"/>
  <c r="G1287" i="1"/>
  <c r="F1287" i="1"/>
  <c r="D1287" i="1"/>
  <c r="G1286" i="1"/>
  <c r="F1286" i="1"/>
  <c r="D1286" i="1"/>
  <c r="H1285" i="1"/>
  <c r="G1284" i="1"/>
  <c r="F1284" i="1"/>
  <c r="D1284" i="1"/>
  <c r="G1283" i="1"/>
  <c r="F1283" i="1"/>
  <c r="D1283" i="1"/>
  <c r="G1282" i="1"/>
  <c r="F1282" i="1"/>
  <c r="D1282" i="1"/>
  <c r="G1281" i="1"/>
  <c r="F1281" i="1"/>
  <c r="D1281" i="1"/>
  <c r="G1280" i="1"/>
  <c r="F1280" i="1"/>
  <c r="D1280" i="1"/>
  <c r="G1279" i="1"/>
  <c r="F1279" i="1"/>
  <c r="D1279" i="1"/>
  <c r="G1278" i="1"/>
  <c r="F1278" i="1"/>
  <c r="D1278" i="1"/>
  <c r="G1277" i="1"/>
  <c r="F1277" i="1"/>
  <c r="D1277" i="1"/>
  <c r="G1276" i="1"/>
  <c r="F1276" i="1"/>
  <c r="D1276" i="1"/>
  <c r="G1275" i="1"/>
  <c r="F1275" i="1"/>
  <c r="D1275" i="1"/>
  <c r="G1274" i="1"/>
  <c r="F1274" i="1"/>
  <c r="D1274" i="1"/>
  <c r="H1273" i="1"/>
  <c r="G1272" i="1"/>
  <c r="F1272" i="1"/>
  <c r="D1272" i="1"/>
  <c r="G1271" i="1"/>
  <c r="F1271" i="1"/>
  <c r="D1271" i="1"/>
  <c r="G1270" i="1"/>
  <c r="F1270" i="1"/>
  <c r="D1270" i="1"/>
  <c r="G1269" i="1"/>
  <c r="F1269" i="1"/>
  <c r="D1269" i="1"/>
  <c r="G1268" i="1"/>
  <c r="F1268" i="1"/>
  <c r="D1268" i="1"/>
  <c r="G1267" i="1"/>
  <c r="F1267" i="1"/>
  <c r="D1267" i="1"/>
  <c r="G1266" i="1"/>
  <c r="F1266" i="1"/>
  <c r="D1266" i="1"/>
  <c r="G1265" i="1"/>
  <c r="F1265" i="1"/>
  <c r="D1265" i="1"/>
  <c r="G1264" i="1"/>
  <c r="F1264" i="1"/>
  <c r="D1264" i="1"/>
  <c r="G1263" i="1"/>
  <c r="F1263" i="1"/>
  <c r="D1263" i="1"/>
  <c r="G1262" i="1"/>
  <c r="F1262" i="1"/>
  <c r="D1262" i="1"/>
  <c r="H1261" i="1"/>
  <c r="G1260" i="1"/>
  <c r="F1260" i="1"/>
  <c r="D1260" i="1"/>
  <c r="G1259" i="1"/>
  <c r="F1259" i="1"/>
  <c r="D1259" i="1"/>
  <c r="H1259" i="1" s="1"/>
  <c r="G1258" i="1"/>
  <c r="F1258" i="1"/>
  <c r="D1258" i="1"/>
  <c r="G1257" i="1"/>
  <c r="F1257" i="1"/>
  <c r="D1257" i="1"/>
  <c r="G1256" i="1"/>
  <c r="F1256" i="1"/>
  <c r="D1256" i="1"/>
  <c r="G1255" i="1"/>
  <c r="F1255" i="1"/>
  <c r="D1255" i="1"/>
  <c r="G1254" i="1"/>
  <c r="F1254" i="1"/>
  <c r="D1254" i="1"/>
  <c r="G1253" i="1"/>
  <c r="F1253" i="1"/>
  <c r="D1253" i="1"/>
  <c r="G1252" i="1"/>
  <c r="F1252" i="1"/>
  <c r="D1252" i="1"/>
  <c r="H1252" i="1" s="1"/>
  <c r="G1251" i="1"/>
  <c r="F1251" i="1"/>
  <c r="D1251" i="1"/>
  <c r="G1250" i="1"/>
  <c r="F1250" i="1"/>
  <c r="D1250" i="1"/>
  <c r="H1249" i="1"/>
  <c r="G1248" i="1"/>
  <c r="F1248" i="1"/>
  <c r="D1248" i="1"/>
  <c r="G1247" i="1"/>
  <c r="F1247" i="1"/>
  <c r="D1247" i="1"/>
  <c r="G1246" i="1"/>
  <c r="F1246" i="1"/>
  <c r="D1246" i="1"/>
  <c r="G1245" i="1"/>
  <c r="F1245" i="1"/>
  <c r="D1245" i="1"/>
  <c r="G1244" i="1"/>
  <c r="F1244" i="1"/>
  <c r="D1244" i="1"/>
  <c r="G1243" i="1"/>
  <c r="F1243" i="1"/>
  <c r="D1243" i="1"/>
  <c r="G1242" i="1"/>
  <c r="F1242" i="1"/>
  <c r="D1242" i="1"/>
  <c r="G1241" i="1"/>
  <c r="F1241" i="1"/>
  <c r="D1241" i="1"/>
  <c r="G1240" i="1"/>
  <c r="F1240" i="1"/>
  <c r="D1240" i="1"/>
  <c r="G1239" i="1"/>
  <c r="F1239" i="1"/>
  <c r="D1239" i="1"/>
  <c r="G1238" i="1"/>
  <c r="F1238" i="1"/>
  <c r="D1238" i="1"/>
  <c r="G1237" i="1"/>
  <c r="F1237" i="1"/>
  <c r="D1237" i="1"/>
  <c r="G1236" i="1"/>
  <c r="F1236" i="1"/>
  <c r="D1236" i="1"/>
  <c r="G1235" i="1"/>
  <c r="F1235" i="1"/>
  <c r="D1235" i="1"/>
  <c r="G1234" i="1"/>
  <c r="F1234" i="1"/>
  <c r="D1234" i="1"/>
  <c r="G1233" i="1"/>
  <c r="F1233" i="1"/>
  <c r="D1233" i="1"/>
  <c r="G1232" i="1"/>
  <c r="F1232" i="1"/>
  <c r="D1232" i="1"/>
  <c r="G1231" i="1"/>
  <c r="F1231" i="1"/>
  <c r="D1231" i="1"/>
  <c r="G1230" i="1"/>
  <c r="F1230" i="1"/>
  <c r="D1230" i="1"/>
  <c r="G1229" i="1"/>
  <c r="F1229" i="1"/>
  <c r="D1229" i="1"/>
  <c r="G1228" i="1"/>
  <c r="F1228" i="1"/>
  <c r="D1228" i="1"/>
  <c r="G1227" i="1"/>
  <c r="F1227" i="1"/>
  <c r="D1227" i="1"/>
  <c r="G1226" i="1"/>
  <c r="F1226" i="1"/>
  <c r="E1226" i="1"/>
  <c r="G1225" i="1"/>
  <c r="F1225" i="1"/>
  <c r="E1225" i="1"/>
  <c r="G1224" i="1"/>
  <c r="F1224" i="1"/>
  <c r="E1224" i="1"/>
  <c r="G1223" i="1"/>
  <c r="F1223" i="1"/>
  <c r="E1223" i="1"/>
  <c r="G1222" i="1"/>
  <c r="F1222" i="1"/>
  <c r="E1222" i="1"/>
  <c r="G1221" i="1"/>
  <c r="F1221" i="1"/>
  <c r="E1221" i="1"/>
  <c r="I1220" i="1"/>
  <c r="G1219" i="1"/>
  <c r="F1219" i="1"/>
  <c r="E1219" i="1"/>
  <c r="G1218" i="1"/>
  <c r="F1218" i="1"/>
  <c r="E1218" i="1"/>
  <c r="G1217" i="1"/>
  <c r="F1217" i="1"/>
  <c r="E1217" i="1"/>
  <c r="G1216" i="1"/>
  <c r="F1216" i="1"/>
  <c r="E1216" i="1"/>
  <c r="G1215" i="1"/>
  <c r="F1215" i="1"/>
  <c r="E1215" i="1"/>
  <c r="G1214" i="1"/>
  <c r="F1214" i="1"/>
  <c r="E1214" i="1"/>
  <c r="G1213" i="1"/>
  <c r="F1213" i="1"/>
  <c r="E1213" i="1"/>
  <c r="G1212" i="1"/>
  <c r="F1212" i="1"/>
  <c r="E1212" i="1"/>
  <c r="G1211" i="1"/>
  <c r="F1211" i="1"/>
  <c r="E1211" i="1"/>
  <c r="G1210" i="1"/>
  <c r="F1210" i="1"/>
  <c r="E1210" i="1"/>
  <c r="G1209" i="1"/>
  <c r="F1209" i="1"/>
  <c r="E1209" i="1"/>
  <c r="G1208" i="1"/>
  <c r="F1208" i="1"/>
  <c r="E1208" i="1"/>
  <c r="G1207" i="1"/>
  <c r="F1207" i="1"/>
  <c r="E1207" i="1"/>
  <c r="G1206" i="1"/>
  <c r="F1206" i="1"/>
  <c r="E1206" i="1"/>
  <c r="G1205" i="1"/>
  <c r="F1205" i="1"/>
  <c r="E1205" i="1"/>
  <c r="G1204" i="1"/>
  <c r="F1204" i="1"/>
  <c r="E1204" i="1"/>
  <c r="G1203" i="1"/>
  <c r="F1203" i="1"/>
  <c r="E1203" i="1"/>
  <c r="I1202" i="1"/>
  <c r="I1201" i="1"/>
  <c r="G1200" i="1"/>
  <c r="F1200" i="1"/>
  <c r="E1200" i="1"/>
  <c r="G1199" i="1"/>
  <c r="F1199" i="1"/>
  <c r="E1199" i="1"/>
  <c r="G1198" i="1"/>
  <c r="F1198" i="1"/>
  <c r="E1198" i="1"/>
  <c r="G1197" i="1"/>
  <c r="F1197" i="1"/>
  <c r="E1197" i="1"/>
  <c r="G1196" i="1"/>
  <c r="F1196" i="1"/>
  <c r="E1196" i="1"/>
  <c r="I1196" i="1" s="1"/>
  <c r="G1195" i="1"/>
  <c r="F1195" i="1"/>
  <c r="E1195" i="1"/>
  <c r="I1195" i="1" s="1"/>
  <c r="G1194" i="1"/>
  <c r="F1194" i="1"/>
  <c r="E1194" i="1"/>
  <c r="G1193" i="1"/>
  <c r="F1193" i="1"/>
  <c r="E1193" i="1"/>
  <c r="G1192" i="1"/>
  <c r="F1192" i="1"/>
  <c r="E1192" i="1"/>
  <c r="G1191" i="1"/>
  <c r="F1191" i="1"/>
  <c r="E1191" i="1"/>
  <c r="G1190" i="1"/>
  <c r="F1190" i="1"/>
  <c r="E1190" i="1"/>
  <c r="G1189" i="1"/>
  <c r="F1189" i="1"/>
  <c r="E1189" i="1"/>
  <c r="G1188" i="1"/>
  <c r="F1188" i="1"/>
  <c r="E1188" i="1"/>
  <c r="G1187" i="1"/>
  <c r="F1187" i="1"/>
  <c r="E1187" i="1"/>
  <c r="G1186" i="1"/>
  <c r="F1186" i="1"/>
  <c r="E1186" i="1"/>
  <c r="G1185" i="1"/>
  <c r="F1185" i="1"/>
  <c r="E1185" i="1"/>
  <c r="I1184" i="1"/>
  <c r="G1183" i="1"/>
  <c r="F1183" i="1"/>
  <c r="E1183" i="1"/>
  <c r="G1182" i="1"/>
  <c r="F1182" i="1"/>
  <c r="E1182" i="1"/>
  <c r="G1181" i="1"/>
  <c r="F1181" i="1"/>
  <c r="E1181" i="1"/>
  <c r="G1180" i="1"/>
  <c r="F1180" i="1"/>
  <c r="E1180" i="1"/>
  <c r="G1179" i="1"/>
  <c r="F1179" i="1"/>
  <c r="E1179" i="1"/>
  <c r="G1178" i="1"/>
  <c r="F1178" i="1"/>
  <c r="E1178" i="1"/>
  <c r="G1177" i="1"/>
  <c r="F1177" i="1"/>
  <c r="E1177" i="1"/>
  <c r="G1176" i="1"/>
  <c r="F1176" i="1"/>
  <c r="E1176" i="1"/>
  <c r="G1175" i="1"/>
  <c r="F1175" i="1"/>
  <c r="E1175" i="1"/>
  <c r="G1174" i="1"/>
  <c r="F1174" i="1"/>
  <c r="E1174" i="1"/>
  <c r="I1173" i="1"/>
  <c r="G1172" i="1"/>
  <c r="F1172" i="1"/>
  <c r="E1172" i="1"/>
  <c r="G1171" i="1"/>
  <c r="F1171" i="1"/>
  <c r="E1171" i="1"/>
  <c r="G1170" i="1"/>
  <c r="F1170" i="1"/>
  <c r="E1170" i="1"/>
  <c r="G1169" i="1"/>
  <c r="F1169" i="1"/>
  <c r="E1169" i="1"/>
  <c r="G1168" i="1"/>
  <c r="F1168" i="1"/>
  <c r="E1168" i="1"/>
  <c r="G1167" i="1"/>
  <c r="F1167" i="1"/>
  <c r="E1167" i="1"/>
  <c r="G1166" i="1"/>
  <c r="F1166" i="1"/>
  <c r="E1166" i="1"/>
  <c r="G1165" i="1"/>
  <c r="F1165" i="1"/>
  <c r="E1165" i="1"/>
  <c r="G1164" i="1"/>
  <c r="F1164" i="1"/>
  <c r="E1164" i="1"/>
  <c r="G1163" i="1"/>
  <c r="F1163" i="1"/>
  <c r="E1163" i="1"/>
  <c r="G1162" i="1"/>
  <c r="F1162" i="1"/>
  <c r="E1162" i="1"/>
  <c r="G1161" i="1"/>
  <c r="F1161" i="1"/>
  <c r="E1161" i="1"/>
  <c r="G1160" i="1"/>
  <c r="F1160" i="1"/>
  <c r="E1160" i="1"/>
  <c r="G1159" i="1"/>
  <c r="F1159" i="1"/>
  <c r="E1159" i="1"/>
  <c r="G1158" i="1"/>
  <c r="F1158" i="1"/>
  <c r="E1158" i="1"/>
  <c r="G1157" i="1"/>
  <c r="F1157" i="1"/>
  <c r="E1157" i="1"/>
  <c r="I1156" i="1"/>
  <c r="I1155" i="1"/>
  <c r="I1154" i="1"/>
  <c r="I1153" i="1"/>
  <c r="G1152" i="1"/>
  <c r="F1152" i="1"/>
  <c r="E1152" i="1"/>
  <c r="G1151" i="1"/>
  <c r="F1151" i="1"/>
  <c r="E1151" i="1"/>
  <c r="G1150" i="1"/>
  <c r="F1150" i="1"/>
  <c r="E1150" i="1"/>
  <c r="G1149" i="1"/>
  <c r="F1149" i="1"/>
  <c r="E1149" i="1"/>
  <c r="G1148" i="1"/>
  <c r="F1148" i="1"/>
  <c r="E1148" i="1"/>
  <c r="G1147" i="1"/>
  <c r="F1147" i="1"/>
  <c r="E1147" i="1"/>
  <c r="G1146" i="1"/>
  <c r="F1146" i="1"/>
  <c r="E1146" i="1"/>
  <c r="G1145" i="1"/>
  <c r="F1145" i="1"/>
  <c r="E1145" i="1"/>
  <c r="G1144" i="1"/>
  <c r="F1144" i="1"/>
  <c r="E1144" i="1"/>
  <c r="G1143" i="1"/>
  <c r="F1143" i="1"/>
  <c r="E1143" i="1"/>
  <c r="G1142" i="1"/>
  <c r="F1142" i="1"/>
  <c r="E1142" i="1"/>
  <c r="G1141" i="1"/>
  <c r="F1141" i="1"/>
  <c r="E1141" i="1"/>
  <c r="G1140" i="1"/>
  <c r="F1140" i="1"/>
  <c r="E1140" i="1"/>
  <c r="G1139" i="1"/>
  <c r="F1139" i="1"/>
  <c r="E1139" i="1"/>
  <c r="G1138" i="1"/>
  <c r="F1138" i="1"/>
  <c r="E1138" i="1"/>
  <c r="G1137" i="1"/>
  <c r="F1137" i="1"/>
  <c r="E1137" i="1"/>
  <c r="G1136" i="1"/>
  <c r="F1136" i="1"/>
  <c r="E1136" i="1"/>
  <c r="G1135" i="1"/>
  <c r="F1135" i="1"/>
  <c r="E1135" i="1"/>
  <c r="G1134" i="1"/>
  <c r="F1134" i="1"/>
  <c r="E1134" i="1"/>
  <c r="G1133" i="1"/>
  <c r="F1133" i="1"/>
  <c r="E1133" i="1"/>
  <c r="I1132" i="1"/>
  <c r="G1131" i="1"/>
  <c r="F1131" i="1"/>
  <c r="E1131" i="1"/>
  <c r="G1130" i="1"/>
  <c r="F1130" i="1"/>
  <c r="E1130" i="1"/>
  <c r="G1129" i="1"/>
  <c r="F1129" i="1"/>
  <c r="E1129" i="1"/>
  <c r="G1128" i="1"/>
  <c r="F1128" i="1"/>
  <c r="E1128" i="1"/>
  <c r="G1127" i="1"/>
  <c r="F1127" i="1"/>
  <c r="E1127" i="1"/>
  <c r="G1126" i="1"/>
  <c r="F1126" i="1"/>
  <c r="E1126" i="1"/>
  <c r="G1125" i="1"/>
  <c r="F1125" i="1"/>
  <c r="E1125" i="1"/>
  <c r="G1124" i="1"/>
  <c r="F1124" i="1"/>
  <c r="E1124" i="1"/>
  <c r="G1123" i="1"/>
  <c r="F1123" i="1"/>
  <c r="E1123" i="1"/>
  <c r="G1122" i="1"/>
  <c r="F1122" i="1"/>
  <c r="E1122" i="1"/>
  <c r="G1121" i="1"/>
  <c r="F1121" i="1"/>
  <c r="E1121" i="1"/>
  <c r="G1120" i="1"/>
  <c r="F1120" i="1"/>
  <c r="E1120" i="1"/>
  <c r="G1119" i="1"/>
  <c r="F1119" i="1"/>
  <c r="E1119" i="1"/>
  <c r="G1118" i="1"/>
  <c r="F1118" i="1"/>
  <c r="E1118" i="1"/>
  <c r="G1117" i="1"/>
  <c r="F1117" i="1"/>
  <c r="E1117" i="1"/>
  <c r="G1116" i="1"/>
  <c r="F1116" i="1"/>
  <c r="E1116" i="1"/>
  <c r="G1115" i="1"/>
  <c r="F1115" i="1"/>
  <c r="E1115" i="1"/>
  <c r="I1114" i="1"/>
  <c r="G1113" i="1"/>
  <c r="F1113" i="1"/>
  <c r="E1113" i="1"/>
  <c r="G1112" i="1"/>
  <c r="F1112" i="1"/>
  <c r="E1112" i="1"/>
  <c r="G1111" i="1"/>
  <c r="F1111" i="1"/>
  <c r="E1111" i="1"/>
  <c r="G1110" i="1"/>
  <c r="F1110" i="1"/>
  <c r="E1110" i="1"/>
  <c r="G1109" i="1"/>
  <c r="F1109" i="1"/>
  <c r="E1109" i="1"/>
  <c r="G1108" i="1"/>
  <c r="F1108" i="1"/>
  <c r="E1108" i="1"/>
  <c r="G1107" i="1"/>
  <c r="F1107" i="1"/>
  <c r="E1107" i="1"/>
  <c r="G1106" i="1"/>
  <c r="F1106" i="1"/>
  <c r="E1106" i="1"/>
  <c r="G1105" i="1"/>
  <c r="F1105" i="1"/>
  <c r="E1105" i="1"/>
  <c r="G1104" i="1"/>
  <c r="F1104" i="1"/>
  <c r="E1104" i="1"/>
  <c r="I1103" i="1"/>
  <c r="G1102" i="1"/>
  <c r="F1102" i="1"/>
  <c r="E1102" i="1"/>
  <c r="G1101" i="1"/>
  <c r="F1101" i="1"/>
  <c r="E1101" i="1"/>
  <c r="G1100" i="1"/>
  <c r="F1100" i="1"/>
  <c r="E1100" i="1"/>
  <c r="G1099" i="1"/>
  <c r="F1099" i="1"/>
  <c r="E1099" i="1"/>
  <c r="G1098" i="1"/>
  <c r="F1098" i="1"/>
  <c r="E1098" i="1"/>
  <c r="G1097" i="1"/>
  <c r="F1097" i="1"/>
  <c r="E1097" i="1"/>
  <c r="G1096" i="1"/>
  <c r="F1096" i="1"/>
  <c r="E1096" i="1"/>
  <c r="G1095" i="1"/>
  <c r="F1095" i="1"/>
  <c r="E1095" i="1"/>
  <c r="G1094" i="1"/>
  <c r="F1094" i="1"/>
  <c r="E1094" i="1"/>
  <c r="G1093" i="1"/>
  <c r="F1093" i="1"/>
  <c r="E1093" i="1"/>
  <c r="I1092" i="1"/>
  <c r="G1091" i="1"/>
  <c r="F1091" i="1"/>
  <c r="E1091" i="1"/>
  <c r="G1090" i="1"/>
  <c r="F1090" i="1"/>
  <c r="E1090" i="1"/>
  <c r="G1089" i="1"/>
  <c r="F1089" i="1"/>
  <c r="E1089" i="1"/>
  <c r="G1088" i="1"/>
  <c r="F1088" i="1"/>
  <c r="E1088" i="1"/>
  <c r="G1087" i="1"/>
  <c r="F1087" i="1"/>
  <c r="E1087" i="1"/>
  <c r="G1086" i="1"/>
  <c r="F1086" i="1"/>
  <c r="E1086" i="1"/>
  <c r="G1085" i="1"/>
  <c r="F1085" i="1"/>
  <c r="E1085" i="1"/>
  <c r="G1084" i="1"/>
  <c r="F1084" i="1"/>
  <c r="E1084" i="1"/>
  <c r="I1083" i="1"/>
  <c r="G1082" i="1"/>
  <c r="F1082" i="1"/>
  <c r="E1082" i="1"/>
  <c r="G1081" i="1"/>
  <c r="F1081" i="1"/>
  <c r="E1081" i="1"/>
  <c r="G1080" i="1"/>
  <c r="F1080" i="1"/>
  <c r="E1080" i="1"/>
  <c r="G1079" i="1"/>
  <c r="F1079" i="1"/>
  <c r="E1079" i="1"/>
  <c r="G1078" i="1"/>
  <c r="F1078" i="1"/>
  <c r="E1078" i="1"/>
  <c r="G1077" i="1"/>
  <c r="F1077" i="1"/>
  <c r="E1077" i="1"/>
  <c r="G1076" i="1"/>
  <c r="F1076" i="1"/>
  <c r="E1076" i="1"/>
  <c r="G1075" i="1"/>
  <c r="F1075" i="1"/>
  <c r="E1075" i="1"/>
  <c r="G1074" i="1"/>
  <c r="F1074" i="1"/>
  <c r="E1074" i="1"/>
  <c r="G1073" i="1"/>
  <c r="F1073" i="1"/>
  <c r="E1073" i="1"/>
  <c r="G1072" i="1"/>
  <c r="F1072" i="1"/>
  <c r="E1072" i="1"/>
  <c r="G1071" i="1"/>
  <c r="F1071" i="1"/>
  <c r="E1071" i="1"/>
  <c r="G1070" i="1"/>
  <c r="F1070" i="1"/>
  <c r="I1070" i="1" s="1"/>
  <c r="E1070" i="1"/>
  <c r="G1069" i="1"/>
  <c r="F1069" i="1"/>
  <c r="E1069" i="1"/>
  <c r="G1068" i="1"/>
  <c r="F1068" i="1"/>
  <c r="E1068" i="1"/>
  <c r="G1067" i="1"/>
  <c r="F1067" i="1"/>
  <c r="E1067" i="1"/>
  <c r="G1066" i="1"/>
  <c r="F1066" i="1"/>
  <c r="E1066" i="1"/>
  <c r="I1065" i="1"/>
  <c r="I1064" i="1"/>
  <c r="I1063" i="1"/>
  <c r="I1062" i="1"/>
  <c r="I1061" i="1"/>
  <c r="I1060" i="1"/>
  <c r="G1059" i="1"/>
  <c r="F1059" i="1"/>
  <c r="E1059" i="1"/>
  <c r="G1058" i="1"/>
  <c r="F1058" i="1"/>
  <c r="E1058" i="1"/>
  <c r="G1057" i="1"/>
  <c r="F1057" i="1"/>
  <c r="E1057" i="1"/>
  <c r="G1056" i="1"/>
  <c r="F1056" i="1"/>
  <c r="E1056" i="1"/>
  <c r="G1055" i="1"/>
  <c r="F1055" i="1"/>
  <c r="E1055" i="1"/>
  <c r="G1054" i="1"/>
  <c r="F1054" i="1"/>
  <c r="E1054" i="1"/>
  <c r="G1053" i="1"/>
  <c r="F1053" i="1"/>
  <c r="E1053" i="1"/>
  <c r="G1052" i="1"/>
  <c r="F1052" i="1"/>
  <c r="E1052" i="1"/>
  <c r="G1051" i="1"/>
  <c r="F1051" i="1"/>
  <c r="E1051" i="1"/>
  <c r="G1050" i="1"/>
  <c r="F1050" i="1"/>
  <c r="E1050" i="1"/>
  <c r="G1049" i="1"/>
  <c r="F1049" i="1"/>
  <c r="E1049" i="1"/>
  <c r="G1048" i="1"/>
  <c r="F1048" i="1"/>
  <c r="E1048" i="1"/>
  <c r="G1047" i="1"/>
  <c r="F1047" i="1"/>
  <c r="E1047" i="1"/>
  <c r="G1046" i="1"/>
  <c r="F1046" i="1"/>
  <c r="E1046" i="1"/>
  <c r="G1045" i="1"/>
  <c r="F1045" i="1"/>
  <c r="E1045" i="1"/>
  <c r="G1044" i="1"/>
  <c r="F1044" i="1"/>
  <c r="E1044" i="1"/>
  <c r="G1043" i="1"/>
  <c r="F1043" i="1"/>
  <c r="E1043" i="1"/>
  <c r="G1042" i="1"/>
  <c r="F1042" i="1"/>
  <c r="E1042" i="1"/>
  <c r="G1041" i="1"/>
  <c r="F1041" i="1"/>
  <c r="E1041" i="1"/>
  <c r="G1040" i="1"/>
  <c r="F1040" i="1"/>
  <c r="E1040" i="1"/>
  <c r="G1039" i="1"/>
  <c r="F1039" i="1"/>
  <c r="E1039" i="1"/>
  <c r="G1038" i="1"/>
  <c r="F1038" i="1"/>
  <c r="E1038" i="1"/>
  <c r="G1037" i="1"/>
  <c r="F1037" i="1"/>
  <c r="E1037" i="1"/>
  <c r="G1036" i="1"/>
  <c r="F1036" i="1"/>
  <c r="E1036" i="1"/>
  <c r="G1035" i="1"/>
  <c r="F1035" i="1"/>
  <c r="E1035" i="1"/>
  <c r="G1034" i="1"/>
  <c r="F1034" i="1"/>
  <c r="E1034" i="1"/>
  <c r="G1033" i="1"/>
  <c r="F1033" i="1"/>
  <c r="E1033" i="1"/>
  <c r="G1032" i="1"/>
  <c r="F1032" i="1"/>
  <c r="E1032" i="1"/>
  <c r="I1031" i="1"/>
  <c r="I1030" i="1"/>
  <c r="I1029" i="1"/>
  <c r="I1028" i="1"/>
  <c r="G1027" i="1"/>
  <c r="F1027" i="1"/>
  <c r="E1027" i="1"/>
  <c r="G1026" i="1"/>
  <c r="F1026" i="1"/>
  <c r="E1026" i="1"/>
  <c r="G1025" i="1"/>
  <c r="F1025" i="1"/>
  <c r="E1025" i="1"/>
  <c r="G1024" i="1"/>
  <c r="F1024" i="1"/>
  <c r="E1024" i="1"/>
  <c r="G1023" i="1"/>
  <c r="F1023" i="1"/>
  <c r="E1023" i="1"/>
  <c r="G1022" i="1"/>
  <c r="F1022" i="1"/>
  <c r="E1022" i="1"/>
  <c r="G1021" i="1"/>
  <c r="F1021" i="1"/>
  <c r="E1021" i="1"/>
  <c r="G1020" i="1"/>
  <c r="F1020" i="1"/>
  <c r="E1020" i="1"/>
  <c r="G1019" i="1"/>
  <c r="F1019" i="1"/>
  <c r="E1019" i="1"/>
  <c r="G1018" i="1"/>
  <c r="F1018" i="1"/>
  <c r="E1018" i="1"/>
  <c r="G1017" i="1"/>
  <c r="F1017" i="1"/>
  <c r="E1017" i="1"/>
  <c r="G1016" i="1"/>
  <c r="F1016" i="1"/>
  <c r="E1016" i="1"/>
  <c r="I1015" i="1"/>
  <c r="I1014" i="1"/>
  <c r="I1013" i="1"/>
  <c r="G1012" i="1"/>
  <c r="F1012" i="1"/>
  <c r="E1012" i="1"/>
  <c r="G1011" i="1"/>
  <c r="F1011" i="1"/>
  <c r="E1011" i="1"/>
  <c r="G1010" i="1"/>
  <c r="F1010" i="1"/>
  <c r="E1010" i="1"/>
  <c r="G1009" i="1"/>
  <c r="F1009" i="1"/>
  <c r="E1009" i="1"/>
  <c r="G1008" i="1"/>
  <c r="F1008" i="1"/>
  <c r="E1008" i="1"/>
  <c r="G1007" i="1"/>
  <c r="F1007" i="1"/>
  <c r="E1007" i="1"/>
  <c r="G1006" i="1"/>
  <c r="F1006" i="1"/>
  <c r="E1006" i="1"/>
  <c r="G1005" i="1"/>
  <c r="F1005" i="1"/>
  <c r="E1005" i="1"/>
  <c r="G1004" i="1"/>
  <c r="F1004" i="1"/>
  <c r="E1004" i="1"/>
  <c r="I1004" i="1" s="1"/>
  <c r="G1003" i="1"/>
  <c r="F1003" i="1"/>
  <c r="E1003" i="1"/>
  <c r="G1002" i="1"/>
  <c r="F1002" i="1"/>
  <c r="E1002" i="1"/>
  <c r="G1001" i="1"/>
  <c r="F1001" i="1"/>
  <c r="E1001" i="1"/>
  <c r="G1000" i="1"/>
  <c r="F1000" i="1"/>
  <c r="E1000" i="1"/>
  <c r="G999" i="1"/>
  <c r="F999" i="1"/>
  <c r="E999" i="1"/>
  <c r="G998" i="1"/>
  <c r="F998" i="1"/>
  <c r="E998" i="1"/>
  <c r="G997" i="1"/>
  <c r="F997" i="1"/>
  <c r="E997" i="1"/>
  <c r="I996" i="1"/>
  <c r="G995" i="1"/>
  <c r="F995" i="1"/>
  <c r="E995" i="1"/>
  <c r="G994" i="1"/>
  <c r="F994" i="1"/>
  <c r="E994" i="1"/>
  <c r="G993" i="1"/>
  <c r="F993" i="1"/>
  <c r="E993" i="1"/>
  <c r="G992" i="1"/>
  <c r="F992" i="1"/>
  <c r="E992" i="1"/>
  <c r="G991" i="1"/>
  <c r="F991" i="1"/>
  <c r="E991" i="1"/>
  <c r="G990" i="1"/>
  <c r="F990" i="1"/>
  <c r="E990" i="1"/>
  <c r="G989" i="1"/>
  <c r="F989" i="1"/>
  <c r="E989" i="1"/>
  <c r="G988" i="1"/>
  <c r="F988" i="1"/>
  <c r="E988" i="1"/>
  <c r="G987" i="1"/>
  <c r="F987" i="1"/>
  <c r="E987" i="1"/>
  <c r="G986" i="1"/>
  <c r="F986" i="1"/>
  <c r="E986" i="1"/>
  <c r="G985" i="1"/>
  <c r="F985" i="1"/>
  <c r="E985" i="1"/>
  <c r="G984" i="1"/>
  <c r="F984" i="1"/>
  <c r="E984" i="1"/>
  <c r="G983" i="1"/>
  <c r="F983" i="1"/>
  <c r="E983" i="1"/>
  <c r="G982" i="1"/>
  <c r="F982" i="1"/>
  <c r="E982" i="1"/>
  <c r="G981" i="1"/>
  <c r="F981" i="1"/>
  <c r="E981" i="1"/>
  <c r="I980" i="1"/>
  <c r="I979" i="1"/>
  <c r="G978" i="1"/>
  <c r="F978" i="1"/>
  <c r="E978" i="1"/>
  <c r="G977" i="1"/>
  <c r="F977" i="1"/>
  <c r="E977" i="1"/>
  <c r="I976" i="1"/>
  <c r="I975" i="1"/>
  <c r="I974" i="1"/>
  <c r="G973" i="1"/>
  <c r="F973" i="1"/>
  <c r="E973" i="1"/>
  <c r="G972" i="1"/>
  <c r="F972" i="1"/>
  <c r="E972" i="1"/>
  <c r="G971" i="1"/>
  <c r="F971" i="1"/>
  <c r="E971" i="1"/>
  <c r="G970" i="1"/>
  <c r="F970" i="1"/>
  <c r="E970" i="1"/>
  <c r="G969" i="1"/>
  <c r="F969" i="1"/>
  <c r="E969" i="1"/>
  <c r="G968" i="1"/>
  <c r="F968" i="1"/>
  <c r="E968" i="1"/>
  <c r="G967" i="1"/>
  <c r="F967" i="1"/>
  <c r="E967" i="1"/>
  <c r="I966" i="1"/>
  <c r="G965" i="1"/>
  <c r="F965" i="1"/>
  <c r="E965" i="1"/>
  <c r="G964" i="1"/>
  <c r="F964" i="1"/>
  <c r="E964" i="1"/>
  <c r="G963" i="1"/>
  <c r="F963" i="1"/>
  <c r="E963" i="1"/>
  <c r="G962" i="1"/>
  <c r="F962" i="1"/>
  <c r="E962" i="1"/>
  <c r="G961" i="1"/>
  <c r="F961" i="1"/>
  <c r="E961" i="1"/>
  <c r="G960" i="1"/>
  <c r="F960" i="1"/>
  <c r="E960" i="1"/>
  <c r="I959" i="1"/>
  <c r="I958" i="1"/>
  <c r="I957" i="1"/>
  <c r="I956" i="1"/>
  <c r="I955" i="1"/>
  <c r="I954" i="1"/>
  <c r="G953" i="1"/>
  <c r="F953" i="1"/>
  <c r="E953" i="1"/>
  <c r="G952" i="1"/>
  <c r="F952" i="1"/>
  <c r="E952" i="1"/>
  <c r="G951" i="1"/>
  <c r="F951" i="1"/>
  <c r="E951" i="1"/>
  <c r="G950" i="1"/>
  <c r="F950" i="1"/>
  <c r="E950" i="1"/>
  <c r="G949" i="1"/>
  <c r="F949" i="1"/>
  <c r="E949" i="1"/>
  <c r="G948" i="1"/>
  <c r="F948" i="1"/>
  <c r="E948" i="1"/>
  <c r="I947" i="1"/>
  <c r="I946" i="1"/>
  <c r="G945" i="1"/>
  <c r="F945" i="1"/>
  <c r="E945" i="1"/>
  <c r="G944" i="1"/>
  <c r="F944" i="1"/>
  <c r="E944" i="1"/>
  <c r="G943" i="1"/>
  <c r="F943" i="1"/>
  <c r="E943" i="1"/>
  <c r="G942" i="1"/>
  <c r="F942" i="1"/>
  <c r="E942" i="1"/>
  <c r="G941" i="1"/>
  <c r="F941" i="1"/>
  <c r="E941" i="1"/>
  <c r="G940" i="1"/>
  <c r="F940" i="1"/>
  <c r="E940" i="1"/>
  <c r="I939" i="1"/>
  <c r="I938" i="1"/>
  <c r="I937" i="1"/>
  <c r="I936" i="1"/>
  <c r="I935" i="1"/>
  <c r="G934" i="1"/>
  <c r="F934" i="1"/>
  <c r="E934" i="1"/>
  <c r="I933" i="1"/>
  <c r="I932" i="1"/>
  <c r="I931" i="1"/>
  <c r="G930" i="1"/>
  <c r="F930" i="1"/>
  <c r="E930" i="1"/>
  <c r="I929" i="1"/>
  <c r="I928" i="1"/>
  <c r="I927" i="1"/>
  <c r="I926" i="1"/>
  <c r="G925" i="1"/>
  <c r="F925" i="1"/>
  <c r="E925" i="1"/>
  <c r="G924" i="1"/>
  <c r="F924" i="1"/>
  <c r="E924" i="1"/>
  <c r="G923" i="1"/>
  <c r="I923" i="1" s="1"/>
  <c r="F923" i="1"/>
  <c r="E923" i="1"/>
  <c r="G922" i="1"/>
  <c r="F922" i="1"/>
  <c r="E922" i="1"/>
  <c r="G921" i="1"/>
  <c r="F921" i="1"/>
  <c r="E921" i="1"/>
  <c r="G920" i="1"/>
  <c r="F920" i="1"/>
  <c r="E920" i="1"/>
  <c r="G919" i="1"/>
  <c r="F919" i="1"/>
  <c r="E919" i="1"/>
  <c r="I918" i="1"/>
  <c r="G917" i="1"/>
  <c r="F917" i="1"/>
  <c r="E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G901" i="1"/>
  <c r="F901" i="1"/>
  <c r="E901" i="1"/>
  <c r="G900" i="1"/>
  <c r="F900" i="1"/>
  <c r="E900" i="1"/>
  <c r="G899" i="1"/>
  <c r="F899" i="1"/>
  <c r="E899" i="1"/>
  <c r="G898" i="1"/>
  <c r="F898" i="1"/>
  <c r="E898" i="1"/>
  <c r="G897" i="1"/>
  <c r="F897" i="1"/>
  <c r="E897" i="1"/>
  <c r="G896" i="1"/>
  <c r="F896" i="1"/>
  <c r="E896" i="1"/>
  <c r="G895" i="1"/>
  <c r="F895" i="1"/>
  <c r="E895" i="1"/>
  <c r="I894" i="1"/>
  <c r="I893" i="1"/>
  <c r="I892" i="1"/>
  <c r="I891" i="1"/>
  <c r="I890" i="1"/>
  <c r="I889" i="1"/>
  <c r="I888" i="1"/>
  <c r="I887" i="1"/>
  <c r="G886" i="1"/>
  <c r="F886" i="1"/>
  <c r="E886" i="1"/>
  <c r="G885" i="1"/>
  <c r="F885" i="1"/>
  <c r="E885" i="1"/>
  <c r="G884" i="1"/>
  <c r="F884" i="1"/>
  <c r="E884" i="1"/>
  <c r="G883" i="1"/>
  <c r="F883" i="1"/>
  <c r="E883" i="1"/>
  <c r="G882" i="1"/>
  <c r="F882" i="1"/>
  <c r="E882" i="1"/>
  <c r="I881" i="1"/>
  <c r="G880" i="1"/>
  <c r="F880" i="1"/>
  <c r="E880" i="1"/>
  <c r="G879" i="1"/>
  <c r="F879" i="1"/>
  <c r="E879" i="1"/>
  <c r="I878" i="1"/>
  <c r="I877" i="1"/>
  <c r="I876" i="1"/>
  <c r="I875" i="1"/>
  <c r="I874" i="1"/>
  <c r="I873" i="1"/>
  <c r="G872" i="1"/>
  <c r="F872" i="1"/>
  <c r="E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G853" i="1"/>
  <c r="F853" i="1"/>
  <c r="E853" i="1"/>
  <c r="I852" i="1"/>
  <c r="I851" i="1"/>
  <c r="I850" i="1"/>
  <c r="I849" i="1"/>
  <c r="G848" i="1"/>
  <c r="F848" i="1"/>
  <c r="E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G815" i="1"/>
  <c r="F815" i="1"/>
  <c r="E815" i="1"/>
  <c r="G814" i="1"/>
  <c r="F814" i="1"/>
  <c r="E814" i="1"/>
  <c r="G813" i="1"/>
  <c r="F813" i="1"/>
  <c r="E813" i="1"/>
  <c r="G812" i="1"/>
  <c r="F812" i="1"/>
  <c r="E812" i="1"/>
  <c r="G811" i="1"/>
  <c r="F811" i="1"/>
  <c r="E811" i="1"/>
  <c r="G810" i="1"/>
  <c r="F810" i="1"/>
  <c r="E810" i="1"/>
  <c r="I810" i="1" s="1"/>
  <c r="G809" i="1"/>
  <c r="F809" i="1"/>
  <c r="E809" i="1"/>
  <c r="I808" i="1"/>
  <c r="I807" i="1"/>
  <c r="G806" i="1"/>
  <c r="F806" i="1"/>
  <c r="E806" i="1"/>
  <c r="I805" i="1"/>
  <c r="G804" i="1"/>
  <c r="I804" i="1" s="1"/>
  <c r="F804" i="1"/>
  <c r="E804" i="1"/>
  <c r="G803" i="1"/>
  <c r="F803" i="1"/>
  <c r="E803" i="1"/>
  <c r="G802" i="1"/>
  <c r="F802" i="1"/>
  <c r="E802" i="1"/>
  <c r="G801" i="1"/>
  <c r="F801" i="1"/>
  <c r="E801" i="1"/>
  <c r="G800" i="1"/>
  <c r="F800" i="1"/>
  <c r="E800" i="1"/>
  <c r="G799" i="1"/>
  <c r="F799" i="1"/>
  <c r="E799" i="1"/>
  <c r="G798" i="1"/>
  <c r="F798" i="1"/>
  <c r="E798" i="1"/>
  <c r="G797" i="1"/>
  <c r="F797" i="1"/>
  <c r="E797" i="1"/>
  <c r="G796" i="1"/>
  <c r="F796" i="1"/>
  <c r="E796" i="1"/>
  <c r="G795" i="1"/>
  <c r="F795" i="1"/>
  <c r="E795" i="1"/>
  <c r="G794" i="1"/>
  <c r="F794" i="1"/>
  <c r="D794" i="1"/>
  <c r="H794" i="1" s="1"/>
  <c r="G793" i="1"/>
  <c r="F793" i="1"/>
  <c r="D793" i="1"/>
  <c r="G792" i="1"/>
  <c r="F792" i="1"/>
  <c r="D792" i="1"/>
  <c r="G791" i="1"/>
  <c r="F791" i="1"/>
  <c r="E791" i="1"/>
  <c r="H790" i="1"/>
  <c r="G789" i="1"/>
  <c r="F789" i="1"/>
  <c r="D789" i="1"/>
  <c r="G788" i="1"/>
  <c r="F788" i="1"/>
  <c r="D788" i="1"/>
  <c r="G787" i="1"/>
  <c r="F787" i="1"/>
  <c r="D787" i="1"/>
  <c r="G786" i="1"/>
  <c r="F786" i="1"/>
  <c r="D786" i="1"/>
  <c r="G785" i="1"/>
  <c r="F785" i="1"/>
  <c r="D785" i="1"/>
  <c r="G784" i="1"/>
  <c r="F784" i="1"/>
  <c r="D784" i="1"/>
  <c r="G783" i="1"/>
  <c r="F783" i="1"/>
  <c r="D783" i="1"/>
  <c r="G782" i="1"/>
  <c r="F782" i="1"/>
  <c r="D782" i="1"/>
  <c r="G781" i="1"/>
  <c r="F781" i="1"/>
  <c r="D781" i="1"/>
  <c r="G780" i="1"/>
  <c r="F780" i="1"/>
  <c r="D780" i="1"/>
  <c r="G779" i="1"/>
  <c r="F779" i="1"/>
  <c r="D779" i="1"/>
  <c r="H779" i="1" s="1"/>
  <c r="G778" i="1"/>
  <c r="F778" i="1"/>
  <c r="D778" i="1"/>
  <c r="H778" i="1" s="1"/>
  <c r="G777" i="1"/>
  <c r="F777" i="1"/>
  <c r="D777" i="1"/>
  <c r="G776" i="1"/>
  <c r="F776" i="1"/>
  <c r="D776" i="1"/>
  <c r="G775" i="1"/>
  <c r="F775" i="1"/>
  <c r="D775" i="1"/>
  <c r="G774" i="1"/>
  <c r="F774" i="1"/>
  <c r="D774" i="1"/>
  <c r="H774" i="1" s="1"/>
  <c r="G773" i="1"/>
  <c r="F773" i="1"/>
  <c r="D773" i="1"/>
  <c r="G772" i="1"/>
  <c r="F772" i="1"/>
  <c r="D772" i="1"/>
  <c r="H771" i="1"/>
  <c r="H770" i="1"/>
  <c r="H769" i="1"/>
  <c r="G768" i="1"/>
  <c r="F768" i="1"/>
  <c r="D768" i="1"/>
  <c r="G767" i="1"/>
  <c r="F767" i="1"/>
  <c r="D767" i="1"/>
  <c r="G766" i="1"/>
  <c r="F766" i="1"/>
  <c r="D766" i="1"/>
  <c r="G765" i="1"/>
  <c r="F765" i="1"/>
  <c r="D765" i="1"/>
  <c r="H764" i="1"/>
  <c r="G763" i="1"/>
  <c r="F763" i="1"/>
  <c r="D763" i="1"/>
  <c r="G762" i="1"/>
  <c r="F762" i="1"/>
  <c r="D762" i="1"/>
  <c r="G761" i="1"/>
  <c r="F761" i="1"/>
  <c r="D761" i="1"/>
  <c r="G760" i="1"/>
  <c r="F760" i="1"/>
  <c r="D760" i="1"/>
  <c r="G759" i="1"/>
  <c r="F759" i="1"/>
  <c r="D759" i="1"/>
  <c r="H759" i="1" s="1"/>
  <c r="G758" i="1"/>
  <c r="F758" i="1"/>
  <c r="D758" i="1"/>
  <c r="G757" i="1"/>
  <c r="F757" i="1"/>
  <c r="D757" i="1"/>
  <c r="G756" i="1"/>
  <c r="H756" i="1" s="1"/>
  <c r="F756" i="1"/>
  <c r="D756" i="1"/>
  <c r="G755" i="1"/>
  <c r="H755" i="1" s="1"/>
  <c r="F755" i="1"/>
  <c r="D755" i="1"/>
  <c r="G754" i="1"/>
  <c r="F754" i="1"/>
  <c r="D754" i="1"/>
  <c r="G753" i="1"/>
  <c r="F753" i="1"/>
  <c r="D753" i="1"/>
  <c r="H752" i="1"/>
  <c r="H751" i="1"/>
  <c r="H750" i="1"/>
  <c r="H749" i="1"/>
  <c r="H748" i="1"/>
  <c r="G747" i="1"/>
  <c r="F747" i="1"/>
  <c r="D747" i="1"/>
  <c r="G746" i="1"/>
  <c r="F746" i="1"/>
  <c r="D746" i="1"/>
  <c r="G745" i="1"/>
  <c r="F745" i="1"/>
  <c r="D745" i="1"/>
  <c r="G744" i="1"/>
  <c r="F744" i="1"/>
  <c r="D744" i="1"/>
  <c r="G743" i="1"/>
  <c r="F743" i="1"/>
  <c r="D743" i="1"/>
  <c r="G742" i="1"/>
  <c r="F742" i="1"/>
  <c r="D742" i="1"/>
  <c r="G741" i="1"/>
  <c r="F741" i="1"/>
  <c r="D741" i="1"/>
  <c r="G740" i="1"/>
  <c r="F740" i="1"/>
  <c r="D740" i="1"/>
  <c r="G739" i="1"/>
  <c r="F739" i="1"/>
  <c r="D739" i="1"/>
  <c r="G738" i="1"/>
  <c r="F738" i="1"/>
  <c r="D738" i="1"/>
  <c r="H738" i="1" s="1"/>
  <c r="H737" i="1"/>
  <c r="G736" i="1"/>
  <c r="F736" i="1"/>
  <c r="D736" i="1"/>
  <c r="G735" i="1"/>
  <c r="F735" i="1"/>
  <c r="D735" i="1"/>
  <c r="G734" i="1"/>
  <c r="F734" i="1"/>
  <c r="D734" i="1"/>
  <c r="G733" i="1"/>
  <c r="F733" i="1"/>
  <c r="D733" i="1"/>
  <c r="H732" i="1"/>
  <c r="G731" i="1"/>
  <c r="F731" i="1"/>
  <c r="D731" i="1"/>
  <c r="G730" i="1"/>
  <c r="F730" i="1"/>
  <c r="D730" i="1"/>
  <c r="G729" i="1"/>
  <c r="F729" i="1"/>
  <c r="D729" i="1"/>
  <c r="G728" i="1"/>
  <c r="F728" i="1"/>
  <c r="D728" i="1"/>
  <c r="H727" i="1"/>
  <c r="G726" i="1"/>
  <c r="F726" i="1"/>
  <c r="D726" i="1"/>
  <c r="G725" i="1"/>
  <c r="F725" i="1"/>
  <c r="D725" i="1"/>
  <c r="G724" i="1"/>
  <c r="F724" i="1"/>
  <c r="D724" i="1"/>
  <c r="G723" i="1"/>
  <c r="F723" i="1"/>
  <c r="D723" i="1"/>
  <c r="H722" i="1"/>
  <c r="G721" i="1"/>
  <c r="F721" i="1"/>
  <c r="D721" i="1"/>
  <c r="G720" i="1"/>
  <c r="F720" i="1"/>
  <c r="D720" i="1"/>
  <c r="G719" i="1"/>
  <c r="F719" i="1"/>
  <c r="D719" i="1"/>
  <c r="G718" i="1"/>
  <c r="F718" i="1"/>
  <c r="D718" i="1"/>
  <c r="H717" i="1"/>
  <c r="G716" i="1"/>
  <c r="F716" i="1"/>
  <c r="D716" i="1"/>
  <c r="G715" i="1"/>
  <c r="F715" i="1"/>
  <c r="D715" i="1"/>
  <c r="G714" i="1"/>
  <c r="F714" i="1"/>
  <c r="D714" i="1"/>
  <c r="G713" i="1"/>
  <c r="F713" i="1"/>
  <c r="D713" i="1"/>
  <c r="G712" i="1"/>
  <c r="F712" i="1"/>
  <c r="D712" i="1"/>
  <c r="G711" i="1"/>
  <c r="F711" i="1"/>
  <c r="D711" i="1"/>
  <c r="G710" i="1"/>
  <c r="F710" i="1"/>
  <c r="D710" i="1"/>
  <c r="G709" i="1"/>
  <c r="F709" i="1"/>
  <c r="D709" i="1"/>
  <c r="G708" i="1"/>
  <c r="F708" i="1"/>
  <c r="D708" i="1"/>
  <c r="G707" i="1"/>
  <c r="F707" i="1"/>
  <c r="D707" i="1"/>
  <c r="G706" i="1"/>
  <c r="F706" i="1"/>
  <c r="D706" i="1"/>
  <c r="H705" i="1"/>
  <c r="G704" i="1"/>
  <c r="F704" i="1"/>
  <c r="D704" i="1"/>
  <c r="G703" i="1"/>
  <c r="F703" i="1"/>
  <c r="D703" i="1"/>
  <c r="G702" i="1"/>
  <c r="F702" i="1"/>
  <c r="D702" i="1"/>
  <c r="G701" i="1"/>
  <c r="F701" i="1"/>
  <c r="D701" i="1"/>
  <c r="G700" i="1"/>
  <c r="F700" i="1"/>
  <c r="D700" i="1"/>
  <c r="G699" i="1"/>
  <c r="F699" i="1"/>
  <c r="D699" i="1"/>
  <c r="G698" i="1"/>
  <c r="F698" i="1"/>
  <c r="D698" i="1"/>
  <c r="G697" i="1"/>
  <c r="F697" i="1"/>
  <c r="D697" i="1"/>
  <c r="H696" i="1"/>
  <c r="G695" i="1"/>
  <c r="F695" i="1"/>
  <c r="D695" i="1"/>
  <c r="G694" i="1"/>
  <c r="F694" i="1"/>
  <c r="D694" i="1"/>
  <c r="H693" i="1"/>
  <c r="H692" i="1"/>
  <c r="H691" i="1"/>
  <c r="G690" i="1"/>
  <c r="F690" i="1"/>
  <c r="D690" i="1"/>
  <c r="H689" i="1"/>
  <c r="H688" i="1"/>
  <c r="H687" i="1"/>
  <c r="H686" i="1"/>
  <c r="H685" i="1"/>
  <c r="H684" i="1"/>
  <c r="H683" i="1"/>
  <c r="H682" i="1"/>
  <c r="H681" i="1"/>
  <c r="G680" i="1"/>
  <c r="F680" i="1"/>
  <c r="D680" i="1"/>
  <c r="G679" i="1"/>
  <c r="F679" i="1"/>
  <c r="D679" i="1"/>
  <c r="G678" i="1"/>
  <c r="F678" i="1"/>
  <c r="D678" i="1"/>
  <c r="H677" i="1"/>
  <c r="H676" i="1"/>
  <c r="G675" i="1"/>
  <c r="F675" i="1"/>
  <c r="D675" i="1"/>
  <c r="G674" i="1"/>
  <c r="F674" i="1"/>
  <c r="D674" i="1"/>
  <c r="G673" i="1"/>
  <c r="F673" i="1"/>
  <c r="D673" i="1"/>
  <c r="H672" i="1"/>
  <c r="G671" i="1"/>
  <c r="F671" i="1"/>
  <c r="D671" i="1"/>
  <c r="H670" i="1"/>
  <c r="G669" i="1"/>
  <c r="F669" i="1"/>
  <c r="D669" i="1"/>
  <c r="H668" i="1"/>
  <c r="G667" i="1"/>
  <c r="F667" i="1"/>
  <c r="D667" i="1"/>
  <c r="G666" i="1"/>
  <c r="F666" i="1"/>
  <c r="D666" i="1"/>
  <c r="G665" i="1"/>
  <c r="F665" i="1"/>
  <c r="D665" i="1"/>
  <c r="G664" i="1"/>
  <c r="F664" i="1"/>
  <c r="D664" i="1"/>
  <c r="G663" i="1"/>
  <c r="F663" i="1"/>
  <c r="D663" i="1"/>
  <c r="G662" i="1"/>
  <c r="F662" i="1"/>
  <c r="D662" i="1"/>
  <c r="G661" i="1"/>
  <c r="F661" i="1"/>
  <c r="D661" i="1"/>
  <c r="G660" i="1"/>
  <c r="F660" i="1"/>
  <c r="D660" i="1"/>
  <c r="G659" i="1"/>
  <c r="F659" i="1"/>
  <c r="D659" i="1"/>
  <c r="G658" i="1"/>
  <c r="F658" i="1"/>
  <c r="D658" i="1"/>
  <c r="G657" i="1"/>
  <c r="F657" i="1"/>
  <c r="D657" i="1"/>
  <c r="H656" i="1"/>
  <c r="G655" i="1"/>
  <c r="F655" i="1"/>
  <c r="D655" i="1"/>
  <c r="G654" i="1"/>
  <c r="F654" i="1"/>
  <c r="D654" i="1"/>
  <c r="G653" i="1"/>
  <c r="F653" i="1"/>
  <c r="D653" i="1"/>
  <c r="G652" i="1"/>
  <c r="F652" i="1"/>
  <c r="D652" i="1"/>
  <c r="G651" i="1"/>
  <c r="F651" i="1"/>
  <c r="D651" i="1"/>
  <c r="G650" i="1"/>
  <c r="F650" i="1"/>
  <c r="D650" i="1"/>
  <c r="G649" i="1"/>
  <c r="F649" i="1"/>
  <c r="D649" i="1"/>
  <c r="G648" i="1"/>
  <c r="F648" i="1"/>
  <c r="D648" i="1"/>
  <c r="G647" i="1"/>
  <c r="F647" i="1"/>
  <c r="D647" i="1"/>
  <c r="G646" i="1"/>
  <c r="F646" i="1"/>
  <c r="D646" i="1"/>
  <c r="G645" i="1"/>
  <c r="F645" i="1"/>
  <c r="D645" i="1"/>
  <c r="G644" i="1"/>
  <c r="F644" i="1"/>
  <c r="D644" i="1"/>
  <c r="G643" i="1"/>
  <c r="F643" i="1"/>
  <c r="D643" i="1"/>
  <c r="G642" i="1"/>
  <c r="F642" i="1"/>
  <c r="D642" i="1"/>
  <c r="G641" i="1"/>
  <c r="F641" i="1"/>
  <c r="D641" i="1"/>
  <c r="G640" i="1"/>
  <c r="F640" i="1"/>
  <c r="D640" i="1"/>
  <c r="G639" i="1"/>
  <c r="F639" i="1"/>
  <c r="D639" i="1"/>
  <c r="H638" i="1"/>
  <c r="G637" i="1"/>
  <c r="F637" i="1"/>
  <c r="D637" i="1"/>
  <c r="H636" i="1"/>
  <c r="G635" i="1"/>
  <c r="F635" i="1"/>
  <c r="D635" i="1"/>
  <c r="G634" i="1"/>
  <c r="F634" i="1"/>
  <c r="D634" i="1"/>
  <c r="H634" i="1" s="1"/>
  <c r="G633" i="1"/>
  <c r="F633" i="1"/>
  <c r="D633" i="1"/>
  <c r="G632" i="1"/>
  <c r="F632" i="1"/>
  <c r="D632" i="1"/>
  <c r="H631" i="1"/>
  <c r="G630" i="1"/>
  <c r="F630" i="1"/>
  <c r="D630" i="1"/>
  <c r="H629" i="1"/>
  <c r="G628" i="1"/>
  <c r="F628" i="1"/>
  <c r="D628" i="1"/>
  <c r="H627" i="1"/>
  <c r="G626" i="1"/>
  <c r="F626" i="1"/>
  <c r="D626" i="1"/>
  <c r="H625" i="1"/>
  <c r="G624" i="1"/>
  <c r="F624" i="1"/>
  <c r="D624" i="1"/>
  <c r="G623" i="1"/>
  <c r="F623" i="1"/>
  <c r="D623" i="1"/>
  <c r="G622" i="1"/>
  <c r="F622" i="1"/>
  <c r="D622" i="1"/>
  <c r="G621" i="1"/>
  <c r="F621" i="1"/>
  <c r="D621" i="1"/>
  <c r="G620" i="1"/>
  <c r="H620" i="1" s="1"/>
  <c r="F620" i="1"/>
  <c r="D620" i="1"/>
  <c r="G619" i="1"/>
  <c r="F619" i="1"/>
  <c r="D619" i="1"/>
  <c r="G618" i="1"/>
  <c r="F618" i="1"/>
  <c r="D618" i="1"/>
  <c r="H618" i="1" s="1"/>
  <c r="G617" i="1"/>
  <c r="F617" i="1"/>
  <c r="D617" i="1"/>
  <c r="H617" i="1" s="1"/>
  <c r="G616" i="1"/>
  <c r="F616" i="1"/>
  <c r="D616" i="1"/>
  <c r="G615" i="1"/>
  <c r="F615" i="1"/>
  <c r="D615" i="1"/>
  <c r="G614" i="1"/>
  <c r="F614" i="1"/>
  <c r="D614" i="1"/>
  <c r="H613" i="1"/>
  <c r="G612" i="1"/>
  <c r="F612" i="1"/>
  <c r="D612" i="1"/>
  <c r="G611" i="1"/>
  <c r="F611" i="1"/>
  <c r="D611" i="1"/>
  <c r="H611" i="1" s="1"/>
  <c r="G610" i="1"/>
  <c r="F610" i="1"/>
  <c r="D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G575" i="1"/>
  <c r="F575" i="1"/>
  <c r="D575" i="1"/>
  <c r="G574" i="1"/>
  <c r="F574" i="1"/>
  <c r="D574" i="1"/>
  <c r="G573" i="1"/>
  <c r="F573" i="1"/>
  <c r="D573" i="1"/>
  <c r="G572" i="1"/>
  <c r="F572" i="1"/>
  <c r="D572" i="1"/>
  <c r="G571" i="1"/>
  <c r="F571" i="1"/>
  <c r="D571" i="1"/>
  <c r="G570" i="1"/>
  <c r="F570" i="1"/>
  <c r="D570" i="1"/>
  <c r="G569" i="1"/>
  <c r="F569" i="1"/>
  <c r="D569" i="1"/>
  <c r="G568" i="1"/>
  <c r="F568" i="1"/>
  <c r="D568" i="1"/>
  <c r="H568" i="1" s="1"/>
  <c r="G567" i="1"/>
  <c r="F567" i="1"/>
  <c r="D567" i="1"/>
  <c r="H566" i="1"/>
  <c r="G565" i="1"/>
  <c r="F565" i="1"/>
  <c r="D565" i="1"/>
  <c r="H565" i="1" s="1"/>
  <c r="G564" i="1"/>
  <c r="F564" i="1"/>
  <c r="D564" i="1"/>
  <c r="G563" i="1"/>
  <c r="F563" i="1"/>
  <c r="D563" i="1"/>
  <c r="G562" i="1"/>
  <c r="F562" i="1"/>
  <c r="D562" i="1"/>
  <c r="H561" i="1"/>
  <c r="G560" i="1"/>
  <c r="F560" i="1"/>
  <c r="D560" i="1"/>
  <c r="G559" i="1"/>
  <c r="F559" i="1"/>
  <c r="D559" i="1"/>
  <c r="H559" i="1" s="1"/>
  <c r="G558" i="1"/>
  <c r="F558" i="1"/>
  <c r="D558" i="1"/>
  <c r="G557" i="1"/>
  <c r="F557" i="1"/>
  <c r="D557" i="1"/>
  <c r="G556" i="1"/>
  <c r="F556" i="1"/>
  <c r="D556" i="1"/>
  <c r="G555" i="1"/>
  <c r="F555" i="1"/>
  <c r="D555" i="1"/>
  <c r="G554" i="1"/>
  <c r="F554" i="1"/>
  <c r="D554" i="1"/>
  <c r="H554" i="1" s="1"/>
  <c r="G553" i="1"/>
  <c r="F553" i="1"/>
  <c r="D553" i="1"/>
  <c r="G552" i="1"/>
  <c r="F552" i="1"/>
  <c r="D552" i="1"/>
  <c r="G551" i="1"/>
  <c r="F551" i="1"/>
  <c r="D551" i="1"/>
  <c r="G550" i="1"/>
  <c r="F550" i="1"/>
  <c r="D550" i="1"/>
  <c r="H549" i="1"/>
  <c r="G548" i="1"/>
  <c r="F548" i="1"/>
  <c r="D548" i="1"/>
  <c r="H548" i="1" s="1"/>
  <c r="G547" i="1"/>
  <c r="F547" i="1"/>
  <c r="D547" i="1"/>
  <c r="G546" i="1"/>
  <c r="F546" i="1"/>
  <c r="D546" i="1"/>
  <c r="G545" i="1"/>
  <c r="F545" i="1"/>
  <c r="D545" i="1"/>
  <c r="H544" i="1"/>
  <c r="G543" i="1"/>
  <c r="F543" i="1"/>
  <c r="D543" i="1"/>
  <c r="G542" i="1"/>
  <c r="F542" i="1"/>
  <c r="D542" i="1"/>
  <c r="H542" i="1" s="1"/>
  <c r="G541" i="1"/>
  <c r="F541" i="1"/>
  <c r="D541" i="1"/>
  <c r="G540" i="1"/>
  <c r="F540" i="1"/>
  <c r="D540" i="1"/>
  <c r="G539" i="1"/>
  <c r="F539" i="1"/>
  <c r="D539" i="1"/>
  <c r="G538" i="1"/>
  <c r="F538" i="1"/>
  <c r="D538" i="1"/>
  <c r="G537" i="1"/>
  <c r="H537" i="1" s="1"/>
  <c r="F537" i="1"/>
  <c r="D537" i="1"/>
  <c r="G536" i="1"/>
  <c r="F536" i="1"/>
  <c r="D536" i="1"/>
  <c r="G535" i="1"/>
  <c r="F535" i="1"/>
  <c r="D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G518" i="1"/>
  <c r="F518" i="1"/>
  <c r="D518" i="1"/>
  <c r="G517" i="1"/>
  <c r="F517" i="1"/>
  <c r="D517" i="1"/>
  <c r="G516" i="1"/>
  <c r="F516" i="1"/>
  <c r="D516" i="1"/>
  <c r="G515" i="1"/>
  <c r="F515" i="1"/>
  <c r="D515" i="1"/>
  <c r="H514" i="1"/>
  <c r="G513" i="1"/>
  <c r="F513" i="1"/>
  <c r="D513" i="1"/>
  <c r="G512" i="1"/>
  <c r="F512" i="1"/>
  <c r="D512" i="1"/>
  <c r="G511" i="1"/>
  <c r="F511" i="1"/>
  <c r="D511" i="1"/>
  <c r="G510" i="1"/>
  <c r="F510" i="1"/>
  <c r="D510" i="1"/>
  <c r="H509" i="1"/>
  <c r="G508" i="1"/>
  <c r="F508" i="1"/>
  <c r="D508" i="1"/>
  <c r="H507" i="1"/>
  <c r="G506" i="1"/>
  <c r="F506" i="1"/>
  <c r="D506" i="1"/>
  <c r="G505" i="1"/>
  <c r="F505" i="1"/>
  <c r="D505" i="1"/>
  <c r="G504" i="1"/>
  <c r="F504" i="1"/>
  <c r="D504" i="1"/>
  <c r="G503" i="1"/>
  <c r="F503" i="1"/>
  <c r="D503" i="1"/>
  <c r="G502" i="1"/>
  <c r="F502" i="1"/>
  <c r="D502" i="1"/>
  <c r="G501" i="1"/>
  <c r="F501" i="1"/>
  <c r="D501" i="1"/>
  <c r="H501" i="1" s="1"/>
  <c r="G500" i="1"/>
  <c r="F500" i="1"/>
  <c r="D500" i="1"/>
  <c r="G499" i="1"/>
  <c r="F499" i="1"/>
  <c r="D499" i="1"/>
  <c r="G498" i="1"/>
  <c r="F498" i="1"/>
  <c r="D498" i="1"/>
  <c r="G497" i="1"/>
  <c r="F497" i="1"/>
  <c r="D497" i="1"/>
  <c r="H497" i="1" s="1"/>
  <c r="G496" i="1"/>
  <c r="F496" i="1"/>
  <c r="D496" i="1"/>
  <c r="H495" i="1"/>
  <c r="H494" i="1"/>
  <c r="H493" i="1"/>
  <c r="H492" i="1"/>
  <c r="H491" i="1"/>
  <c r="H490" i="1"/>
  <c r="H489" i="1"/>
  <c r="G488" i="1"/>
  <c r="F488" i="1"/>
  <c r="D488" i="1"/>
  <c r="G487" i="1"/>
  <c r="F487" i="1"/>
  <c r="D487" i="1"/>
  <c r="G486" i="1"/>
  <c r="F486" i="1"/>
  <c r="D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G469" i="1"/>
  <c r="F469" i="1"/>
  <c r="D469" i="1"/>
  <c r="G468" i="1"/>
  <c r="F468" i="1"/>
  <c r="D468" i="1"/>
  <c r="H467" i="1"/>
  <c r="G466" i="1"/>
  <c r="F466" i="1"/>
  <c r="D466" i="1"/>
  <c r="H465" i="1"/>
  <c r="G464" i="1"/>
  <c r="F464" i="1"/>
  <c r="D464" i="1"/>
  <c r="H463" i="1"/>
  <c r="H462" i="1"/>
  <c r="H461" i="1"/>
  <c r="H460" i="1"/>
  <c r="H459" i="1"/>
  <c r="G458" i="1"/>
  <c r="F458" i="1"/>
  <c r="D458" i="1"/>
  <c r="G457" i="1"/>
  <c r="F457" i="1"/>
  <c r="D457" i="1"/>
  <c r="G456" i="1"/>
  <c r="F456" i="1"/>
  <c r="D456" i="1"/>
  <c r="H456" i="1" s="1"/>
  <c r="G455" i="1"/>
  <c r="F455" i="1"/>
  <c r="D455" i="1"/>
  <c r="G454" i="1"/>
  <c r="F454" i="1"/>
  <c r="D454" i="1"/>
  <c r="G453" i="1"/>
  <c r="F453" i="1"/>
  <c r="D453" i="1"/>
  <c r="G452" i="1"/>
  <c r="F452" i="1"/>
  <c r="D452" i="1"/>
  <c r="G451" i="1"/>
  <c r="F451" i="1"/>
  <c r="D451" i="1"/>
  <c r="G450" i="1"/>
  <c r="F450" i="1"/>
  <c r="D450" i="1"/>
  <c r="H449" i="1"/>
  <c r="H448" i="1"/>
  <c r="H447" i="1"/>
  <c r="G446" i="1"/>
  <c r="F446" i="1"/>
  <c r="D446" i="1"/>
  <c r="G445" i="1"/>
  <c r="F445" i="1"/>
  <c r="D445" i="1"/>
  <c r="G444" i="1"/>
  <c r="F444" i="1"/>
  <c r="D444" i="1"/>
  <c r="G443" i="1"/>
  <c r="F443" i="1"/>
  <c r="D443" i="1"/>
  <c r="H442" i="1"/>
  <c r="G441" i="1"/>
  <c r="F441" i="1"/>
  <c r="D441" i="1"/>
  <c r="G440" i="1"/>
  <c r="F440" i="1"/>
  <c r="D440" i="1"/>
  <c r="G439" i="1"/>
  <c r="F439" i="1"/>
  <c r="D439" i="1"/>
  <c r="G438" i="1"/>
  <c r="F438" i="1"/>
  <c r="D438" i="1"/>
  <c r="H437" i="1"/>
  <c r="G436" i="1"/>
  <c r="F436" i="1"/>
  <c r="D436" i="1"/>
  <c r="G435" i="1"/>
  <c r="F435" i="1"/>
  <c r="D435" i="1"/>
  <c r="G434" i="1"/>
  <c r="F434" i="1"/>
  <c r="D434" i="1"/>
  <c r="G433" i="1"/>
  <c r="F433" i="1"/>
  <c r="D433" i="1"/>
  <c r="G432" i="1"/>
  <c r="F432" i="1"/>
  <c r="D432" i="1"/>
  <c r="G431" i="1"/>
  <c r="F431" i="1"/>
  <c r="D431" i="1"/>
  <c r="G430" i="1"/>
  <c r="F430" i="1"/>
  <c r="D430" i="1"/>
  <c r="G429" i="1"/>
  <c r="F429" i="1"/>
  <c r="D429" i="1"/>
  <c r="G428" i="1"/>
  <c r="F428" i="1"/>
  <c r="D428" i="1"/>
  <c r="G427" i="1"/>
  <c r="F427" i="1"/>
  <c r="D427" i="1"/>
  <c r="G426" i="1"/>
  <c r="F426" i="1"/>
  <c r="D426" i="1"/>
  <c r="G425" i="1"/>
  <c r="F425" i="1"/>
  <c r="D425" i="1"/>
  <c r="G424" i="1"/>
  <c r="F424" i="1"/>
  <c r="D424" i="1"/>
  <c r="G423" i="1"/>
  <c r="F423" i="1"/>
  <c r="D423" i="1"/>
  <c r="G422" i="1"/>
  <c r="F422" i="1"/>
  <c r="D422" i="1"/>
  <c r="G421" i="1"/>
  <c r="F421" i="1"/>
  <c r="D421" i="1"/>
  <c r="H420" i="1"/>
  <c r="G419" i="1"/>
  <c r="F419" i="1"/>
  <c r="D419" i="1"/>
  <c r="G418" i="1"/>
  <c r="F418" i="1"/>
  <c r="H418" i="1" s="1"/>
  <c r="D418" i="1"/>
  <c r="G417" i="1"/>
  <c r="F417" i="1"/>
  <c r="D417" i="1"/>
  <c r="G416" i="1"/>
  <c r="F416" i="1"/>
  <c r="D416" i="1"/>
  <c r="G415" i="1"/>
  <c r="F415" i="1"/>
  <c r="D415" i="1"/>
  <c r="G414" i="1"/>
  <c r="F414" i="1"/>
  <c r="D414" i="1"/>
  <c r="G413" i="1"/>
  <c r="F413" i="1"/>
  <c r="D413" i="1"/>
  <c r="G412" i="1"/>
  <c r="F412" i="1"/>
  <c r="D412" i="1"/>
  <c r="G411" i="1"/>
  <c r="F411" i="1"/>
  <c r="D411" i="1"/>
  <c r="G410" i="1"/>
  <c r="F410" i="1"/>
  <c r="D410" i="1"/>
  <c r="H409" i="1"/>
  <c r="G408" i="1"/>
  <c r="F408" i="1"/>
  <c r="D408" i="1"/>
  <c r="H407" i="1"/>
  <c r="H406" i="1"/>
  <c r="H405" i="1"/>
  <c r="H404" i="1"/>
  <c r="H403" i="1"/>
  <c r="H402" i="1"/>
  <c r="G401" i="1"/>
  <c r="F401" i="1"/>
  <c r="D401" i="1"/>
  <c r="H400" i="1"/>
  <c r="G399" i="1"/>
  <c r="F399" i="1"/>
  <c r="D399" i="1"/>
  <c r="H398" i="1"/>
  <c r="H397" i="1"/>
  <c r="H396" i="1"/>
  <c r="H395" i="1"/>
  <c r="G394" i="1"/>
  <c r="F394" i="1"/>
  <c r="D394" i="1"/>
  <c r="G393" i="1"/>
  <c r="F393" i="1"/>
  <c r="D393" i="1"/>
  <c r="G392" i="1"/>
  <c r="F392" i="1"/>
  <c r="D392" i="1"/>
  <c r="G391" i="1"/>
  <c r="F391" i="1"/>
  <c r="D391" i="1"/>
  <c r="G390" i="1"/>
  <c r="F390" i="1"/>
  <c r="D390" i="1"/>
  <c r="G389" i="1"/>
  <c r="F389" i="1"/>
  <c r="D389" i="1"/>
  <c r="G388" i="1"/>
  <c r="F388" i="1"/>
  <c r="D388" i="1"/>
  <c r="G387" i="1"/>
  <c r="F387" i="1"/>
  <c r="D387" i="1"/>
  <c r="G386" i="1"/>
  <c r="F386" i="1"/>
  <c r="D386" i="1"/>
  <c r="G385" i="1"/>
  <c r="F385" i="1"/>
  <c r="D385" i="1"/>
  <c r="G384" i="1"/>
  <c r="F384" i="1"/>
  <c r="D384" i="1"/>
  <c r="H383" i="1"/>
  <c r="H382" i="1"/>
  <c r="G381" i="1"/>
  <c r="F381" i="1"/>
  <c r="D381" i="1"/>
  <c r="G380" i="1"/>
  <c r="F380" i="1"/>
  <c r="D380" i="1"/>
  <c r="G379" i="1"/>
  <c r="F379" i="1"/>
  <c r="D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G359" i="1"/>
  <c r="F359" i="1"/>
  <c r="D359" i="1"/>
  <c r="G358" i="1"/>
  <c r="F358" i="1"/>
  <c r="D358" i="1"/>
  <c r="H357" i="1"/>
  <c r="G356" i="1"/>
  <c r="F356" i="1"/>
  <c r="D356" i="1"/>
  <c r="H355" i="1"/>
  <c r="G354" i="1"/>
  <c r="F354" i="1"/>
  <c r="D354" i="1"/>
  <c r="H353" i="1"/>
  <c r="H352" i="1"/>
  <c r="H351" i="1"/>
  <c r="H350" i="1"/>
  <c r="G349" i="1"/>
  <c r="F349" i="1"/>
  <c r="D349" i="1"/>
  <c r="H348" i="1"/>
  <c r="H347" i="1"/>
  <c r="H346" i="1"/>
  <c r="H345" i="1"/>
  <c r="G344" i="1"/>
  <c r="F344" i="1"/>
  <c r="D344" i="1"/>
  <c r="G343" i="1"/>
  <c r="F343" i="1"/>
  <c r="D343" i="1"/>
  <c r="G342" i="1"/>
  <c r="F342" i="1"/>
  <c r="D342" i="1"/>
  <c r="G341" i="1"/>
  <c r="F341" i="1"/>
  <c r="D341" i="1"/>
  <c r="G340" i="1"/>
  <c r="F340" i="1"/>
  <c r="D340" i="1"/>
  <c r="G339" i="1"/>
  <c r="F339" i="1"/>
  <c r="D339" i="1"/>
  <c r="H339" i="1" s="1"/>
  <c r="G338" i="1"/>
  <c r="F338" i="1"/>
  <c r="D338" i="1"/>
  <c r="G337" i="1"/>
  <c r="F337" i="1"/>
  <c r="D337" i="1"/>
  <c r="G336" i="1"/>
  <c r="F336" i="1"/>
  <c r="D336" i="1"/>
  <c r="G335" i="1"/>
  <c r="F335" i="1"/>
  <c r="D335" i="1"/>
  <c r="G334" i="1"/>
  <c r="F334" i="1"/>
  <c r="D334" i="1"/>
  <c r="H333" i="1"/>
  <c r="H332" i="1"/>
  <c r="H331" i="1"/>
  <c r="G330" i="1"/>
  <c r="F330" i="1"/>
  <c r="D330" i="1"/>
  <c r="G329" i="1"/>
  <c r="F329" i="1"/>
  <c r="D329" i="1"/>
  <c r="G328" i="1"/>
  <c r="F328" i="1"/>
  <c r="D328" i="1"/>
  <c r="G327" i="1"/>
  <c r="F327" i="1"/>
  <c r="D327" i="1"/>
  <c r="G326" i="1"/>
  <c r="F326" i="1"/>
  <c r="D326" i="1"/>
  <c r="G325" i="1"/>
  <c r="F325" i="1"/>
  <c r="D325" i="1"/>
  <c r="G324" i="1"/>
  <c r="F324" i="1"/>
  <c r="D324" i="1"/>
  <c r="G323" i="1"/>
  <c r="F323" i="1"/>
  <c r="D323" i="1"/>
  <c r="G322" i="1"/>
  <c r="F322" i="1"/>
  <c r="D322" i="1"/>
  <c r="G321" i="1"/>
  <c r="F321" i="1"/>
  <c r="D321" i="1"/>
  <c r="G320" i="1"/>
  <c r="F320" i="1"/>
  <c r="D320" i="1"/>
  <c r="G319" i="1"/>
  <c r="F319" i="1"/>
  <c r="D319" i="1"/>
  <c r="G318" i="1"/>
  <c r="F318" i="1"/>
  <c r="D318" i="1"/>
  <c r="G317" i="1"/>
  <c r="F317" i="1"/>
  <c r="D317" i="1"/>
  <c r="G316" i="1"/>
  <c r="F316" i="1"/>
  <c r="D316" i="1"/>
  <c r="H315" i="1"/>
  <c r="H314" i="1"/>
  <c r="H313" i="1"/>
  <c r="H312" i="1"/>
  <c r="H311" i="1"/>
  <c r="H310" i="1"/>
  <c r="H309" i="1"/>
  <c r="G308" i="1"/>
  <c r="F308" i="1"/>
  <c r="D308" i="1"/>
  <c r="G307" i="1"/>
  <c r="F307" i="1"/>
  <c r="D307" i="1"/>
  <c r="G306" i="1"/>
  <c r="F306" i="1"/>
  <c r="D306" i="1"/>
  <c r="G305" i="1"/>
  <c r="F305" i="1"/>
  <c r="D305" i="1"/>
  <c r="G304" i="1"/>
  <c r="F304" i="1"/>
  <c r="D304" i="1"/>
  <c r="G303" i="1"/>
  <c r="F303" i="1"/>
  <c r="D303" i="1"/>
  <c r="G302" i="1"/>
  <c r="F302" i="1"/>
  <c r="D302" i="1"/>
  <c r="G301" i="1"/>
  <c r="F301" i="1"/>
  <c r="D301" i="1"/>
  <c r="G300" i="1"/>
  <c r="F300" i="1"/>
  <c r="H300" i="1" s="1"/>
  <c r="D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G271" i="1"/>
  <c r="F271" i="1"/>
  <c r="D271" i="1"/>
  <c r="G270" i="1"/>
  <c r="F270" i="1"/>
  <c r="D270" i="1"/>
  <c r="G269" i="1"/>
  <c r="F269" i="1"/>
  <c r="D269" i="1"/>
  <c r="G268" i="1"/>
  <c r="F268" i="1"/>
  <c r="D268" i="1"/>
  <c r="G267" i="1"/>
  <c r="F267" i="1"/>
  <c r="D267" i="1"/>
  <c r="G266" i="1"/>
  <c r="F266" i="1"/>
  <c r="D266" i="1"/>
  <c r="G265" i="1"/>
  <c r="F265" i="1"/>
  <c r="D265" i="1"/>
  <c r="G264" i="1"/>
  <c r="F264" i="1"/>
  <c r="D264" i="1"/>
  <c r="G263" i="1"/>
  <c r="F263" i="1"/>
  <c r="D263" i="1"/>
  <c r="G262" i="1"/>
  <c r="F262" i="1"/>
  <c r="D262" i="1"/>
  <c r="G261" i="1"/>
  <c r="F261" i="1"/>
  <c r="D261" i="1"/>
  <c r="G260" i="1"/>
  <c r="F260" i="1"/>
  <c r="D260" i="1"/>
  <c r="G259" i="1"/>
  <c r="F259" i="1"/>
  <c r="D259" i="1"/>
  <c r="H259" i="1" s="1"/>
  <c r="G258" i="1"/>
  <c r="F258" i="1"/>
  <c r="D258" i="1"/>
  <c r="G257" i="1"/>
  <c r="F257" i="1"/>
  <c r="D257" i="1"/>
  <c r="H256" i="1"/>
  <c r="H255" i="1"/>
  <c r="G254" i="1"/>
  <c r="F254" i="1"/>
  <c r="D254" i="1"/>
  <c r="G253" i="1"/>
  <c r="H253" i="1" s="1"/>
  <c r="F253" i="1"/>
  <c r="D253" i="1"/>
  <c r="G252" i="1"/>
  <c r="F252" i="1"/>
  <c r="D252" i="1"/>
  <c r="G251" i="1"/>
  <c r="F251" i="1"/>
  <c r="D251" i="1"/>
  <c r="G250" i="1"/>
  <c r="F250" i="1"/>
  <c r="D250" i="1"/>
  <c r="G249" i="1"/>
  <c r="F249" i="1"/>
  <c r="D249" i="1"/>
  <c r="G248" i="1"/>
  <c r="F248" i="1"/>
  <c r="D248" i="1"/>
  <c r="G247" i="1"/>
  <c r="F247" i="1"/>
  <c r="D247" i="1"/>
  <c r="H247" i="1" s="1"/>
  <c r="G246" i="1"/>
  <c r="F246" i="1"/>
  <c r="D246" i="1"/>
  <c r="H245" i="1"/>
  <c r="H244" i="1"/>
  <c r="G243" i="1"/>
  <c r="F243" i="1"/>
  <c r="D243" i="1"/>
  <c r="G242" i="1"/>
  <c r="F242" i="1"/>
  <c r="D242" i="1"/>
  <c r="G241" i="1"/>
  <c r="F241" i="1"/>
  <c r="D241" i="1"/>
  <c r="G240" i="1"/>
  <c r="F240" i="1"/>
  <c r="D240" i="1"/>
  <c r="G239" i="1"/>
  <c r="F239" i="1"/>
  <c r="D239" i="1"/>
  <c r="G238" i="1"/>
  <c r="F238" i="1"/>
  <c r="D238" i="1"/>
  <c r="G237" i="1"/>
  <c r="F237" i="1"/>
  <c r="D237" i="1"/>
  <c r="G236" i="1"/>
  <c r="F236" i="1"/>
  <c r="D236" i="1"/>
  <c r="G235" i="1"/>
  <c r="F235" i="1"/>
  <c r="D235" i="1"/>
  <c r="H235" i="1" s="1"/>
  <c r="H234" i="1"/>
  <c r="G233" i="1"/>
  <c r="F233" i="1"/>
  <c r="D233" i="1"/>
  <c r="G232" i="1"/>
  <c r="F232" i="1"/>
  <c r="D232" i="1"/>
  <c r="G231" i="1"/>
  <c r="F231" i="1"/>
  <c r="D231" i="1"/>
  <c r="G230" i="1"/>
  <c r="F230" i="1"/>
  <c r="H230" i="1" s="1"/>
  <c r="D230" i="1"/>
  <c r="G229" i="1"/>
  <c r="F229" i="1"/>
  <c r="D229" i="1"/>
  <c r="G228" i="1"/>
  <c r="F228" i="1"/>
  <c r="D228" i="1"/>
  <c r="G227" i="1"/>
  <c r="F227" i="1"/>
  <c r="D227" i="1"/>
  <c r="G226" i="1"/>
  <c r="F226" i="1"/>
  <c r="D226" i="1"/>
  <c r="G225" i="1"/>
  <c r="F225" i="1"/>
  <c r="D225" i="1"/>
  <c r="G224" i="1"/>
  <c r="F224" i="1"/>
  <c r="D224" i="1"/>
  <c r="G223" i="1"/>
  <c r="F223" i="1"/>
  <c r="D223" i="1"/>
  <c r="G222" i="1"/>
  <c r="F222" i="1"/>
  <c r="D222" i="1"/>
  <c r="G221" i="1"/>
  <c r="F221" i="1"/>
  <c r="D221" i="1"/>
  <c r="G220" i="1"/>
  <c r="F220" i="1"/>
  <c r="D220" i="1"/>
  <c r="G219" i="1"/>
  <c r="F219" i="1"/>
  <c r="D219" i="1"/>
  <c r="H218" i="1"/>
  <c r="H217" i="1"/>
  <c r="H216" i="1"/>
  <c r="H215" i="1"/>
  <c r="H214" i="1"/>
  <c r="H213" i="1"/>
  <c r="H212" i="1"/>
  <c r="G211" i="1"/>
  <c r="F211" i="1"/>
  <c r="D211" i="1"/>
  <c r="G210" i="1"/>
  <c r="F210" i="1"/>
  <c r="D210" i="1"/>
  <c r="G209" i="1"/>
  <c r="F209" i="1"/>
  <c r="D209" i="1"/>
  <c r="G208" i="1"/>
  <c r="F208" i="1"/>
  <c r="D208" i="1"/>
  <c r="G207" i="1"/>
  <c r="F207" i="1"/>
  <c r="D207" i="1"/>
  <c r="G206" i="1"/>
  <c r="F206" i="1"/>
  <c r="D206" i="1"/>
  <c r="G205" i="1"/>
  <c r="F205" i="1"/>
  <c r="D205" i="1"/>
  <c r="G204" i="1"/>
  <c r="F204" i="1"/>
  <c r="D204" i="1"/>
  <c r="G203" i="1"/>
  <c r="F203" i="1"/>
  <c r="D203" i="1"/>
  <c r="H203" i="1" s="1"/>
  <c r="H202" i="1"/>
  <c r="G201" i="1"/>
  <c r="F201" i="1"/>
  <c r="D201" i="1"/>
  <c r="G200" i="1"/>
  <c r="F200" i="1"/>
  <c r="D200" i="1"/>
  <c r="G199" i="1"/>
  <c r="F199" i="1"/>
  <c r="D199" i="1"/>
  <c r="G198" i="1"/>
  <c r="F198" i="1"/>
  <c r="D198" i="1"/>
  <c r="G197" i="1"/>
  <c r="F197" i="1"/>
  <c r="D197" i="1"/>
  <c r="H197" i="1" s="1"/>
  <c r="G196" i="1"/>
  <c r="F196" i="1"/>
  <c r="D196" i="1"/>
  <c r="G195" i="1"/>
  <c r="F195" i="1"/>
  <c r="D195" i="1"/>
  <c r="G194" i="1"/>
  <c r="F194" i="1"/>
  <c r="D194" i="1"/>
  <c r="G193" i="1"/>
  <c r="F193" i="1"/>
  <c r="D193" i="1"/>
  <c r="H192" i="1"/>
  <c r="H191" i="1"/>
  <c r="H190" i="1"/>
  <c r="G189" i="1"/>
  <c r="F189" i="1"/>
  <c r="D189" i="1"/>
  <c r="G188" i="1"/>
  <c r="F188" i="1"/>
  <c r="D188" i="1"/>
  <c r="G187" i="1"/>
  <c r="F187" i="1"/>
  <c r="D187" i="1"/>
  <c r="G186" i="1"/>
  <c r="F186" i="1"/>
  <c r="D186" i="1"/>
  <c r="G185" i="1"/>
  <c r="F185" i="1"/>
  <c r="D185" i="1"/>
  <c r="G184" i="1"/>
  <c r="F184" i="1"/>
  <c r="D184" i="1"/>
  <c r="G183" i="1"/>
  <c r="F183" i="1"/>
  <c r="D183" i="1"/>
  <c r="G182" i="1"/>
  <c r="F182" i="1"/>
  <c r="D182" i="1"/>
  <c r="G181" i="1"/>
  <c r="F181" i="1"/>
  <c r="D181" i="1"/>
  <c r="G180" i="1"/>
  <c r="F180" i="1"/>
  <c r="D180" i="1"/>
  <c r="H179" i="1"/>
  <c r="G178" i="1"/>
  <c r="F178" i="1"/>
  <c r="D178" i="1"/>
  <c r="G177" i="1"/>
  <c r="F177" i="1"/>
  <c r="D177" i="1"/>
  <c r="G176" i="1"/>
  <c r="F176" i="1"/>
  <c r="D176" i="1"/>
  <c r="G175" i="1"/>
  <c r="F175" i="1"/>
  <c r="D175" i="1"/>
  <c r="G174" i="1"/>
  <c r="F174" i="1"/>
  <c r="D174" i="1"/>
  <c r="G173" i="1"/>
  <c r="F173" i="1"/>
  <c r="D173" i="1"/>
  <c r="H173" i="1" s="1"/>
  <c r="G172" i="1"/>
  <c r="F172" i="1"/>
  <c r="D172" i="1"/>
  <c r="G171" i="1"/>
  <c r="F171" i="1"/>
  <c r="D171" i="1"/>
  <c r="G170" i="1"/>
  <c r="F170" i="1"/>
  <c r="D170" i="1"/>
  <c r="G169" i="1"/>
  <c r="F169" i="1"/>
  <c r="D169" i="1"/>
  <c r="G168" i="1"/>
  <c r="F168" i="1"/>
  <c r="D168" i="1"/>
  <c r="G167" i="1"/>
  <c r="F167" i="1"/>
  <c r="D167" i="1"/>
  <c r="G166" i="1"/>
  <c r="F166" i="1"/>
  <c r="D166" i="1"/>
  <c r="G165" i="1"/>
  <c r="F165" i="1"/>
  <c r="D165" i="1"/>
  <c r="G164" i="1"/>
  <c r="F164" i="1"/>
  <c r="D164" i="1"/>
  <c r="G163" i="1"/>
  <c r="F163" i="1"/>
  <c r="D163" i="1"/>
  <c r="G162" i="1"/>
  <c r="F162" i="1"/>
  <c r="D162" i="1"/>
  <c r="G161" i="1"/>
  <c r="F161" i="1"/>
  <c r="D161" i="1"/>
  <c r="G160" i="1"/>
  <c r="F160" i="1"/>
  <c r="D160" i="1"/>
  <c r="G159" i="1"/>
  <c r="F159" i="1"/>
  <c r="D159" i="1"/>
  <c r="G158" i="1"/>
  <c r="F158" i="1"/>
  <c r="D158" i="1"/>
  <c r="G157" i="1"/>
  <c r="F157" i="1"/>
  <c r="D157" i="1"/>
  <c r="H157" i="1" s="1"/>
  <c r="G156" i="1"/>
  <c r="F156" i="1"/>
  <c r="D156" i="1"/>
  <c r="G155" i="1"/>
  <c r="F155" i="1"/>
  <c r="D155" i="1"/>
  <c r="H154" i="1"/>
  <c r="G153" i="1"/>
  <c r="F153" i="1"/>
  <c r="D153" i="1"/>
  <c r="G152" i="1"/>
  <c r="F152" i="1"/>
  <c r="H152" i="1" s="1"/>
  <c r="D152" i="1"/>
  <c r="G151" i="1"/>
  <c r="F151" i="1"/>
  <c r="D151" i="1"/>
  <c r="G150" i="1"/>
  <c r="F150" i="1"/>
  <c r="D150" i="1"/>
  <c r="G149" i="1"/>
  <c r="F149" i="1"/>
  <c r="D149" i="1"/>
  <c r="G148" i="1"/>
  <c r="F148" i="1"/>
  <c r="D148" i="1"/>
  <c r="G147" i="1"/>
  <c r="F147" i="1"/>
  <c r="D147" i="1"/>
  <c r="G146" i="1"/>
  <c r="F146" i="1"/>
  <c r="D146" i="1"/>
  <c r="H145" i="1"/>
  <c r="G144" i="1"/>
  <c r="F144" i="1"/>
  <c r="D144" i="1"/>
  <c r="G143" i="1"/>
  <c r="F143" i="1"/>
  <c r="D143" i="1"/>
  <c r="G142" i="1"/>
  <c r="F142" i="1"/>
  <c r="D142" i="1"/>
  <c r="H142" i="1" s="1"/>
  <c r="G141" i="1"/>
  <c r="F141" i="1"/>
  <c r="D141" i="1"/>
  <c r="G140" i="1"/>
  <c r="F140" i="1"/>
  <c r="D140" i="1"/>
  <c r="G139" i="1"/>
  <c r="F139" i="1"/>
  <c r="D139" i="1"/>
  <c r="G138" i="1"/>
  <c r="F138" i="1"/>
  <c r="D138" i="1"/>
  <c r="G137" i="1"/>
  <c r="F137" i="1"/>
  <c r="D137" i="1"/>
  <c r="G136" i="1"/>
  <c r="F136" i="1"/>
  <c r="D136" i="1"/>
  <c r="H135" i="1"/>
  <c r="G134" i="1"/>
  <c r="F134" i="1"/>
  <c r="D134" i="1"/>
  <c r="H133" i="1"/>
  <c r="G132" i="1"/>
  <c r="F132" i="1"/>
  <c r="D132" i="1"/>
  <c r="G131" i="1"/>
  <c r="F131" i="1"/>
  <c r="D131" i="1"/>
  <c r="H130" i="1"/>
  <c r="G129" i="1"/>
  <c r="F129" i="1"/>
  <c r="D129" i="1"/>
  <c r="G128" i="1"/>
  <c r="F128" i="1"/>
  <c r="D128" i="1"/>
  <c r="H127" i="1"/>
  <c r="G126" i="1"/>
  <c r="F126" i="1"/>
  <c r="D126" i="1"/>
  <c r="G125" i="1"/>
  <c r="F125" i="1"/>
  <c r="D125" i="1"/>
  <c r="G124" i="1"/>
  <c r="F124" i="1"/>
  <c r="D124" i="1"/>
  <c r="G123" i="1"/>
  <c r="F123" i="1"/>
  <c r="D123" i="1"/>
  <c r="G122" i="1"/>
  <c r="F122" i="1"/>
  <c r="D122" i="1"/>
  <c r="G121" i="1"/>
  <c r="F121" i="1"/>
  <c r="D121" i="1"/>
  <c r="G120" i="1"/>
  <c r="F120" i="1"/>
  <c r="D120" i="1"/>
  <c r="H119" i="1"/>
  <c r="G118" i="1"/>
  <c r="F118" i="1"/>
  <c r="D118" i="1"/>
  <c r="G117" i="1"/>
  <c r="F117" i="1"/>
  <c r="D117" i="1"/>
  <c r="G116" i="1"/>
  <c r="F116" i="1"/>
  <c r="D116" i="1"/>
  <c r="G115" i="1"/>
  <c r="F115" i="1"/>
  <c r="D115" i="1"/>
  <c r="G114" i="1"/>
  <c r="F114" i="1"/>
  <c r="D114" i="1"/>
  <c r="G113" i="1"/>
  <c r="F113" i="1"/>
  <c r="D113" i="1"/>
  <c r="H112" i="1"/>
  <c r="G111" i="1"/>
  <c r="F111" i="1"/>
  <c r="D111" i="1"/>
  <c r="G110" i="1"/>
  <c r="F110" i="1"/>
  <c r="D110" i="1"/>
  <c r="G109" i="1"/>
  <c r="F109" i="1"/>
  <c r="D109" i="1"/>
  <c r="G108" i="1"/>
  <c r="F108" i="1"/>
  <c r="D108" i="1"/>
  <c r="G107" i="1"/>
  <c r="F107" i="1"/>
  <c r="D107" i="1"/>
  <c r="G106" i="1"/>
  <c r="F106" i="1"/>
  <c r="D106" i="1"/>
  <c r="H106" i="1" s="1"/>
  <c r="G105" i="1"/>
  <c r="F105" i="1"/>
  <c r="D105" i="1"/>
  <c r="H104" i="1"/>
  <c r="H103" i="1"/>
  <c r="H102" i="1"/>
  <c r="G101" i="1"/>
  <c r="F101" i="1"/>
  <c r="D101" i="1"/>
  <c r="H100" i="1"/>
  <c r="H99" i="1"/>
  <c r="H98" i="1"/>
  <c r="H97" i="1"/>
  <c r="H96" i="1"/>
  <c r="G95" i="1"/>
  <c r="F95" i="1"/>
  <c r="D95" i="1"/>
  <c r="G94" i="1"/>
  <c r="F94" i="1"/>
  <c r="D94" i="1"/>
  <c r="H93" i="1"/>
  <c r="G92" i="1"/>
  <c r="F92" i="1"/>
  <c r="D92" i="1"/>
  <c r="G91" i="1"/>
  <c r="F91" i="1"/>
  <c r="D91" i="1"/>
  <c r="H90" i="1"/>
  <c r="H89" i="1"/>
  <c r="H88" i="1"/>
  <c r="H87" i="1"/>
  <c r="H86" i="1"/>
  <c r="H85" i="1"/>
  <c r="H84" i="1"/>
  <c r="H83" i="1"/>
  <c r="H82" i="1"/>
  <c r="H81" i="1"/>
  <c r="G80" i="1"/>
  <c r="F80" i="1"/>
  <c r="D80" i="1"/>
  <c r="H80" i="1" s="1"/>
  <c r="G79" i="1"/>
  <c r="F79" i="1"/>
  <c r="D79" i="1"/>
  <c r="H79" i="1" s="1"/>
  <c r="G78" i="1"/>
  <c r="F78" i="1"/>
  <c r="D78" i="1"/>
  <c r="G77" i="1"/>
  <c r="F77" i="1"/>
  <c r="D77" i="1"/>
  <c r="G76" i="1"/>
  <c r="F76" i="1"/>
  <c r="D76" i="1"/>
  <c r="G75" i="1"/>
  <c r="F75" i="1"/>
  <c r="D75" i="1"/>
  <c r="H75" i="1" s="1"/>
  <c r="G74" i="1"/>
  <c r="F74" i="1"/>
  <c r="D74" i="1"/>
  <c r="G73" i="1"/>
  <c r="F73" i="1"/>
  <c r="D73" i="1"/>
  <c r="H72" i="1"/>
  <c r="G71" i="1"/>
  <c r="F71" i="1"/>
  <c r="D71" i="1"/>
  <c r="G70" i="1"/>
  <c r="F70" i="1"/>
  <c r="D70" i="1"/>
  <c r="G69" i="1"/>
  <c r="F69" i="1"/>
  <c r="D69" i="1"/>
  <c r="G68" i="1"/>
  <c r="F68" i="1"/>
  <c r="D68" i="1"/>
  <c r="G67" i="1"/>
  <c r="F67" i="1"/>
  <c r="D67" i="1"/>
  <c r="G66" i="1"/>
  <c r="F66" i="1"/>
  <c r="D66" i="1"/>
  <c r="G65" i="1"/>
  <c r="F65" i="1"/>
  <c r="D65" i="1"/>
  <c r="H64" i="1"/>
  <c r="H63" i="1"/>
  <c r="H62" i="1"/>
  <c r="H61" i="1"/>
  <c r="G60" i="1"/>
  <c r="F60" i="1"/>
  <c r="D60" i="1"/>
  <c r="G59" i="1"/>
  <c r="F59" i="1"/>
  <c r="D59" i="1"/>
  <c r="H58" i="1"/>
  <c r="G57" i="1"/>
  <c r="F57" i="1"/>
  <c r="D57" i="1"/>
  <c r="G56" i="1"/>
  <c r="F56" i="1"/>
  <c r="D56" i="1"/>
  <c r="H55" i="1"/>
  <c r="H54" i="1"/>
  <c r="H53" i="1"/>
  <c r="H52" i="1"/>
  <c r="H51" i="1"/>
  <c r="H50" i="1"/>
  <c r="H49" i="1"/>
  <c r="H48" i="1"/>
  <c r="G47" i="1"/>
  <c r="F47" i="1"/>
  <c r="D47" i="1"/>
  <c r="G46" i="1"/>
  <c r="F46" i="1"/>
  <c r="D46" i="1"/>
  <c r="G45" i="1"/>
  <c r="F45" i="1"/>
  <c r="D45" i="1"/>
  <c r="G44" i="1"/>
  <c r="F44" i="1"/>
  <c r="D44" i="1"/>
  <c r="G43" i="1"/>
  <c r="F43" i="1"/>
  <c r="D43" i="1"/>
  <c r="G42" i="1"/>
  <c r="F42" i="1"/>
  <c r="D42" i="1"/>
  <c r="G41" i="1"/>
  <c r="F41" i="1"/>
  <c r="D41" i="1"/>
  <c r="G40" i="1"/>
  <c r="F40" i="1"/>
  <c r="D40" i="1"/>
  <c r="G39" i="1"/>
  <c r="F39" i="1"/>
  <c r="D39" i="1"/>
  <c r="H38" i="1"/>
  <c r="G37" i="1"/>
  <c r="F37" i="1"/>
  <c r="D37" i="1"/>
  <c r="H36" i="1"/>
  <c r="H35" i="1"/>
  <c r="H34" i="1"/>
  <c r="H33" i="1"/>
  <c r="H32" i="1"/>
  <c r="G31" i="1"/>
  <c r="F31" i="1"/>
  <c r="D31" i="1"/>
  <c r="G30" i="1"/>
  <c r="F30" i="1"/>
  <c r="D30" i="1"/>
  <c r="H29" i="1"/>
  <c r="H28" i="1"/>
  <c r="H27" i="1"/>
  <c r="H26" i="1"/>
  <c r="G25" i="1"/>
  <c r="F25" i="1"/>
  <c r="D25" i="1"/>
  <c r="G24" i="1"/>
  <c r="F24" i="1"/>
  <c r="D24" i="1"/>
  <c r="H23" i="1"/>
  <c r="H22" i="1"/>
  <c r="H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H20" i="1" l="1"/>
  <c r="H725" i="1"/>
  <c r="I1125" i="1"/>
  <c r="H1712" i="1"/>
  <c r="H2383" i="1"/>
  <c r="H30" i="1"/>
  <c r="H126" i="1"/>
  <c r="H140" i="1"/>
  <c r="H343" i="1"/>
  <c r="H354" i="1"/>
  <c r="H451" i="1"/>
  <c r="H776" i="1"/>
  <c r="H786" i="1"/>
  <c r="I997" i="1"/>
  <c r="I1039" i="1"/>
  <c r="I1055" i="1"/>
  <c r="H1295" i="1"/>
  <c r="H1385" i="1"/>
  <c r="H1493" i="1"/>
  <c r="H1962" i="1"/>
  <c r="H1968" i="1"/>
  <c r="H1996" i="1"/>
  <c r="H2002" i="1"/>
  <c r="H2036" i="1"/>
  <c r="H2064" i="1"/>
  <c r="H2070" i="1"/>
  <c r="H2227" i="1"/>
  <c r="H2244" i="1"/>
  <c r="H2418" i="1"/>
  <c r="H2468" i="1"/>
  <c r="H2496" i="1"/>
  <c r="H2502" i="1"/>
  <c r="H2524" i="1"/>
  <c r="H2546" i="1"/>
  <c r="H2837" i="1"/>
  <c r="H94" i="1"/>
  <c r="H110" i="1"/>
  <c r="H116" i="1"/>
  <c r="H305" i="1"/>
  <c r="H326" i="1"/>
  <c r="H432" i="1"/>
  <c r="H438" i="1"/>
  <c r="H444" i="1"/>
  <c r="H635" i="1"/>
  <c r="H678" i="1"/>
  <c r="H726" i="1"/>
  <c r="H763" i="1"/>
  <c r="I798" i="1"/>
  <c r="I1200" i="1"/>
  <c r="I1212" i="1"/>
  <c r="H1234" i="1"/>
  <c r="H1256" i="1"/>
  <c r="H1392" i="1"/>
  <c r="H1667" i="1"/>
  <c r="H1775" i="1"/>
  <c r="H1929" i="1"/>
  <c r="H1985" i="1"/>
  <c r="H2019" i="1"/>
  <c r="H2221" i="1"/>
  <c r="H2395" i="1"/>
  <c r="H2597" i="1"/>
  <c r="H2625" i="1"/>
  <c r="H2630" i="1"/>
  <c r="H2982" i="1"/>
  <c r="H3001" i="1"/>
  <c r="H3029" i="1"/>
  <c r="H3057" i="1"/>
  <c r="H3107" i="1"/>
  <c r="H169" i="1"/>
  <c r="H193" i="1"/>
  <c r="H225" i="1"/>
  <c r="H271" i="1"/>
  <c r="H550" i="1"/>
  <c r="H690" i="1"/>
  <c r="I1110" i="1"/>
  <c r="I1121" i="1"/>
  <c r="H1302" i="1"/>
  <c r="H1358" i="1"/>
  <c r="H1370" i="1"/>
  <c r="H1432" i="1"/>
  <c r="H1629" i="1"/>
  <c r="H1663" i="1"/>
  <c r="H1725" i="1"/>
  <c r="H1731" i="1"/>
  <c r="H1832" i="1"/>
  <c r="H1895" i="1"/>
  <c r="H1901" i="1"/>
  <c r="H1907" i="1"/>
  <c r="H1912" i="1"/>
  <c r="H1935" i="1"/>
  <c r="H2111" i="1"/>
  <c r="H2150" i="1"/>
  <c r="H2295" i="1"/>
  <c r="H2413" i="1"/>
  <c r="H2419" i="1"/>
  <c r="H2441" i="1"/>
  <c r="H2503" i="1"/>
  <c r="H2720" i="1"/>
  <c r="H2860" i="1"/>
  <c r="H2882" i="1"/>
  <c r="H2927" i="1"/>
  <c r="H3097" i="1"/>
  <c r="H123" i="1"/>
  <c r="H136" i="1"/>
  <c r="H665" i="1"/>
  <c r="I1099" i="1"/>
  <c r="H1804" i="1"/>
  <c r="H2838" i="1"/>
  <c r="H3074" i="1"/>
  <c r="H3092" i="1"/>
  <c r="H1958" i="1"/>
  <c r="H2077" i="1"/>
  <c r="H2519" i="1"/>
  <c r="H2547" i="1"/>
  <c r="H2670" i="1"/>
  <c r="H2687" i="1"/>
  <c r="H2934" i="1"/>
  <c r="H137" i="1"/>
  <c r="H249" i="1"/>
  <c r="H307" i="1"/>
  <c r="H317" i="1"/>
  <c r="H505" i="1"/>
  <c r="H539" i="1"/>
  <c r="H551" i="1"/>
  <c r="H734" i="1"/>
  <c r="H1664" i="1"/>
  <c r="H1726" i="1"/>
  <c r="H1947" i="1"/>
  <c r="H1998" i="1"/>
  <c r="H2004" i="1"/>
  <c r="H2078" i="1"/>
  <c r="H2358" i="1"/>
  <c r="H2386" i="1"/>
  <c r="H2560" i="1"/>
  <c r="H12" i="1"/>
  <c r="H42" i="1"/>
  <c r="H78" i="1"/>
  <c r="H160" i="1"/>
  <c r="H176" i="1"/>
  <c r="H182" i="1"/>
  <c r="H200" i="1"/>
  <c r="H388" i="1"/>
  <c r="H446" i="1"/>
  <c r="I1106" i="1"/>
  <c r="H1292" i="1"/>
  <c r="H1348" i="1"/>
  <c r="H1371" i="1"/>
  <c r="H1382" i="1"/>
  <c r="H1490" i="1"/>
  <c r="H1619" i="1"/>
  <c r="H1659" i="1"/>
  <c r="H1715" i="1"/>
  <c r="H1993" i="1"/>
  <c r="H2021" i="1"/>
  <c r="H2179" i="1"/>
  <c r="H2235" i="1"/>
  <c r="H2241" i="1"/>
  <c r="H2297" i="1"/>
  <c r="H2303" i="1"/>
  <c r="H2325" i="1"/>
  <c r="H2443" i="1"/>
  <c r="H2465" i="1"/>
  <c r="H2778" i="1"/>
  <c r="H2829" i="1"/>
  <c r="H2868" i="1"/>
  <c r="H3009" i="1"/>
  <c r="H3059" i="1"/>
  <c r="I3093" i="1"/>
  <c r="H25" i="1"/>
  <c r="H143" i="1"/>
  <c r="I813" i="1"/>
  <c r="I853" i="1"/>
  <c r="I917" i="1"/>
  <c r="I1169" i="1"/>
  <c r="H1417" i="1"/>
  <c r="H1479" i="1"/>
  <c r="H1648" i="1"/>
  <c r="H1676" i="1"/>
  <c r="H1710" i="1"/>
  <c r="H1738" i="1"/>
  <c r="H2224" i="1"/>
  <c r="H2264" i="1"/>
  <c r="H2286" i="1"/>
  <c r="H2292" i="1"/>
  <c r="H2320" i="1"/>
  <c r="H2594" i="1"/>
  <c r="H2616" i="1"/>
  <c r="H2622" i="1"/>
  <c r="H2711" i="1"/>
  <c r="H3031" i="1"/>
  <c r="H138" i="1"/>
  <c r="H574" i="1"/>
  <c r="H760" i="1"/>
  <c r="I1005" i="1"/>
  <c r="I1067" i="1"/>
  <c r="I1095" i="1"/>
  <c r="I1192" i="1"/>
  <c r="H1440" i="1"/>
  <c r="H1569" i="1"/>
  <c r="H1614" i="1"/>
  <c r="H1795" i="1"/>
  <c r="H1953" i="1"/>
  <c r="H2039" i="1"/>
  <c r="H2219" i="1"/>
  <c r="H2309" i="1"/>
  <c r="H2337" i="1"/>
  <c r="H2830" i="1"/>
  <c r="H2896" i="1"/>
  <c r="H2946" i="1"/>
  <c r="H3065" i="1"/>
  <c r="H2074" i="1"/>
  <c r="H3010" i="1"/>
  <c r="H144" i="1"/>
  <c r="H742" i="1"/>
  <c r="I880" i="1"/>
  <c r="I934" i="1"/>
  <c r="I1129" i="1"/>
  <c r="H1344" i="1"/>
  <c r="H1384" i="1"/>
  <c r="H1486" i="1"/>
  <c r="H1621" i="1"/>
  <c r="H1649" i="1"/>
  <c r="H1711" i="1"/>
  <c r="H2034" i="1"/>
  <c r="H37" i="1"/>
  <c r="H125" i="1"/>
  <c r="H139" i="1"/>
  <c r="H657" i="1"/>
  <c r="I1001" i="1"/>
  <c r="I1059" i="1"/>
  <c r="I1073" i="1"/>
  <c r="I1085" i="1"/>
  <c r="H1227" i="1"/>
  <c r="H1243" i="1"/>
  <c r="H1345" i="1"/>
  <c r="H1373" i="1"/>
  <c r="H1379" i="1"/>
  <c r="H1401" i="1"/>
  <c r="H1418" i="1"/>
  <c r="H1441" i="1"/>
  <c r="H1830" i="1"/>
  <c r="H1836" i="1"/>
  <c r="H2220" i="1"/>
  <c r="H2562" i="1"/>
  <c r="H2779" i="1"/>
  <c r="H2953" i="1"/>
  <c r="I809" i="1"/>
  <c r="I1188" i="1"/>
  <c r="H1334" i="1"/>
  <c r="H1413" i="1"/>
  <c r="H1655" i="1"/>
  <c r="H1751" i="1"/>
  <c r="H1757" i="1"/>
  <c r="H1762" i="1"/>
  <c r="H1893" i="1"/>
  <c r="H1967" i="1"/>
  <c r="H2063" i="1"/>
  <c r="H2069" i="1"/>
  <c r="H2103" i="1"/>
  <c r="H2176" i="1"/>
  <c r="H2629" i="1"/>
  <c r="H2668" i="1"/>
  <c r="H2690" i="1"/>
  <c r="H2696" i="1"/>
  <c r="H2736" i="1"/>
  <c r="H2758" i="1"/>
  <c r="H2769" i="1"/>
  <c r="H390" i="1"/>
  <c r="H414" i="1"/>
  <c r="H541" i="1"/>
  <c r="H2624" i="1"/>
  <c r="H2685" i="1"/>
  <c r="H2719" i="1"/>
  <c r="H2797" i="1"/>
  <c r="H2825" i="1"/>
  <c r="H2870" i="1"/>
  <c r="H2897" i="1"/>
  <c r="H2931" i="1"/>
  <c r="H2937" i="1"/>
  <c r="H3056" i="1"/>
  <c r="H3072" i="1"/>
  <c r="H120" i="1"/>
  <c r="H328" i="1"/>
  <c r="H445" i="1"/>
  <c r="H458" i="1"/>
  <c r="H468" i="1"/>
  <c r="H511" i="1"/>
  <c r="H720" i="1"/>
  <c r="H757" i="1"/>
  <c r="H762" i="1"/>
  <c r="H775" i="1"/>
  <c r="I970" i="1"/>
  <c r="I977" i="1"/>
  <c r="I995" i="1"/>
  <c r="I1112" i="1"/>
  <c r="H1430" i="1"/>
  <c r="H1436" i="1"/>
  <c r="H1452" i="1"/>
  <c r="H1469" i="1"/>
  <c r="H1480" i="1"/>
  <c r="H1514" i="1"/>
  <c r="H1541" i="1"/>
  <c r="H1609" i="1"/>
  <c r="H1961" i="1"/>
  <c r="H2000" i="1"/>
  <c r="H2051" i="1"/>
  <c r="H2174" i="1"/>
  <c r="H2207" i="1"/>
  <c r="H2251" i="1"/>
  <c r="H2257" i="1"/>
  <c r="H2268" i="1"/>
  <c r="H2296" i="1"/>
  <c r="H2302" i="1"/>
  <c r="H2330" i="1"/>
  <c r="H2357" i="1"/>
  <c r="H2368" i="1"/>
  <c r="H2374" i="1"/>
  <c r="H2451" i="1"/>
  <c r="H2507" i="1"/>
  <c r="H2550" i="1"/>
  <c r="H2555" i="1"/>
  <c r="H2633" i="1"/>
  <c r="H2688" i="1"/>
  <c r="H2740" i="1"/>
  <c r="H2762" i="1"/>
  <c r="H2840" i="1"/>
  <c r="H2879" i="1"/>
  <c r="H2923" i="1"/>
  <c r="H3024" i="1"/>
  <c r="H3046" i="1"/>
  <c r="H3052" i="1"/>
  <c r="H74" i="1"/>
  <c r="H132" i="1"/>
  <c r="H149" i="1"/>
  <c r="H268" i="1"/>
  <c r="H393" i="1"/>
  <c r="H562" i="1"/>
  <c r="H768" i="1"/>
  <c r="I1006" i="1"/>
  <c r="I1107" i="1"/>
  <c r="I1135" i="1"/>
  <c r="I1151" i="1"/>
  <c r="I1159" i="1"/>
  <c r="I1181" i="1"/>
  <c r="I1187" i="1"/>
  <c r="I1203" i="1"/>
  <c r="I1219" i="1"/>
  <c r="H1236" i="1"/>
  <c r="H1387" i="1"/>
  <c r="H1453" i="1"/>
  <c r="H1459" i="1"/>
  <c r="H1464" i="1"/>
  <c r="H1530" i="1"/>
  <c r="H1542" i="1"/>
  <c r="H1547" i="1"/>
  <c r="H1553" i="1"/>
  <c r="H1626" i="1"/>
  <c r="H1693" i="1"/>
  <c r="H1748" i="1"/>
  <c r="H1906" i="1"/>
  <c r="H1940" i="1"/>
  <c r="H1955" i="1"/>
  <c r="H1979" i="1"/>
  <c r="H1990" i="1"/>
  <c r="H1995" i="1"/>
  <c r="H2035" i="1"/>
  <c r="H2080" i="1"/>
  <c r="H2124" i="1"/>
  <c r="H2130" i="1"/>
  <c r="H2152" i="1"/>
  <c r="H2158" i="1"/>
  <c r="H2180" i="1"/>
  <c r="H2191" i="1"/>
  <c r="H2196" i="1"/>
  <c r="H2246" i="1"/>
  <c r="H2291" i="1"/>
  <c r="H2319" i="1"/>
  <c r="H2352" i="1"/>
  <c r="H2363" i="1"/>
  <c r="H2396" i="1"/>
  <c r="H2479" i="1"/>
  <c r="H2501" i="1"/>
  <c r="H2600" i="1"/>
  <c r="H2729" i="1"/>
  <c r="H2768" i="1"/>
  <c r="H2773" i="1"/>
  <c r="H2835" i="1"/>
  <c r="H648" i="1"/>
  <c r="H671" i="1"/>
  <c r="I815" i="1"/>
  <c r="H2869" i="1"/>
  <c r="H2874" i="1"/>
  <c r="H2907" i="1"/>
  <c r="H2935" i="1"/>
  <c r="H2951" i="1"/>
  <c r="H2983" i="1"/>
  <c r="H3036" i="1"/>
  <c r="H3068" i="1"/>
  <c r="H14" i="1"/>
  <c r="H233" i="1"/>
  <c r="H303" i="1"/>
  <c r="H329" i="1"/>
  <c r="H336" i="1"/>
  <c r="H469" i="1"/>
  <c r="H512" i="1"/>
  <c r="H518" i="1"/>
  <c r="H545" i="1"/>
  <c r="H573" i="1"/>
  <c r="H679" i="1"/>
  <c r="H787" i="1"/>
  <c r="I971" i="1"/>
  <c r="I978" i="1"/>
  <c r="I1012" i="1"/>
  <c r="I1038" i="1"/>
  <c r="I1054" i="1"/>
  <c r="H1287" i="1"/>
  <c r="H1298" i="1"/>
  <c r="H1431" i="1"/>
  <c r="H1503" i="1"/>
  <c r="H1515" i="1"/>
  <c r="H1526" i="1"/>
  <c r="H1537" i="1"/>
  <c r="H1643" i="1"/>
  <c r="H1671" i="1"/>
  <c r="H1699" i="1"/>
  <c r="H1849" i="1"/>
  <c r="H2612" i="1"/>
  <c r="H2640" i="1"/>
  <c r="H2667" i="1"/>
  <c r="H2790" i="1"/>
  <c r="H2802" i="1"/>
  <c r="H2824" i="1"/>
  <c r="H2841" i="1"/>
  <c r="H2891" i="1"/>
  <c r="H121" i="1"/>
  <c r="H308" i="1"/>
  <c r="H441" i="1"/>
  <c r="H454" i="1"/>
  <c r="H745" i="1"/>
  <c r="I848" i="1"/>
  <c r="I925" i="1"/>
  <c r="I1108" i="1"/>
  <c r="I1136" i="1"/>
  <c r="I1152" i="1"/>
  <c r="I1160" i="1"/>
  <c r="I1182" i="1"/>
  <c r="H1343" i="1"/>
  <c r="H1420" i="1"/>
  <c r="H1570" i="1"/>
  <c r="H1660" i="1"/>
  <c r="H2341" i="1"/>
  <c r="H2491" i="1"/>
  <c r="H2541" i="1"/>
  <c r="H3025" i="1"/>
  <c r="H19" i="1"/>
  <c r="H134" i="1"/>
  <c r="H162" i="1"/>
  <c r="H178" i="1"/>
  <c r="H208" i="1"/>
  <c r="H240" i="1"/>
  <c r="H252" i="1"/>
  <c r="H264" i="1"/>
  <c r="H384" i="1"/>
  <c r="H389" i="1"/>
  <c r="H413" i="1"/>
  <c r="H624" i="1"/>
  <c r="H632" i="1"/>
  <c r="H644" i="1"/>
  <c r="H649" i="1"/>
  <c r="H666" i="1"/>
  <c r="H673" i="1"/>
  <c r="H710" i="1"/>
  <c r="H772" i="1"/>
  <c r="H782" i="1"/>
  <c r="I811" i="1"/>
  <c r="I1002" i="1"/>
  <c r="I1086" i="1"/>
  <c r="I1130" i="1"/>
  <c r="I1215" i="1"/>
  <c r="H1232" i="1"/>
  <c r="H1248" i="1"/>
  <c r="H1270" i="1"/>
  <c r="H1321" i="1"/>
  <c r="H1327" i="1"/>
  <c r="H1677" i="1"/>
  <c r="H1930" i="1"/>
  <c r="H2607" i="1"/>
  <c r="H2786" i="1"/>
  <c r="H2808" i="1"/>
  <c r="H2864" i="1"/>
  <c r="H2913" i="1"/>
  <c r="H2941" i="1"/>
  <c r="H2963" i="1"/>
  <c r="H2968" i="1"/>
  <c r="H3053" i="1"/>
  <c r="H1600" i="1"/>
  <c r="H1645" i="1"/>
  <c r="H1672" i="1"/>
  <c r="H1823" i="1"/>
  <c r="H1862" i="1"/>
  <c r="H1868" i="1"/>
  <c r="H1963" i="1"/>
  <c r="H2008" i="1"/>
  <c r="H2121" i="1"/>
  <c r="H2132" i="1"/>
  <c r="H2143" i="1"/>
  <c r="H2165" i="1"/>
  <c r="H2259" i="1"/>
  <c r="H2326" i="1"/>
  <c r="H2370" i="1"/>
  <c r="H2392" i="1"/>
  <c r="H2409" i="1"/>
  <c r="H2470" i="1"/>
  <c r="H2492" i="1"/>
  <c r="H2498" i="1"/>
  <c r="H2509" i="1"/>
  <c r="H2613" i="1"/>
  <c r="H2619" i="1"/>
  <c r="H2663" i="1"/>
  <c r="H2680" i="1"/>
  <c r="H2708" i="1"/>
  <c r="H2990" i="1"/>
  <c r="H325" i="1"/>
  <c r="H419" i="1"/>
  <c r="H436" i="1"/>
  <c r="H455" i="1"/>
  <c r="H496" i="1"/>
  <c r="H540" i="1"/>
  <c r="H639" i="1"/>
  <c r="H655" i="1"/>
  <c r="H716" i="1"/>
  <c r="H723" i="1"/>
  <c r="H783" i="1"/>
  <c r="I799" i="1"/>
  <c r="I812" i="1"/>
  <c r="I952" i="1"/>
  <c r="I967" i="1"/>
  <c r="I992" i="1"/>
  <c r="I1008" i="1"/>
  <c r="I1104" i="1"/>
  <c r="I1109" i="1"/>
  <c r="I1216" i="1"/>
  <c r="I1222" i="1"/>
  <c r="H1238" i="1"/>
  <c r="H1265" i="1"/>
  <c r="H1322" i="1"/>
  <c r="H1333" i="1"/>
  <c r="H1421" i="1"/>
  <c r="H1427" i="1"/>
  <c r="H1443" i="1"/>
  <c r="H1505" i="1"/>
  <c r="H1583" i="1"/>
  <c r="H1589" i="1"/>
  <c r="H1594" i="1"/>
  <c r="H1617" i="1"/>
  <c r="H1767" i="1"/>
  <c r="H1902" i="1"/>
  <c r="H1908" i="1"/>
  <c r="H1992" i="1"/>
  <c r="H2003" i="1"/>
  <c r="H2037" i="1"/>
  <c r="H2048" i="1"/>
  <c r="H2076" i="1"/>
  <c r="H2104" i="1"/>
  <c r="H2110" i="1"/>
  <c r="H2187" i="1"/>
  <c r="H2248" i="1"/>
  <c r="H2287" i="1"/>
  <c r="H2321" i="1"/>
  <c r="H2354" i="1"/>
  <c r="H2393" i="1"/>
  <c r="H2399" i="1"/>
  <c r="H2404" i="1"/>
  <c r="H2464" i="1"/>
  <c r="H2487" i="1"/>
  <c r="H2575" i="1"/>
  <c r="H2608" i="1"/>
  <c r="H2652" i="1"/>
  <c r="H2657" i="1"/>
  <c r="H2697" i="1"/>
  <c r="H2770" i="1"/>
  <c r="H2792" i="1"/>
  <c r="H46" i="1"/>
  <c r="H304" i="1"/>
  <c r="H385" i="1"/>
  <c r="H633" i="1"/>
  <c r="H667" i="1"/>
  <c r="H694" i="1"/>
  <c r="H729" i="1"/>
  <c r="H741" i="1"/>
  <c r="H765" i="1"/>
  <c r="H788" i="1"/>
  <c r="I884" i="1"/>
  <c r="I921" i="1"/>
  <c r="I987" i="1"/>
  <c r="I998" i="1"/>
  <c r="I1087" i="1"/>
  <c r="I1093" i="1"/>
  <c r="I1126" i="1"/>
  <c r="I1148" i="1"/>
  <c r="I1178" i="1"/>
  <c r="I1189" i="1"/>
  <c r="I1194" i="1"/>
  <c r="I1199" i="1"/>
  <c r="H1255" i="1"/>
  <c r="H1260" i="1"/>
  <c r="H1266" i="1"/>
  <c r="H1294" i="1"/>
  <c r="H1366" i="1"/>
  <c r="H1389" i="1"/>
  <c r="H1394" i="1"/>
  <c r="H1444" i="1"/>
  <c r="H1450" i="1"/>
  <c r="H1461" i="1"/>
  <c r="H1578" i="1"/>
  <c r="H1651" i="1"/>
  <c r="H1706" i="1"/>
  <c r="H1756" i="1"/>
  <c r="H1829" i="1"/>
  <c r="H1835" i="1"/>
  <c r="H2020" i="1"/>
  <c r="H2026" i="1"/>
  <c r="H2082" i="1"/>
  <c r="H2088" i="1"/>
  <c r="H2093" i="1"/>
  <c r="H2149" i="1"/>
  <c r="H2155" i="1"/>
  <c r="H2243" i="1"/>
  <c r="H2282" i="1"/>
  <c r="H2310" i="1"/>
  <c r="H2349" i="1"/>
  <c r="H2382" i="1"/>
  <c r="H2421" i="1"/>
  <c r="H2476" i="1"/>
  <c r="H2664" i="1"/>
  <c r="H2686" i="1"/>
  <c r="H2754" i="1"/>
  <c r="H2781" i="1"/>
  <c r="H2787" i="1"/>
  <c r="H2809" i="1"/>
  <c r="H2842" i="1"/>
  <c r="H2881" i="1"/>
  <c r="H2964" i="1"/>
  <c r="H2969" i="1"/>
  <c r="H3015" i="1"/>
  <c r="H3021" i="1"/>
  <c r="H141" i="1"/>
  <c r="H487" i="1"/>
  <c r="H662" i="1"/>
  <c r="H706" i="1"/>
  <c r="H789" i="1"/>
  <c r="I879" i="1"/>
  <c r="I885" i="1"/>
  <c r="I1016" i="1"/>
  <c r="I1040" i="1"/>
  <c r="I1056" i="1"/>
  <c r="I1115" i="1"/>
  <c r="I1143" i="1"/>
  <c r="I1167" i="1"/>
  <c r="H1400" i="1"/>
  <c r="H1439" i="1"/>
  <c r="H1473" i="1"/>
  <c r="H1484" i="1"/>
  <c r="H1573" i="1"/>
  <c r="H1612" i="1"/>
  <c r="H1640" i="1"/>
  <c r="H1646" i="1"/>
  <c r="H1723" i="1"/>
  <c r="H1773" i="1"/>
  <c r="H1778" i="1"/>
  <c r="H1784" i="1"/>
  <c r="H1863" i="1"/>
  <c r="H1869" i="1"/>
  <c r="H1874" i="1"/>
  <c r="H2009" i="1"/>
  <c r="H2116" i="1"/>
  <c r="H2172" i="1"/>
  <c r="H2238" i="1"/>
  <c r="H2276" i="1"/>
  <c r="H2344" i="1"/>
  <c r="H2460" i="1"/>
  <c r="H2493" i="1"/>
  <c r="H2581" i="1"/>
  <c r="H2603" i="1"/>
  <c r="H2642" i="1"/>
  <c r="H2681" i="1"/>
  <c r="H2703" i="1"/>
  <c r="H2798" i="1"/>
  <c r="H2904" i="1"/>
  <c r="H2920" i="1"/>
  <c r="H2986" i="1"/>
  <c r="H3049" i="1"/>
  <c r="H3055" i="1"/>
  <c r="H3060" i="1"/>
  <c r="H11" i="1"/>
  <c r="H2405" i="1"/>
  <c r="H2488" i="1"/>
  <c r="H2504" i="1"/>
  <c r="H2570" i="1"/>
  <c r="H2614" i="1"/>
  <c r="H2631" i="1"/>
  <c r="H2676" i="1"/>
  <c r="H2793" i="1"/>
  <c r="H2821" i="1"/>
  <c r="H2970" i="1"/>
  <c r="H2976" i="1"/>
  <c r="H2981" i="1"/>
  <c r="H536" i="1"/>
  <c r="I1076" i="1"/>
  <c r="I1217" i="1"/>
  <c r="H1278" i="1"/>
  <c r="H1433" i="1"/>
  <c r="H1601" i="1"/>
  <c r="H1813" i="1"/>
  <c r="H2038" i="1"/>
  <c r="H2127" i="1"/>
  <c r="H2156" i="1"/>
  <c r="H2166" i="1"/>
  <c r="H2200" i="1"/>
  <c r="H2289" i="1"/>
  <c r="H2333" i="1"/>
  <c r="H2350" i="1"/>
  <c r="H2361" i="1"/>
  <c r="H2389" i="1"/>
  <c r="H2444" i="1"/>
  <c r="H2466" i="1"/>
  <c r="H2477" i="1"/>
  <c r="H2598" i="1"/>
  <c r="H2604" i="1"/>
  <c r="H2727" i="1"/>
  <c r="H2732" i="1"/>
  <c r="H2788" i="1"/>
  <c r="H2910" i="1"/>
  <c r="H2965" i="1"/>
  <c r="H3022" i="1"/>
  <c r="H3039" i="1"/>
  <c r="H3066" i="1"/>
  <c r="H386" i="1"/>
  <c r="H410" i="1"/>
  <c r="H427" i="1"/>
  <c r="H466" i="1"/>
  <c r="H610" i="1"/>
  <c r="H616" i="1"/>
  <c r="H621" i="1"/>
  <c r="H707" i="1"/>
  <c r="H767" i="1"/>
  <c r="H784" i="1"/>
  <c r="I941" i="1"/>
  <c r="I1009" i="1"/>
  <c r="I1057" i="1"/>
  <c r="I1066" i="1"/>
  <c r="I1082" i="1"/>
  <c r="H1251" i="1"/>
  <c r="H1306" i="1"/>
  <c r="H1523" i="1"/>
  <c r="H1529" i="1"/>
  <c r="H1574" i="1"/>
  <c r="H1613" i="1"/>
  <c r="H1702" i="1"/>
  <c r="H1774" i="1"/>
  <c r="H1785" i="1"/>
  <c r="H1875" i="1"/>
  <c r="H1927" i="1"/>
  <c r="H1966" i="1"/>
  <c r="H2043" i="1"/>
  <c r="H2067" i="1"/>
  <c r="H2272" i="1"/>
  <c r="H2334" i="1"/>
  <c r="H2378" i="1"/>
  <c r="H2472" i="1"/>
  <c r="H2543" i="1"/>
  <c r="H2582" i="1"/>
  <c r="H2643" i="1"/>
  <c r="H2766" i="1"/>
  <c r="H2777" i="1"/>
  <c r="H2805" i="1"/>
  <c r="H2877" i="1"/>
  <c r="H2960" i="1"/>
  <c r="H3011" i="1"/>
  <c r="H3028" i="1"/>
  <c r="H3061" i="1"/>
  <c r="H59" i="1"/>
  <c r="H67" i="1"/>
  <c r="H73" i="1"/>
  <c r="H124" i="1"/>
  <c r="H301" i="1"/>
  <c r="H306" i="1"/>
  <c r="H380" i="1"/>
  <c r="H392" i="1"/>
  <c r="H416" i="1"/>
  <c r="H457" i="1"/>
  <c r="H510" i="1"/>
  <c r="H571" i="1"/>
  <c r="H628" i="1"/>
  <c r="H695" i="1"/>
  <c r="H785" i="1"/>
  <c r="I969" i="1"/>
  <c r="I994" i="1"/>
  <c r="I1010" i="1"/>
  <c r="I1036" i="1"/>
  <c r="I1052" i="1"/>
  <c r="I1122" i="1"/>
  <c r="H1395" i="1"/>
  <c r="H1435" i="1"/>
  <c r="H1457" i="1"/>
  <c r="H1463" i="1"/>
  <c r="H1468" i="1"/>
  <c r="H1641" i="1"/>
  <c r="H1669" i="1"/>
  <c r="H1691" i="1"/>
  <c r="H1697" i="1"/>
  <c r="H1769" i="1"/>
  <c r="H1797" i="1"/>
  <c r="H1808" i="1"/>
  <c r="H1994" i="1"/>
  <c r="H2005" i="1"/>
  <c r="H2128" i="1"/>
  <c r="H2206" i="1"/>
  <c r="H2212" i="1"/>
  <c r="H2250" i="1"/>
  <c r="H2256" i="1"/>
  <c r="H2267" i="1"/>
  <c r="H2277" i="1"/>
  <c r="H2323" i="1"/>
  <c r="H2329" i="1"/>
  <c r="H2356" i="1"/>
  <c r="H2367" i="1"/>
  <c r="H2373" i="1"/>
  <c r="H2428" i="1"/>
  <c r="H2483" i="1"/>
  <c r="H2544" i="1"/>
  <c r="H2554" i="1"/>
  <c r="H2577" i="1"/>
  <c r="H2621" i="1"/>
  <c r="H2632" i="1"/>
  <c r="H2665" i="1"/>
  <c r="H2733" i="1"/>
  <c r="H2739" i="1"/>
  <c r="H2744" i="1"/>
  <c r="H2761" i="1"/>
  <c r="H3023" i="1"/>
  <c r="H148" i="1"/>
  <c r="H165" i="1"/>
  <c r="H187" i="1"/>
  <c r="H211" i="1"/>
  <c r="H221" i="1"/>
  <c r="H243" i="1"/>
  <c r="H267" i="1"/>
  <c r="H322" i="1"/>
  <c r="H387" i="1"/>
  <c r="H401" i="1"/>
  <c r="H572" i="1"/>
  <c r="H652" i="1"/>
  <c r="H780" i="1"/>
  <c r="I814" i="1"/>
  <c r="I949" i="1"/>
  <c r="I1000" i="1"/>
  <c r="I1023" i="1"/>
  <c r="I1047" i="1"/>
  <c r="I1100" i="1"/>
  <c r="I1134" i="1"/>
  <c r="I1150" i="1"/>
  <c r="I1158" i="1"/>
  <c r="I1180" i="1"/>
  <c r="I1186" i="1"/>
  <c r="I1218" i="1"/>
  <c r="H1235" i="1"/>
  <c r="H1257" i="1"/>
  <c r="H1319" i="1"/>
  <c r="H1330" i="1"/>
  <c r="H1341" i="1"/>
  <c r="H1346" i="1"/>
  <c r="H1407" i="1"/>
  <c r="H1429" i="1"/>
  <c r="H1513" i="1"/>
  <c r="H1546" i="1"/>
  <c r="H1552" i="1"/>
  <c r="H1563" i="1"/>
  <c r="H1580" i="1"/>
  <c r="H1586" i="1"/>
  <c r="H1591" i="1"/>
  <c r="H1597" i="1"/>
  <c r="H1747" i="1"/>
  <c r="H1753" i="1"/>
  <c r="H1780" i="1"/>
  <c r="H1837" i="1"/>
  <c r="H1848" i="1"/>
  <c r="H1939" i="1"/>
  <c r="H1999" i="1"/>
  <c r="H2084" i="1"/>
  <c r="H2090" i="1"/>
  <c r="H2095" i="1"/>
  <c r="H2184" i="1"/>
  <c r="H2190" i="1"/>
  <c r="H2195" i="1"/>
  <c r="H2245" i="1"/>
  <c r="H2312" i="1"/>
  <c r="H2318" i="1"/>
  <c r="H2351" i="1"/>
  <c r="H2533" i="1"/>
  <c r="H2561" i="1"/>
  <c r="H2566" i="1"/>
  <c r="H2588" i="1"/>
  <c r="H2627" i="1"/>
  <c r="H2649" i="1"/>
  <c r="H2671" i="1"/>
  <c r="H2722" i="1"/>
  <c r="H2728" i="1"/>
  <c r="H2794" i="1"/>
  <c r="H2884" i="1"/>
  <c r="H2911" i="1"/>
  <c r="H2939" i="1"/>
  <c r="H3006" i="1"/>
  <c r="H3012" i="1"/>
  <c r="H3040" i="1"/>
  <c r="H3067" i="1"/>
  <c r="H17" i="1"/>
  <c r="H24" i="1"/>
  <c r="H117" i="1"/>
  <c r="H47" i="1"/>
  <c r="H39" i="1"/>
  <c r="H10" i="1"/>
  <c r="H16" i="1"/>
  <c r="H92" i="1"/>
  <c r="H109" i="1"/>
  <c r="H115" i="1"/>
  <c r="H131" i="1"/>
  <c r="H151" i="1"/>
  <c r="H168" i="1"/>
  <c r="H224" i="1"/>
  <c r="H229" i="1"/>
  <c r="H270" i="1"/>
  <c r="H335" i="1"/>
  <c r="H340" i="1"/>
  <c r="H356" i="1"/>
  <c r="H651" i="1"/>
  <c r="H675" i="1"/>
  <c r="H781" i="1"/>
  <c r="I800" i="1"/>
  <c r="I924" i="1"/>
  <c r="H1499" i="1"/>
  <c r="H1558" i="1"/>
  <c r="H1666" i="1"/>
  <c r="H1737" i="1"/>
  <c r="H15" i="1"/>
  <c r="H31" i="1"/>
  <c r="H45" i="1"/>
  <c r="H70" i="1"/>
  <c r="H146" i="1"/>
  <c r="H163" i="1"/>
  <c r="H185" i="1"/>
  <c r="H209" i="1"/>
  <c r="H219" i="1"/>
  <c r="H241" i="1"/>
  <c r="H265" i="1"/>
  <c r="H323" i="1"/>
  <c r="H411" i="1"/>
  <c r="H433" i="1"/>
  <c r="H439" i="1"/>
  <c r="H464" i="1"/>
  <c r="H557" i="1"/>
  <c r="H622" i="1"/>
  <c r="H646" i="1"/>
  <c r="H663" i="1"/>
  <c r="H669" i="1"/>
  <c r="H700" i="1"/>
  <c r="H718" i="1"/>
  <c r="H724" i="1"/>
  <c r="H735" i="1"/>
  <c r="I795" i="1"/>
  <c r="I801" i="1"/>
  <c r="I898" i="1"/>
  <c r="I950" i="1"/>
  <c r="I964" i="1"/>
  <c r="I990" i="1"/>
  <c r="I1026" i="1"/>
  <c r="I1034" i="1"/>
  <c r="I1050" i="1"/>
  <c r="I1069" i="1"/>
  <c r="I1124" i="1"/>
  <c r="I1146" i="1"/>
  <c r="I1176" i="1"/>
  <c r="I1208" i="1"/>
  <c r="I1213" i="1"/>
  <c r="H1230" i="1"/>
  <c r="H1246" i="1"/>
  <c r="H1262" i="1"/>
  <c r="H1267" i="1"/>
  <c r="H1272" i="1"/>
  <c r="H1290" i="1"/>
  <c r="H1305" i="1"/>
  <c r="H1317" i="1"/>
  <c r="H1328" i="1"/>
  <c r="H1339" i="1"/>
  <c r="H1354" i="1"/>
  <c r="H1360" i="1"/>
  <c r="H1397" i="1"/>
  <c r="H1403" i="1"/>
  <c r="H1408" i="1"/>
  <c r="H1414" i="1"/>
  <c r="H1419" i="1"/>
  <c r="H1425" i="1"/>
  <c r="H1445" i="1"/>
  <c r="H1462" i="1"/>
  <c r="H1500" i="1"/>
  <c r="H1511" i="1"/>
  <c r="H1516" i="1"/>
  <c r="H1521" i="1"/>
  <c r="H1527" i="1"/>
  <c r="H1538" i="1"/>
  <c r="H1543" i="1"/>
  <c r="H1559" i="1"/>
  <c r="H1565" i="1"/>
  <c r="H1581" i="1"/>
  <c r="H1587" i="1"/>
  <c r="H1592" i="1"/>
  <c r="H1598" i="1"/>
  <c r="H1603" i="1"/>
  <c r="H1618" i="1"/>
  <c r="H1624" i="1"/>
  <c r="H1635" i="1"/>
  <c r="H1657" i="1"/>
  <c r="H1700" i="1"/>
  <c r="H1721" i="1"/>
  <c r="H1732" i="1"/>
  <c r="H1900" i="1"/>
  <c r="H40" i="1"/>
  <c r="H56" i="1"/>
  <c r="H65" i="1"/>
  <c r="H76" i="1"/>
  <c r="H158" i="1"/>
  <c r="H174" i="1"/>
  <c r="H180" i="1"/>
  <c r="H198" i="1"/>
  <c r="H204" i="1"/>
  <c r="H236" i="1"/>
  <c r="H248" i="1"/>
  <c r="H260" i="1"/>
  <c r="H318" i="1"/>
  <c r="H341" i="1"/>
  <c r="H358" i="1"/>
  <c r="H381" i="1"/>
  <c r="H452" i="1"/>
  <c r="H502" i="1"/>
  <c r="H508" i="1"/>
  <c r="H513" i="1"/>
  <c r="H535" i="1"/>
  <c r="H546" i="1"/>
  <c r="H552" i="1"/>
  <c r="H563" i="1"/>
  <c r="H612" i="1"/>
  <c r="H641" i="1"/>
  <c r="H658" i="1"/>
  <c r="H701" i="1"/>
  <c r="H712" i="1"/>
  <c r="H747" i="1"/>
  <c r="H777" i="1"/>
  <c r="I899" i="1"/>
  <c r="I920" i="1"/>
  <c r="I943" i="1"/>
  <c r="I985" i="1"/>
  <c r="I1021" i="1"/>
  <c r="I1045" i="1"/>
  <c r="I1075" i="1"/>
  <c r="I1080" i="1"/>
  <c r="I1098" i="1"/>
  <c r="I1113" i="1"/>
  <c r="I1119" i="1"/>
  <c r="I1141" i="1"/>
  <c r="I1165" i="1"/>
  <c r="I1170" i="1"/>
  <c r="I1197" i="1"/>
  <c r="I1225" i="1"/>
  <c r="H1241" i="1"/>
  <c r="H1279" i="1"/>
  <c r="H1284" i="1"/>
  <c r="H1301" i="1"/>
  <c r="H1311" i="1"/>
  <c r="H1355" i="1"/>
  <c r="H1377" i="1"/>
  <c r="H1451" i="1"/>
  <c r="H1456" i="1"/>
  <c r="H1489" i="1"/>
  <c r="H1576" i="1"/>
  <c r="H1647" i="1"/>
  <c r="H1662" i="1"/>
  <c r="H1678" i="1"/>
  <c r="H1684" i="1"/>
  <c r="H1689" i="1"/>
  <c r="H1695" i="1"/>
  <c r="H1749" i="1"/>
  <c r="H488" i="1"/>
  <c r="H1474" i="1"/>
  <c r="H1485" i="1"/>
  <c r="H1522" i="1"/>
  <c r="H1533" i="1"/>
  <c r="H1549" i="1"/>
  <c r="H1593" i="1"/>
  <c r="H1630" i="1"/>
  <c r="H1636" i="1"/>
  <c r="H1673" i="1"/>
  <c r="H1727" i="1"/>
  <c r="H1744" i="1"/>
  <c r="H1771" i="1"/>
  <c r="H1861" i="1"/>
  <c r="H1867" i="1"/>
  <c r="H71" i="1"/>
  <c r="H105" i="1"/>
  <c r="H147" i="1"/>
  <c r="H164" i="1"/>
  <c r="H186" i="1"/>
  <c r="H210" i="1"/>
  <c r="H220" i="1"/>
  <c r="H242" i="1"/>
  <c r="H254" i="1"/>
  <c r="H266" i="1"/>
  <c r="H324" i="1"/>
  <c r="H412" i="1"/>
  <c r="H417" i="1"/>
  <c r="H434" i="1"/>
  <c r="H558" i="1"/>
  <c r="H569" i="1"/>
  <c r="H623" i="1"/>
  <c r="H630" i="1"/>
  <c r="H647" i="1"/>
  <c r="H664" i="1"/>
  <c r="H719" i="1"/>
  <c r="H736" i="1"/>
  <c r="H766" i="1"/>
  <c r="H773" i="1"/>
  <c r="I796" i="1"/>
  <c r="I802" i="1"/>
  <c r="I883" i="1"/>
  <c r="I951" i="1"/>
  <c r="I965" i="1"/>
  <c r="I991" i="1"/>
  <c r="I1027" i="1"/>
  <c r="I1035" i="1"/>
  <c r="I1051" i="1"/>
  <c r="I1147" i="1"/>
  <c r="I1177" i="1"/>
  <c r="I1193" i="1"/>
  <c r="I1214" i="1"/>
  <c r="H1231" i="1"/>
  <c r="H1247" i="1"/>
  <c r="H1274" i="1"/>
  <c r="H1291" i="1"/>
  <c r="H1329" i="1"/>
  <c r="H1340" i="1"/>
  <c r="H1393" i="1"/>
  <c r="H1415" i="1"/>
  <c r="H1426" i="1"/>
  <c r="H1495" i="1"/>
  <c r="H1501" i="1"/>
  <c r="H1507" i="1"/>
  <c r="H1512" i="1"/>
  <c r="H1517" i="1"/>
  <c r="H1528" i="1"/>
  <c r="H1539" i="1"/>
  <c r="H1554" i="1"/>
  <c r="H1599" i="1"/>
  <c r="H1604" i="1"/>
  <c r="H1625" i="1"/>
  <c r="H1658" i="1"/>
  <c r="H1701" i="1"/>
  <c r="H1722" i="1"/>
  <c r="H1733" i="1"/>
  <c r="H1755" i="1"/>
  <c r="H1760" i="1"/>
  <c r="H1766" i="1"/>
  <c r="H1811" i="1"/>
  <c r="H41" i="1"/>
  <c r="H57" i="1"/>
  <c r="H66" i="1"/>
  <c r="H77" i="1"/>
  <c r="H159" i="1"/>
  <c r="H175" i="1"/>
  <c r="H181" i="1"/>
  <c r="H199" i="1"/>
  <c r="H205" i="1"/>
  <c r="H237" i="1"/>
  <c r="H261" i="1"/>
  <c r="H319" i="1"/>
  <c r="H337" i="1"/>
  <c r="H342" i="1"/>
  <c r="H429" i="1"/>
  <c r="H440" i="1"/>
  <c r="H453" i="1"/>
  <c r="H498" i="1"/>
  <c r="H503" i="1"/>
  <c r="H547" i="1"/>
  <c r="H553" i="1"/>
  <c r="H564" i="1"/>
  <c r="H642" i="1"/>
  <c r="H659" i="1"/>
  <c r="H702" i="1"/>
  <c r="H713" i="1"/>
  <c r="H730" i="1"/>
  <c r="I791" i="1"/>
  <c r="I797" i="1"/>
  <c r="I900" i="1"/>
  <c r="I944" i="1"/>
  <c r="I960" i="1"/>
  <c r="I972" i="1"/>
  <c r="I986" i="1"/>
  <c r="I1022" i="1"/>
  <c r="I1046" i="1"/>
  <c r="I1081" i="1"/>
  <c r="I1120" i="1"/>
  <c r="I1142" i="1"/>
  <c r="I1166" i="1"/>
  <c r="I1171" i="1"/>
  <c r="I1198" i="1"/>
  <c r="I1204" i="1"/>
  <c r="I1209" i="1"/>
  <c r="I1226" i="1"/>
  <c r="H1242" i="1"/>
  <c r="H1263" i="1"/>
  <c r="H1268" i="1"/>
  <c r="H1280" i="1"/>
  <c r="H1286" i="1"/>
  <c r="H1296" i="1"/>
  <c r="H1356" i="1"/>
  <c r="H1361" i="1"/>
  <c r="H1383" i="1"/>
  <c r="H1399" i="1"/>
  <c r="H1404" i="1"/>
  <c r="H1409" i="1"/>
  <c r="H1447" i="1"/>
  <c r="H1496" i="1"/>
  <c r="H1555" i="1"/>
  <c r="H1561" i="1"/>
  <c r="H1566" i="1"/>
  <c r="H1577" i="1"/>
  <c r="H1582" i="1"/>
  <c r="H1588" i="1"/>
  <c r="H1679" i="1"/>
  <c r="H1690" i="1"/>
  <c r="H1696" i="1"/>
  <c r="H1717" i="1"/>
  <c r="H1750" i="1"/>
  <c r="H1777" i="1"/>
  <c r="H1783" i="1"/>
  <c r="H1788" i="1"/>
  <c r="H1828" i="1"/>
  <c r="H1834" i="1"/>
  <c r="H1850" i="1"/>
  <c r="H95" i="1"/>
  <c r="H111" i="1"/>
  <c r="H153" i="1"/>
  <c r="H170" i="1"/>
  <c r="H194" i="1"/>
  <c r="H226" i="1"/>
  <c r="H231" i="1"/>
  <c r="H330" i="1"/>
  <c r="H359" i="1"/>
  <c r="H394" i="1"/>
  <c r="H515" i="1"/>
  <c r="H614" i="1"/>
  <c r="H619" i="1"/>
  <c r="H653" i="1"/>
  <c r="H697" i="1"/>
  <c r="H708" i="1"/>
  <c r="H743" i="1"/>
  <c r="H761" i="1"/>
  <c r="I895" i="1"/>
  <c r="I981" i="1"/>
  <c r="I1017" i="1"/>
  <c r="I1041" i="1"/>
  <c r="I1071" i="1"/>
  <c r="I1088" i="1"/>
  <c r="I1094" i="1"/>
  <c r="I1105" i="1"/>
  <c r="I1137" i="1"/>
  <c r="I1161" i="1"/>
  <c r="I1183" i="1"/>
  <c r="I1221" i="1"/>
  <c r="H1237" i="1"/>
  <c r="H1253" i="1"/>
  <c r="H1275" i="1"/>
  <c r="H1307" i="1"/>
  <c r="H1313" i="1"/>
  <c r="H1351" i="1"/>
  <c r="H1367" i="1"/>
  <c r="H1372" i="1"/>
  <c r="H1378" i="1"/>
  <c r="H1416" i="1"/>
  <c r="H1437" i="1"/>
  <c r="H1475" i="1"/>
  <c r="H1518" i="1"/>
  <c r="H1571" i="1"/>
  <c r="H1610" i="1"/>
  <c r="H1615" i="1"/>
  <c r="H1631" i="1"/>
  <c r="H1637" i="1"/>
  <c r="H1642" i="1"/>
  <c r="H1653" i="1"/>
  <c r="H1674" i="1"/>
  <c r="H1685" i="1"/>
  <c r="H1707" i="1"/>
  <c r="H1745" i="1"/>
  <c r="H1761" i="1"/>
  <c r="H1772" i="1"/>
  <c r="H1800" i="1"/>
  <c r="H1734" i="1"/>
  <c r="H1739" i="1"/>
  <c r="H122" i="1"/>
  <c r="H206" i="1"/>
  <c r="H232" i="1"/>
  <c r="H238" i="1"/>
  <c r="H250" i="1"/>
  <c r="H262" i="1"/>
  <c r="H320" i="1"/>
  <c r="H338" i="1"/>
  <c r="H430" i="1"/>
  <c r="H499" i="1"/>
  <c r="H504" i="1"/>
  <c r="H643" i="1"/>
  <c r="H660" i="1"/>
  <c r="H714" i="1"/>
  <c r="H731" i="1"/>
  <c r="H792" i="1"/>
  <c r="I945" i="1"/>
  <c r="I961" i="1"/>
  <c r="I1131" i="1"/>
  <c r="I1172" i="1"/>
  <c r="I1210" i="1"/>
  <c r="H1258" i="1"/>
  <c r="H1269" i="1"/>
  <c r="H1324" i="1"/>
  <c r="H1335" i="1"/>
  <c r="H1411" i="1"/>
  <c r="H1502" i="1"/>
  <c r="H1508" i="1"/>
  <c r="H1534" i="1"/>
  <c r="H1540" i="1"/>
  <c r="H1550" i="1"/>
  <c r="H1567" i="1"/>
  <c r="H1729" i="1"/>
  <c r="H18" i="1"/>
  <c r="H13" i="1"/>
  <c r="H155" i="1"/>
  <c r="H171" i="1"/>
  <c r="H195" i="1"/>
  <c r="H227" i="1"/>
  <c r="H257" i="1"/>
  <c r="H408" i="1"/>
  <c r="H425" i="1"/>
  <c r="H570" i="1"/>
  <c r="H575" i="1"/>
  <c r="H615" i="1"/>
  <c r="H637" i="1"/>
  <c r="H654" i="1"/>
  <c r="H698" i="1"/>
  <c r="H709" i="1"/>
  <c r="H744" i="1"/>
  <c r="H793" i="1"/>
  <c r="I803" i="1"/>
  <c r="I896" i="1"/>
  <c r="I940" i="1"/>
  <c r="I968" i="1"/>
  <c r="I973" i="1"/>
  <c r="I982" i="1"/>
  <c r="I1011" i="1"/>
  <c r="I1018" i="1"/>
  <c r="I1042" i="1"/>
  <c r="I1077" i="1"/>
  <c r="I1089" i="1"/>
  <c r="I1116" i="1"/>
  <c r="I1138" i="1"/>
  <c r="I1162" i="1"/>
  <c r="I1205" i="1"/>
  <c r="H1254" i="1"/>
  <c r="H1264" i="1"/>
  <c r="H1276" i="1"/>
  <c r="H1281" i="1"/>
  <c r="H1303" i="1"/>
  <c r="H1308" i="1"/>
  <c r="H1352" i="1"/>
  <c r="H1357" i="1"/>
  <c r="H1363" i="1"/>
  <c r="H1368" i="1"/>
  <c r="H1405" i="1"/>
  <c r="H1562" i="1"/>
  <c r="H1611" i="1"/>
  <c r="H1686" i="1"/>
  <c r="H1708" i="1"/>
  <c r="H1806" i="1"/>
  <c r="H107" i="1"/>
  <c r="H113" i="1"/>
  <c r="H118" i="1"/>
  <c r="H128" i="1"/>
  <c r="H166" i="1"/>
  <c r="H188" i="1"/>
  <c r="H222" i="1"/>
  <c r="H560" i="1"/>
  <c r="H703" i="1"/>
  <c r="H721" i="1"/>
  <c r="H739" i="1"/>
  <c r="H753" i="1"/>
  <c r="I901" i="1"/>
  <c r="I922" i="1"/>
  <c r="I930" i="1"/>
  <c r="I953" i="1"/>
  <c r="I993" i="1"/>
  <c r="I1007" i="1"/>
  <c r="I1037" i="1"/>
  <c r="I1053" i="1"/>
  <c r="I1058" i="1"/>
  <c r="I1072" i="1"/>
  <c r="I1084" i="1"/>
  <c r="I1111" i="1"/>
  <c r="I1133" i="1"/>
  <c r="I1149" i="1"/>
  <c r="I1157" i="1"/>
  <c r="I1179" i="1"/>
  <c r="I1185" i="1"/>
  <c r="I1190" i="1"/>
  <c r="H1233" i="1"/>
  <c r="H1293" i="1"/>
  <c r="H1331" i="1"/>
  <c r="H1336" i="1"/>
  <c r="H1390" i="1"/>
  <c r="H1406" i="1"/>
  <c r="H1412" i="1"/>
  <c r="H1428" i="1"/>
  <c r="H1448" i="1"/>
  <c r="H1454" i="1"/>
  <c r="H1465" i="1"/>
  <c r="H1471" i="1"/>
  <c r="H1476" i="1"/>
  <c r="H1487" i="1"/>
  <c r="H1492" i="1"/>
  <c r="H1535" i="1"/>
  <c r="H1590" i="1"/>
  <c r="H1595" i="1"/>
  <c r="H1627" i="1"/>
  <c r="H1633" i="1"/>
  <c r="H1638" i="1"/>
  <c r="H1670" i="1"/>
  <c r="H1703" i="1"/>
  <c r="H1713" i="1"/>
  <c r="H1724" i="1"/>
  <c r="H1741" i="1"/>
  <c r="H1768" i="1"/>
  <c r="H43" i="1"/>
  <c r="H60" i="1"/>
  <c r="H68" i="1"/>
  <c r="H161" i="1"/>
  <c r="H177" i="1"/>
  <c r="H183" i="1"/>
  <c r="H201" i="1"/>
  <c r="H207" i="1"/>
  <c r="H239" i="1"/>
  <c r="H251" i="1"/>
  <c r="H263" i="1"/>
  <c r="H302" i="1"/>
  <c r="H321" i="1"/>
  <c r="H344" i="1"/>
  <c r="H431" i="1"/>
  <c r="H450" i="1"/>
  <c r="H500" i="1"/>
  <c r="H516" i="1"/>
  <c r="H538" i="1"/>
  <c r="H555" i="1"/>
  <c r="H661" i="1"/>
  <c r="H680" i="1"/>
  <c r="H715" i="1"/>
  <c r="H733" i="1"/>
  <c r="H758" i="1"/>
  <c r="I886" i="1"/>
  <c r="I948" i="1"/>
  <c r="I962" i="1"/>
  <c r="I988" i="1"/>
  <c r="I1003" i="1"/>
  <c r="I1024" i="1"/>
  <c r="I1032" i="1"/>
  <c r="I1048" i="1"/>
  <c r="I1078" i="1"/>
  <c r="I1117" i="1"/>
  <c r="I1127" i="1"/>
  <c r="I1144" i="1"/>
  <c r="I1168" i="1"/>
  <c r="I1174" i="1"/>
  <c r="I1211" i="1"/>
  <c r="H1228" i="1"/>
  <c r="H1244" i="1"/>
  <c r="H1288" i="1"/>
  <c r="H1315" i="1"/>
  <c r="H1320" i="1"/>
  <c r="H1325" i="1"/>
  <c r="H1342" i="1"/>
  <c r="H1347" i="1"/>
  <c r="H1369" i="1"/>
  <c r="H1380" i="1"/>
  <c r="H1423" i="1"/>
  <c r="H1438" i="1"/>
  <c r="H1449" i="1"/>
  <c r="H1460" i="1"/>
  <c r="H1498" i="1"/>
  <c r="H1509" i="1"/>
  <c r="H1525" i="1"/>
  <c r="H1557" i="1"/>
  <c r="H1579" i="1"/>
  <c r="H1585" i="1"/>
  <c r="H1606" i="1"/>
  <c r="H1622" i="1"/>
  <c r="H1687" i="1"/>
  <c r="H1698" i="1"/>
  <c r="H1719" i="1"/>
  <c r="H1730" i="1"/>
  <c r="H1779" i="1"/>
  <c r="H156" i="1"/>
  <c r="H172" i="1"/>
  <c r="H196" i="1"/>
  <c r="H228" i="1"/>
  <c r="H246" i="1"/>
  <c r="H258" i="1"/>
  <c r="H316" i="1"/>
  <c r="H334" i="1"/>
  <c r="H399" i="1"/>
  <c r="H543" i="1"/>
  <c r="I983" i="1"/>
  <c r="I999" i="1"/>
  <c r="I1019" i="1"/>
  <c r="I1043" i="1"/>
  <c r="I1090" i="1"/>
  <c r="I1096" i="1"/>
  <c r="I1101" i="1"/>
  <c r="I1139" i="1"/>
  <c r="I1163" i="1"/>
  <c r="I1206" i="1"/>
  <c r="I1223" i="1"/>
  <c r="H1239" i="1"/>
  <c r="H1250" i="1"/>
  <c r="H1282" i="1"/>
  <c r="H1299" i="1"/>
  <c r="H1304" i="1"/>
  <c r="H1353" i="1"/>
  <c r="H1364" i="1"/>
  <c r="H1375" i="1"/>
  <c r="H1477" i="1"/>
  <c r="H1709" i="1"/>
  <c r="H91" i="1"/>
  <c r="H108" i="1"/>
  <c r="H114" i="1"/>
  <c r="H129" i="1"/>
  <c r="H150" i="1"/>
  <c r="H167" i="1"/>
  <c r="H189" i="1"/>
  <c r="H223" i="1"/>
  <c r="H269" i="1"/>
  <c r="H327" i="1"/>
  <c r="H379" i="1"/>
  <c r="H391" i="1"/>
  <c r="H415" i="1"/>
  <c r="H443" i="1"/>
  <c r="H486" i="1"/>
  <c r="H650" i="1"/>
  <c r="H674" i="1"/>
  <c r="H704" i="1"/>
  <c r="H728" i="1"/>
  <c r="H740" i="1"/>
  <c r="H754" i="1"/>
  <c r="I1191" i="1"/>
  <c r="H1271" i="1"/>
  <c r="H1277" i="1"/>
  <c r="H1332" i="1"/>
  <c r="H1337" i="1"/>
  <c r="H1466" i="1"/>
  <c r="H1472" i="1"/>
  <c r="H1483" i="1"/>
  <c r="H1488" i="1"/>
  <c r="H1504" i="1"/>
  <c r="H1510" i="1"/>
  <c r="H1531" i="1"/>
  <c r="H1628" i="1"/>
  <c r="H1634" i="1"/>
  <c r="H1639" i="1"/>
  <c r="H1665" i="1"/>
  <c r="H1682" i="1"/>
  <c r="H1736" i="1"/>
  <c r="H44" i="1"/>
  <c r="H69" i="1"/>
  <c r="H101" i="1"/>
  <c r="H184" i="1"/>
  <c r="H517" i="1"/>
  <c r="H556" i="1"/>
  <c r="H626" i="1"/>
  <c r="H640" i="1"/>
  <c r="H645" i="1"/>
  <c r="H699" i="1"/>
  <c r="I872" i="1"/>
  <c r="I897" i="1"/>
  <c r="I963" i="1"/>
  <c r="I989" i="1"/>
  <c r="I1025" i="1"/>
  <c r="I1033" i="1"/>
  <c r="I1049" i="1"/>
  <c r="I1068" i="1"/>
  <c r="I1079" i="1"/>
  <c r="I1118" i="1"/>
  <c r="I1123" i="1"/>
  <c r="I1128" i="1"/>
  <c r="I1145" i="1"/>
  <c r="I1175" i="1"/>
  <c r="H1229" i="1"/>
  <c r="H1283" i="1"/>
  <c r="H1289" i="1"/>
  <c r="H1310" i="1"/>
  <c r="H1359" i="1"/>
  <c r="H1365" i="1"/>
  <c r="H1381" i="1"/>
  <c r="H1402" i="1"/>
  <c r="H1424" i="1"/>
  <c r="H1455" i="1"/>
  <c r="H1602" i="1"/>
  <c r="H1607" i="1"/>
  <c r="H1623" i="1"/>
  <c r="H1720" i="1"/>
  <c r="H1758" i="1"/>
  <c r="H1763" i="1"/>
  <c r="H1921" i="1"/>
  <c r="H506" i="1"/>
  <c r="H567" i="1"/>
  <c r="H711" i="1"/>
  <c r="H746" i="1"/>
  <c r="I806" i="1"/>
  <c r="I882" i="1"/>
  <c r="I919" i="1"/>
  <c r="I942" i="1"/>
  <c r="I984" i="1"/>
  <c r="I1020" i="1"/>
  <c r="I1044" i="1"/>
  <c r="I1074" i="1"/>
  <c r="I1091" i="1"/>
  <c r="I1097" i="1"/>
  <c r="I1102" i="1"/>
  <c r="I1140" i="1"/>
  <c r="I1164" i="1"/>
  <c r="I1207" i="1"/>
  <c r="I1224" i="1"/>
  <c r="H1240" i="1"/>
  <c r="H1245" i="1"/>
  <c r="H1300" i="1"/>
  <c r="H1376" i="1"/>
  <c r="H1391" i="1"/>
  <c r="H1467" i="1"/>
  <c r="H1478" i="1"/>
  <c r="H1564" i="1"/>
  <c r="H1575" i="1"/>
  <c r="H1661" i="1"/>
  <c r="H1683" i="1"/>
  <c r="H1688" i="1"/>
  <c r="H1694" i="1"/>
  <c r="H1705" i="1"/>
  <c r="H1954" i="1"/>
  <c r="H1976" i="1"/>
  <c r="H1982" i="1"/>
  <c r="H1997" i="1"/>
  <c r="H2012" i="1"/>
  <c r="H2040" i="1"/>
  <c r="H2056" i="1"/>
  <c r="H2098" i="1"/>
  <c r="H1790" i="1"/>
  <c r="H1812" i="1"/>
  <c r="H1817" i="1"/>
  <c r="H1840" i="1"/>
  <c r="H1856" i="1"/>
  <c r="H1873" i="1"/>
  <c r="H1879" i="1"/>
  <c r="H1911" i="1"/>
  <c r="H1960" i="1"/>
  <c r="H1971" i="1"/>
  <c r="H1987" i="1"/>
  <c r="H2030" i="1"/>
  <c r="H2120" i="1"/>
  <c r="H2147" i="1"/>
  <c r="H2169" i="1"/>
  <c r="H2222" i="1"/>
  <c r="H2254" i="1"/>
  <c r="H2265" i="1"/>
  <c r="H2270" i="1"/>
  <c r="H2275" i="1"/>
  <c r="H2280" i="1"/>
  <c r="H2285" i="1"/>
  <c r="H2307" i="1"/>
  <c r="H2359" i="1"/>
  <c r="H2365" i="1"/>
  <c r="H2376" i="1"/>
  <c r="H2381" i="1"/>
  <c r="H2391" i="1"/>
  <c r="H2402" i="1"/>
  <c r="H2407" i="1"/>
  <c r="H2412" i="1"/>
  <c r="H2423" i="1"/>
  <c r="H2434" i="1"/>
  <c r="H2439" i="1"/>
  <c r="H2481" i="1"/>
  <c r="H2512" i="1"/>
  <c r="H2517" i="1"/>
  <c r="H2522" i="1"/>
  <c r="H2528" i="1"/>
  <c r="H2549" i="1"/>
  <c r="H2586" i="1"/>
  <c r="H2592" i="1"/>
  <c r="H2602" i="1"/>
  <c r="H2638" i="1"/>
  <c r="H2654" i="1"/>
  <c r="H2701" i="1"/>
  <c r="H2749" i="1"/>
  <c r="H2776" i="1"/>
  <c r="H2813" i="1"/>
  <c r="H2819" i="1"/>
  <c r="H2846" i="1"/>
  <c r="H2851" i="1"/>
  <c r="H2862" i="1"/>
  <c r="H2873" i="1"/>
  <c r="H2878" i="1"/>
  <c r="H2898" i="1"/>
  <c r="H2915" i="1"/>
  <c r="H2921" i="1"/>
  <c r="H2926" i="1"/>
  <c r="H2956" i="1"/>
  <c r="H2973" i="1"/>
  <c r="H2984" i="1"/>
  <c r="H2989" i="1"/>
  <c r="H3017" i="1"/>
  <c r="H3044" i="1"/>
  <c r="H3080" i="1"/>
  <c r="I3096" i="1"/>
  <c r="H3112" i="1"/>
  <c r="H2449" i="1"/>
  <c r="H2454" i="1"/>
  <c r="H2669" i="1"/>
  <c r="H2674" i="1"/>
  <c r="H2717" i="1"/>
  <c r="H2755" i="1"/>
  <c r="H2771" i="1"/>
  <c r="H2893" i="1"/>
  <c r="H1796" i="1"/>
  <c r="H1818" i="1"/>
  <c r="H1824" i="1"/>
  <c r="H1846" i="1"/>
  <c r="H1857" i="1"/>
  <c r="H1891" i="1"/>
  <c r="H1922" i="1"/>
  <c r="H1944" i="1"/>
  <c r="H1950" i="1"/>
  <c r="H1983" i="1"/>
  <c r="H2083" i="1"/>
  <c r="H2099" i="1"/>
  <c r="H2126" i="1"/>
  <c r="H2153" i="1"/>
  <c r="H2159" i="1"/>
  <c r="H2175" i="1"/>
  <c r="H2185" i="1"/>
  <c r="H2201" i="1"/>
  <c r="H2217" i="1"/>
  <c r="H2239" i="1"/>
  <c r="H2260" i="1"/>
  <c r="H2313" i="1"/>
  <c r="H2345" i="1"/>
  <c r="H2397" i="1"/>
  <c r="H2429" i="1"/>
  <c r="H2471" i="1"/>
  <c r="H2497" i="1"/>
  <c r="H2534" i="1"/>
  <c r="H2540" i="1"/>
  <c r="H2545" i="1"/>
  <c r="H2576" i="1"/>
  <c r="H2623" i="1"/>
  <c r="H2628" i="1"/>
  <c r="H2644" i="1"/>
  <c r="H2750" i="1"/>
  <c r="H2756" i="1"/>
  <c r="H2803" i="1"/>
  <c r="H2831" i="1"/>
  <c r="H2836" i="1"/>
  <c r="H2852" i="1"/>
  <c r="H2857" i="1"/>
  <c r="H2905" i="1"/>
  <c r="H2942" i="1"/>
  <c r="H2947" i="1"/>
  <c r="H2957" i="1"/>
  <c r="H2974" i="1"/>
  <c r="H2979" i="1"/>
  <c r="H3034" i="1"/>
  <c r="I3086" i="1"/>
  <c r="H3102" i="1"/>
  <c r="H1791" i="1"/>
  <c r="H1802" i="1"/>
  <c r="H1807" i="1"/>
  <c r="H1841" i="1"/>
  <c r="H1851" i="1"/>
  <c r="H1880" i="1"/>
  <c r="H1934" i="1"/>
  <c r="H1972" i="1"/>
  <c r="H1978" i="1"/>
  <c r="H2079" i="1"/>
  <c r="H2148" i="1"/>
  <c r="H2218" i="1"/>
  <c r="H2223" i="1"/>
  <c r="H2233" i="1"/>
  <c r="H2249" i="1"/>
  <c r="H2255" i="1"/>
  <c r="H2266" i="1"/>
  <c r="H2271" i="1"/>
  <c r="H2281" i="1"/>
  <c r="H2308" i="1"/>
  <c r="H2324" i="1"/>
  <c r="H2339" i="1"/>
  <c r="H2355" i="1"/>
  <c r="H2366" i="1"/>
  <c r="H2372" i="1"/>
  <c r="H2377" i="1"/>
  <c r="H2403" i="1"/>
  <c r="H2408" i="1"/>
  <c r="H2424" i="1"/>
  <c r="H2435" i="1"/>
  <c r="H2440" i="1"/>
  <c r="H2445" i="1"/>
  <c r="H2482" i="1"/>
  <c r="H2508" i="1"/>
  <c r="H2513" i="1"/>
  <c r="H2518" i="1"/>
  <c r="H2529" i="1"/>
  <c r="H2587" i="1"/>
  <c r="H2639" i="1"/>
  <c r="H2655" i="1"/>
  <c r="H2702" i="1"/>
  <c r="H2745" i="1"/>
  <c r="H2772" i="1"/>
  <c r="H2782" i="1"/>
  <c r="H2814" i="1"/>
  <c r="H2820" i="1"/>
  <c r="H2847" i="1"/>
  <c r="H2858" i="1"/>
  <c r="H2863" i="1"/>
  <c r="H2894" i="1"/>
  <c r="H2899" i="1"/>
  <c r="H2916" i="1"/>
  <c r="H2922" i="1"/>
  <c r="H2952" i="1"/>
  <c r="H2980" i="1"/>
  <c r="H2985" i="1"/>
  <c r="H3045" i="1"/>
  <c r="H3051" i="1"/>
  <c r="H3081" i="1"/>
  <c r="H3108" i="1"/>
  <c r="H3113" i="1"/>
  <c r="H1819" i="1"/>
  <c r="H1825" i="1"/>
  <c r="H1858" i="1"/>
  <c r="H1886" i="1"/>
  <c r="H1892" i="1"/>
  <c r="H1923" i="1"/>
  <c r="H1946" i="1"/>
  <c r="H1984" i="1"/>
  <c r="H2015" i="1"/>
  <c r="H2058" i="1"/>
  <c r="H2075" i="1"/>
  <c r="H2100" i="1"/>
  <c r="H2106" i="1"/>
  <c r="H2122" i="1"/>
  <c r="H2138" i="1"/>
  <c r="H2160" i="1"/>
  <c r="H2170" i="1"/>
  <c r="H2181" i="1"/>
  <c r="H2202" i="1"/>
  <c r="H2234" i="1"/>
  <c r="H2261" i="1"/>
  <c r="H2314" i="1"/>
  <c r="H2340" i="1"/>
  <c r="H2650" i="1"/>
  <c r="H2661" i="1"/>
  <c r="H2692" i="1"/>
  <c r="H2713" i="1"/>
  <c r="H2735" i="1"/>
  <c r="H2757" i="1"/>
  <c r="H2804" i="1"/>
  <c r="H2832" i="1"/>
  <c r="H2853" i="1"/>
  <c r="H2890" i="1"/>
  <c r="H2895" i="1"/>
  <c r="H2906" i="1"/>
  <c r="H2938" i="1"/>
  <c r="H2943" i="1"/>
  <c r="H3008" i="1"/>
  <c r="H3035" i="1"/>
  <c r="H1786" i="1"/>
  <c r="H1792" i="1"/>
  <c r="H1803" i="1"/>
  <c r="H1814" i="1"/>
  <c r="H1842" i="1"/>
  <c r="H1847" i="1"/>
  <c r="H1881" i="1"/>
  <c r="H1887" i="1"/>
  <c r="H1918" i="1"/>
  <c r="H2032" i="1"/>
  <c r="H2213" i="1"/>
  <c r="H2229" i="1"/>
  <c r="H2335" i="1"/>
  <c r="H2514" i="1"/>
  <c r="H2530" i="1"/>
  <c r="H2571" i="1"/>
  <c r="H2848" i="1"/>
  <c r="H2859" i="1"/>
  <c r="H2875" i="1"/>
  <c r="H2880" i="1"/>
  <c r="H2885" i="1"/>
  <c r="H2901" i="1"/>
  <c r="H2932" i="1"/>
  <c r="H2995" i="1"/>
  <c r="H3003" i="1"/>
  <c r="H1951" i="1"/>
  <c r="H1956" i="1"/>
  <c r="H2112" i="1"/>
  <c r="H2133" i="1"/>
  <c r="H2144" i="1"/>
  <c r="H2186" i="1"/>
  <c r="H2192" i="1"/>
  <c r="H2208" i="1"/>
  <c r="H2214" i="1"/>
  <c r="H2293" i="1"/>
  <c r="H2298" i="1"/>
  <c r="H2304" i="1"/>
  <c r="H2362" i="1"/>
  <c r="H2420" i="1"/>
  <c r="H2446" i="1"/>
  <c r="H2462" i="1"/>
  <c r="H2467" i="1"/>
  <c r="H2478" i="1"/>
  <c r="H2499" i="1"/>
  <c r="H2525" i="1"/>
  <c r="H2583" i="1"/>
  <c r="H2609" i="1"/>
  <c r="H2635" i="1"/>
  <c r="H2666" i="1"/>
  <c r="H2677" i="1"/>
  <c r="H2682" i="1"/>
  <c r="H2698" i="1"/>
  <c r="H2709" i="1"/>
  <c r="H2725" i="1"/>
  <c r="H2730" i="1"/>
  <c r="H2741" i="1"/>
  <c r="H2789" i="1"/>
  <c r="H2810" i="1"/>
  <c r="H2815" i="1"/>
  <c r="H2912" i="1"/>
  <c r="H2918" i="1"/>
  <c r="H2948" i="1"/>
  <c r="H2954" i="1"/>
  <c r="H2996" i="1"/>
  <c r="H3014" i="1"/>
  <c r="H3020" i="1"/>
  <c r="H3041" i="1"/>
  <c r="H3075" i="1"/>
  <c r="H1754" i="1"/>
  <c r="H1759" i="1"/>
  <c r="H1770" i="1"/>
  <c r="H1798" i="1"/>
  <c r="H1820" i="1"/>
  <c r="H1826" i="1"/>
  <c r="H1831" i="1"/>
  <c r="H1859" i="1"/>
  <c r="H1864" i="1"/>
  <c r="H1870" i="1"/>
  <c r="H1924" i="1"/>
  <c r="H1952" i="1"/>
  <c r="H2042" i="1"/>
  <c r="H2059" i="1"/>
  <c r="H2101" i="1"/>
  <c r="H2107" i="1"/>
  <c r="H2118" i="1"/>
  <c r="H2139" i="1"/>
  <c r="H2161" i="1"/>
  <c r="H2177" i="1"/>
  <c r="H2203" i="1"/>
  <c r="H2230" i="1"/>
  <c r="H2262" i="1"/>
  <c r="H2315" i="1"/>
  <c r="H2331" i="1"/>
  <c r="H2336" i="1"/>
  <c r="H2388" i="1"/>
  <c r="H2414" i="1"/>
  <c r="H2473" i="1"/>
  <c r="H2489" i="1"/>
  <c r="H2542" i="1"/>
  <c r="H2578" i="1"/>
  <c r="H2620" i="1"/>
  <c r="H2646" i="1"/>
  <c r="H2693" i="1"/>
  <c r="H2783" i="1"/>
  <c r="H2826" i="1"/>
  <c r="H3088" i="1"/>
  <c r="H3104" i="1"/>
  <c r="I3109" i="1"/>
  <c r="H1765" i="1"/>
  <c r="H1787" i="1"/>
  <c r="H1793" i="1"/>
  <c r="H1815" i="1"/>
  <c r="H1843" i="1"/>
  <c r="H1854" i="1"/>
  <c r="H1876" i="1"/>
  <c r="H1882" i="1"/>
  <c r="H1913" i="1"/>
  <c r="H1919" i="1"/>
  <c r="H1974" i="1"/>
  <c r="H1980" i="1"/>
  <c r="H2010" i="1"/>
  <c r="H2054" i="1"/>
  <c r="H2394" i="1"/>
  <c r="H2400" i="1"/>
  <c r="H2426" i="1"/>
  <c r="H2432" i="1"/>
  <c r="H2452" i="1"/>
  <c r="H2484" i="1"/>
  <c r="H2494" i="1"/>
  <c r="H2510" i="1"/>
  <c r="H2531" i="1"/>
  <c r="H2536" i="1"/>
  <c r="H2556" i="1"/>
  <c r="H2567" i="1"/>
  <c r="H2572" i="1"/>
  <c r="H2589" i="1"/>
  <c r="H2599" i="1"/>
  <c r="H2641" i="1"/>
  <c r="H2662" i="1"/>
  <c r="H2672" i="1"/>
  <c r="H2704" i="1"/>
  <c r="H2715" i="1"/>
  <c r="H2747" i="1"/>
  <c r="H2753" i="1"/>
  <c r="H2763" i="1"/>
  <c r="H2774" i="1"/>
  <c r="H2799" i="1"/>
  <c r="H2822" i="1"/>
  <c r="H2849" i="1"/>
  <c r="H2854" i="1"/>
  <c r="H2876" i="1"/>
  <c r="H2902" i="1"/>
  <c r="H2928" i="1"/>
  <c r="H2971" i="1"/>
  <c r="H2977" i="1"/>
  <c r="H2991" i="1"/>
  <c r="H3004" i="1"/>
  <c r="H3047" i="1"/>
  <c r="H3071" i="1"/>
  <c r="H3083" i="1"/>
  <c r="H3099" i="1"/>
  <c r="H1776" i="1"/>
  <c r="H1782" i="1"/>
  <c r="H1810" i="1"/>
  <c r="H1838" i="1"/>
  <c r="H1871" i="1"/>
  <c r="H1903" i="1"/>
  <c r="H1909" i="1"/>
  <c r="H1931" i="1"/>
  <c r="H1991" i="1"/>
  <c r="H2028" i="1"/>
  <c r="H2071" i="1"/>
  <c r="H2086" i="1"/>
  <c r="H2113" i="1"/>
  <c r="H2123" i="1"/>
  <c r="H2145" i="1"/>
  <c r="H2167" i="1"/>
  <c r="H2182" i="1"/>
  <c r="H2215" i="1"/>
  <c r="H2273" i="1"/>
  <c r="H2294" i="1"/>
  <c r="H2305" i="1"/>
  <c r="H2379" i="1"/>
  <c r="H2520" i="1"/>
  <c r="H2526" i="1"/>
  <c r="H2584" i="1"/>
  <c r="H2605" i="1"/>
  <c r="H2636" i="1"/>
  <c r="H2678" i="1"/>
  <c r="H2683" i="1"/>
  <c r="H2699" i="1"/>
  <c r="H2710" i="1"/>
  <c r="H2726" i="1"/>
  <c r="H2742" i="1"/>
  <c r="H2764" i="1"/>
  <c r="H2785" i="1"/>
  <c r="H2811" i="1"/>
  <c r="H2817" i="1"/>
  <c r="H2843" i="1"/>
  <c r="H2871" i="1"/>
  <c r="H2919" i="1"/>
  <c r="H2929" i="1"/>
  <c r="H2944" i="1"/>
  <c r="H2966" i="1"/>
  <c r="H2992" i="1"/>
  <c r="H3030" i="1"/>
  <c r="H3042" i="1"/>
  <c r="H3062" i="1"/>
  <c r="H3094" i="1"/>
  <c r="H3110" i="1"/>
  <c r="H1799" i="1"/>
  <c r="H1866" i="1"/>
  <c r="H1948" i="1"/>
  <c r="H2006" i="1"/>
  <c r="H2017" i="1"/>
  <c r="H2060" i="1"/>
  <c r="H2066" i="1"/>
  <c r="H2096" i="1"/>
  <c r="H2102" i="1"/>
  <c r="H2108" i="1"/>
  <c r="H2140" i="1"/>
  <c r="H2162" i="1"/>
  <c r="H2173" i="1"/>
  <c r="H2204" i="1"/>
  <c r="H2210" i="1"/>
  <c r="H2226" i="1"/>
  <c r="H2278" i="1"/>
  <c r="H2300" i="1"/>
  <c r="H2332" i="1"/>
  <c r="H2342" i="1"/>
  <c r="H2384" i="1"/>
  <c r="H2410" i="1"/>
  <c r="H2416" i="1"/>
  <c r="H2457" i="1"/>
  <c r="H2474" i="1"/>
  <c r="H2490" i="1"/>
  <c r="H2537" i="1"/>
  <c r="H2552" i="1"/>
  <c r="H2563" i="1"/>
  <c r="H2568" i="1"/>
  <c r="H2573" i="1"/>
  <c r="H2579" i="1"/>
  <c r="H2595" i="1"/>
  <c r="H2610" i="1"/>
  <c r="H2615" i="1"/>
  <c r="H2647" i="1"/>
  <c r="H2694" i="1"/>
  <c r="H2737" i="1"/>
  <c r="H2795" i="1"/>
  <c r="H2806" i="1"/>
  <c r="H2887" i="1"/>
  <c r="H2908" i="1"/>
  <c r="H2940" i="1"/>
  <c r="H2961" i="1"/>
  <c r="H3037" i="1"/>
  <c r="H1794" i="1"/>
  <c r="H1816" i="1"/>
  <c r="H1822" i="1"/>
  <c r="H1827" i="1"/>
  <c r="H1855" i="1"/>
  <c r="H1860" i="1"/>
  <c r="H1883" i="1"/>
  <c r="H1889" i="1"/>
  <c r="H1894" i="1"/>
  <c r="H1914" i="1"/>
  <c r="H1975" i="1"/>
  <c r="H1981" i="1"/>
  <c r="H1986" i="1"/>
  <c r="H2049" i="1"/>
  <c r="H2055" i="1"/>
  <c r="H2151" i="1"/>
  <c r="H2157" i="1"/>
  <c r="H2178" i="1"/>
  <c r="H2183" i="1"/>
  <c r="H2199" i="1"/>
  <c r="H2237" i="1"/>
  <c r="H2242" i="1"/>
  <c r="H2247" i="1"/>
  <c r="H2258" i="1"/>
  <c r="H2311" i="1"/>
  <c r="H2317" i="1"/>
  <c r="H2322" i="1"/>
  <c r="H2348" i="1"/>
  <c r="H2353" i="1"/>
  <c r="H2369" i="1"/>
  <c r="H2427" i="1"/>
  <c r="H2448" i="1"/>
  <c r="H2485" i="1"/>
  <c r="H2500" i="1"/>
  <c r="H2532" i="1"/>
  <c r="H2801" i="1"/>
  <c r="H2823" i="1"/>
  <c r="H2839" i="1"/>
  <c r="H2850" i="1"/>
  <c r="H2865" i="1"/>
  <c r="H2903" i="1"/>
  <c r="H2924" i="1"/>
  <c r="H2987" i="1"/>
  <c r="H3026" i="1"/>
  <c r="H3058" i="1"/>
  <c r="H1839" i="1"/>
  <c r="H1872" i="1"/>
  <c r="H1878" i="1"/>
  <c r="H1910" i="1"/>
  <c r="H1915" i="1"/>
  <c r="H1959" i="1"/>
  <c r="H1970" i="1"/>
  <c r="H2023" i="1"/>
  <c r="H2029" i="1"/>
  <c r="H2044" i="1"/>
  <c r="H2072" i="1"/>
  <c r="H2114" i="1"/>
  <c r="H2146" i="1"/>
  <c r="H2168" i="1"/>
  <c r="H2216" i="1"/>
  <c r="H2253" i="1"/>
  <c r="H2269" i="1"/>
  <c r="H2274" i="1"/>
  <c r="H2290" i="1"/>
  <c r="H2306" i="1"/>
  <c r="H2364" i="1"/>
  <c r="H2375" i="1"/>
  <c r="H2380" i="1"/>
  <c r="H2406" i="1"/>
  <c r="H2411" i="1"/>
  <c r="H2422" i="1"/>
  <c r="H2438" i="1"/>
  <c r="H2459" i="1"/>
  <c r="H2480" i="1"/>
  <c r="H2516" i="1"/>
  <c r="H2521" i="1"/>
  <c r="H2527" i="1"/>
  <c r="H2548" i="1"/>
  <c r="H2585" i="1"/>
  <c r="H2591" i="1"/>
  <c r="H2606" i="1"/>
  <c r="H2626" i="1"/>
  <c r="H2637" i="1"/>
  <c r="H2679" i="1"/>
  <c r="H2700" i="1"/>
  <c r="H2705" i="1"/>
  <c r="H2743" i="1"/>
  <c r="H2748" i="1"/>
  <c r="H2759" i="1"/>
  <c r="H2765" i="1"/>
  <c r="H2780" i="1"/>
  <c r="H2818" i="1"/>
  <c r="H2845" i="1"/>
  <c r="H2872" i="1"/>
  <c r="H2925" i="1"/>
  <c r="H2930" i="1"/>
  <c r="H2967" i="1"/>
  <c r="H2972" i="1"/>
  <c r="H2988" i="1"/>
  <c r="H2993" i="1"/>
  <c r="H3016" i="1"/>
  <c r="H3043" i="1"/>
  <c r="H3063" i="1"/>
  <c r="H3079" i="1"/>
  <c r="H3095" i="1"/>
  <c r="I3111" i="1"/>
  <c r="I3119" i="1"/>
  <c r="H2109" i="1"/>
  <c r="H2135" i="1"/>
  <c r="H2141" i="1"/>
  <c r="H2163" i="1"/>
  <c r="H2194" i="1"/>
  <c r="H2205" i="1"/>
  <c r="H2211" i="1"/>
  <c r="H2232" i="1"/>
  <c r="H2284" i="1"/>
  <c r="H2301" i="1"/>
  <c r="H2328" i="1"/>
  <c r="H2338" i="1"/>
  <c r="H2385" i="1"/>
  <c r="H2417" i="1"/>
  <c r="H2453" i="1"/>
  <c r="H2475" i="1"/>
  <c r="H2538" i="1"/>
  <c r="H2553" i="1"/>
  <c r="H2559" i="1"/>
  <c r="H2564" i="1"/>
  <c r="H2569" i="1"/>
  <c r="H2580" i="1"/>
  <c r="H2596" i="1"/>
  <c r="H2611" i="1"/>
  <c r="H2648" i="1"/>
  <c r="H2658" i="1"/>
  <c r="H2673" i="1"/>
  <c r="H2695" i="1"/>
  <c r="H2716" i="1"/>
  <c r="H2721" i="1"/>
  <c r="H2738" i="1"/>
  <c r="H2760" i="1"/>
  <c r="H2775" i="1"/>
  <c r="H2791" i="1"/>
  <c r="H2796" i="1"/>
  <c r="H2807" i="1"/>
  <c r="H2812" i="1"/>
  <c r="H2834" i="1"/>
  <c r="H2867" i="1"/>
  <c r="H2909" i="1"/>
  <c r="H2914" i="1"/>
  <c r="H2936" i="1"/>
  <c r="H2962" i="1"/>
  <c r="H3027" i="1"/>
  <c r="H3032" i="1"/>
  <c r="H3038" i="1"/>
  <c r="H3054" i="1"/>
  <c r="H3090" i="1"/>
  <c r="I3106" i="1"/>
  <c r="H421" i="1"/>
  <c r="H422" i="1"/>
  <c r="H428" i="1"/>
  <c r="H423" i="1"/>
  <c r="H424" i="1"/>
  <c r="H349" i="1"/>
  <c r="H435" i="1"/>
  <c r="H3132" i="1"/>
  <c r="B3134" i="1" s="1"/>
  <c r="H426" i="1"/>
  <c r="H2007" i="1"/>
  <c r="H2024" i="1"/>
  <c r="H2046" i="1"/>
  <c r="H1896" i="1"/>
  <c r="H1988" i="1"/>
  <c r="H2014" i="1"/>
  <c r="H2057" i="1"/>
  <c r="H2031" i="1"/>
  <c r="H1888" i="1"/>
  <c r="H1941" i="1"/>
  <c r="H1936" i="1"/>
  <c r="H1973" i="1"/>
  <c r="I3132" i="1"/>
  <c r="H2027" i="1"/>
  <c r="H1920" i="1"/>
  <c r="H1926" i="1"/>
  <c r="H2016" i="1"/>
  <c r="H1932" i="1"/>
  <c r="H1969" i="1"/>
  <c r="H2022" i="1"/>
  <c r="H2011" i="1"/>
  <c r="H1933" i="1"/>
  <c r="H1928" i="1"/>
  <c r="H1964" i="1"/>
  <c r="H2018" i="1"/>
  <c r="H2050" i="1"/>
  <c r="H2061" i="1"/>
</calcChain>
</file>

<file path=xl/sharedStrings.xml><?xml version="1.0" encoding="utf-8"?>
<sst xmlns="http://schemas.openxmlformats.org/spreadsheetml/2006/main" count="9381" uniqueCount="4016">
  <si>
    <t>DEBE</t>
  </si>
  <si>
    <t>HABER</t>
  </si>
  <si>
    <t>C U E N T A</t>
  </si>
  <si>
    <t>C O N C E P T O</t>
  </si>
  <si>
    <t>SALDOS ACUMULADOS</t>
  </si>
  <si>
    <t>M O V I M I E N T O S</t>
  </si>
  <si>
    <t>SALDOS INICIALES</t>
  </si>
  <si>
    <t>H. AYUNTAMIENTO MUNICIPAL DE JOSE JOAQUIN DE HERRERA, GRO.</t>
  </si>
  <si>
    <t>TESORERIA MUNICIPAL</t>
  </si>
  <si>
    <t>CONSOLIDADO</t>
  </si>
  <si>
    <t>AL 1 DE ENERO DE 2024</t>
  </si>
  <si>
    <t>ENERO - SEPTIEMBRE 2024</t>
  </si>
  <si>
    <t>AL 30 DE SEPTIEMBRE DE 2024</t>
  </si>
  <si>
    <t>1</t>
  </si>
  <si>
    <t>ACTIVO</t>
  </si>
  <si>
    <t>1 1</t>
  </si>
  <si>
    <t>ACTIVO CIRCULANTE</t>
  </si>
  <si>
    <t>1 1 1</t>
  </si>
  <si>
    <t>EFECTIVO Y EQUIVALENTES</t>
  </si>
  <si>
    <t>1 1 1 2</t>
  </si>
  <si>
    <t>BANCOS/TESORERÍA</t>
  </si>
  <si>
    <t>1 1 1 2 1</t>
  </si>
  <si>
    <t>BANCOS MONEDA NACIONAL</t>
  </si>
  <si>
    <t>1 1 1 2 1 12</t>
  </si>
  <si>
    <t>GUERRERO</t>
  </si>
  <si>
    <t>1 1 1 2 1 12 31111</t>
  </si>
  <si>
    <t>ORGANO EJECUTIVO MUNICIPAL (AYUNTAMIENTO)</t>
  </si>
  <si>
    <t>1 1 1 2 1 12 31111 6</t>
  </si>
  <si>
    <t>SECTOR PÚBLICO MUNICIPAL</t>
  </si>
  <si>
    <t>1 1 1 2 1 12 31111 6 M78</t>
  </si>
  <si>
    <t>JOSÉ JOAQUÍN DE HERRERA</t>
  </si>
  <si>
    <t>1 1 1 2 1 12 31111 6 M78 00001</t>
  </si>
  <si>
    <t>GASTO CORRIENTE</t>
  </si>
  <si>
    <t>1 1 1 2 1 12 31111 6 M78 00001 002</t>
  </si>
  <si>
    <t>ADMINISTRACION 2018-2021</t>
  </si>
  <si>
    <t>1 1 1 2 1 12 31111 6 M78 00001 002 001</t>
  </si>
  <si>
    <t>BANAMEX 7009 8442349 GASTO CORRIENTE</t>
  </si>
  <si>
    <t>0</t>
  </si>
  <si>
    <t>1 1 1 2 1 12 31111 6 M78 00001 002 002</t>
  </si>
  <si>
    <t>BANAMEX 7009 8442357 (GAS Y DIESEL)</t>
  </si>
  <si>
    <t>1 1 1 2 1 12 31111 6 M78 00001 002 004</t>
  </si>
  <si>
    <t>BANAMEX 9811887193 CUENTA EJE DE INVERSION EMPRESARIAL.</t>
  </si>
  <si>
    <t>1 1 1 2 1 12 31111 6 M78 00002</t>
  </si>
  <si>
    <t>FONDO DE APORTACIONES P/ LA INFRAESTRUCTURA SOCIAL MPAL</t>
  </si>
  <si>
    <t>1 1 1 2 1 12 31111 6 M78 00002 002</t>
  </si>
  <si>
    <t>1 1 1 2 1 12 31111 6 M78 00002 002 008</t>
  </si>
  <si>
    <t>BANAMEX CTA 7012 5803782-6 FAISM 2022</t>
  </si>
  <si>
    <t>1 1 1 2 1 12 31111 6 M78 00002 002 009</t>
  </si>
  <si>
    <t>BANAMEX CTA EJE 490/9935920303 CUENTA EJE INVERSION EMPRESARIAL 2022 FAISM</t>
  </si>
  <si>
    <t>1 1 1 2 1 12 31111 6 M78 00002 002 010</t>
  </si>
  <si>
    <t>BANAMEX CTA 7014 4640088 3 FAISM 2023</t>
  </si>
  <si>
    <t>1 1 1 2 1 12 31111 6 M78 00002 002 011</t>
  </si>
  <si>
    <t>BANAMEX CTA 7014 4640096  FAISM 2024</t>
  </si>
  <si>
    <t>1 1 1 2 1 12 31111 6 M78 00003</t>
  </si>
  <si>
    <t>FONDO DE APORTACIONES P/EL FORTALECIMENTO DE LOS MUNICIPIOS</t>
  </si>
  <si>
    <t>1 1 1 2 1 12 31111 6 M78 00003 002</t>
  </si>
  <si>
    <t>1 1 1 2 1 12 31111 6 M78 00003 002 005</t>
  </si>
  <si>
    <t>BANAMEX 7011 3762010 FORTAMUN 2021</t>
  </si>
  <si>
    <t>1 1 1 2 1 12 31111 6 M78 00003 002 006</t>
  </si>
  <si>
    <t>BANAMEX 7012-5209244-3  FORTAMUN 2022</t>
  </si>
  <si>
    <t>1 1 1 2 1 12 31111 6 M78 00003 002 007</t>
  </si>
  <si>
    <t>BANAMEX 9940185972  INVERSIONES FORTAMUN 2022</t>
  </si>
  <si>
    <t>1 1 1 2 1 12 31111 6 M78 00003 002 008</t>
  </si>
  <si>
    <t>BANAMEX 7014 4640061 8 FORTAMUN 2023</t>
  </si>
  <si>
    <t>1 1 1 2 1 12 31111 6 M78 00003 002 009</t>
  </si>
  <si>
    <t>BANAMEX 7014 4640118 3 FORTAMUN 2024</t>
  </si>
  <si>
    <t>1 1 1 2 1 12 31111 6 M78 00005</t>
  </si>
  <si>
    <t>INGRESOS FISCALES</t>
  </si>
  <si>
    <t>1 1 1 2 1 12 31111 6 M78 00005 001</t>
  </si>
  <si>
    <t>BANAMEX 7009 8442403 INGRESOS FISCALES</t>
  </si>
  <si>
    <t>1 1 2</t>
  </si>
  <si>
    <t>DERECHOS A RECIBIR EFECTIVO O EQUIVALENTES</t>
  </si>
  <si>
    <t>1 1 2 2</t>
  </si>
  <si>
    <t>CUENTAS POR COBRAR A CORTO PLAZO</t>
  </si>
  <si>
    <t>1 1 2 2 5</t>
  </si>
  <si>
    <t>CUENTAS POR COBRAR A LA FEDERACIÓN</t>
  </si>
  <si>
    <t>1 1 2 2 5 12</t>
  </si>
  <si>
    <t>1 1 2 2 5 12 31111</t>
  </si>
  <si>
    <t>1 1 2 2 5 12 31111 6</t>
  </si>
  <si>
    <t>1 1 2 2 5 12 31111 6 M78</t>
  </si>
  <si>
    <t>1 1 2 2 5 12 31111 6 M78 00001</t>
  </si>
  <si>
    <t>1 1 2 2 5 12 31111 6 M78 00001 002</t>
  </si>
  <si>
    <t>1 1 2 2 5 12 31111 6 M78 00001 002 001</t>
  </si>
  <si>
    <t>FONDO GENERAL DE PARTICIPACIONES FEDERALES</t>
  </si>
  <si>
    <t>1 1 2 2 5 12 31111 6 M78 00001 002 002</t>
  </si>
  <si>
    <t>FONDO DE FOMENTO MUNICIPAL</t>
  </si>
  <si>
    <t>1 1 2 2 5 12 31111 6 M78 00001 002 003</t>
  </si>
  <si>
    <t>SUBSIDIO PARA EL EMPLEO</t>
  </si>
  <si>
    <t>1 1 2 2 5 12 31111 6 M78 00001 002 004</t>
  </si>
  <si>
    <t>FONDO PARA LA INFRAESTRUCTURA A MUNICIPIOS</t>
  </si>
  <si>
    <t>1 1 2 2 5 12 31111 6 M78 00001 002 005</t>
  </si>
  <si>
    <t>FONDO DE APORTACIONES ESTATALES PARA LA INFRAESTRUCTURA SOCIAL MUNICIPAL</t>
  </si>
  <si>
    <t>1 1 2 2 5 12 31111 6 M78 00001 002 006</t>
  </si>
  <si>
    <t>SUBSIDIOS PARA EL EMPLEO FORTAMUN</t>
  </si>
  <si>
    <t>1 1 2 2 5 12 31111 6 M78 00001 002 007</t>
  </si>
  <si>
    <t>SUBSIDIO PARA EL MEPLEO GAASTO CORRIENTE 2024</t>
  </si>
  <si>
    <t>1 1 2 2 5 12 31111 6 M78 00001 002 008</t>
  </si>
  <si>
    <t>SUBSIDIO PARA EL MEPLEO FORTAMUN 2024</t>
  </si>
  <si>
    <t>1 1 2 2 5 12 31111 6 M78 00002</t>
  </si>
  <si>
    <t>1 1 2 2 5 12 31111 6 M78 00002 002</t>
  </si>
  <si>
    <t>1 1 2 2 5 12 31111 6 M78 00002 002 001</t>
  </si>
  <si>
    <t>FONDO DE APORTACIONES PARA LA INFRAESTRUCTURA SOCIAL MUNICIPAL</t>
  </si>
  <si>
    <t>1 1 2 2 5 12 31111 6 M78 00003</t>
  </si>
  <si>
    <t>1 1 2 2 5 12 31111 6 M78 00003 002</t>
  </si>
  <si>
    <t>1 1 2 2 5 12 31111 6 M78 00003 002 001</t>
  </si>
  <si>
    <t>1 1 2 2 5 12 31111 6 M78 00003 002 003</t>
  </si>
  <si>
    <t>1 1 2 2 5 12 31111 6 M78 00003 002 004</t>
  </si>
  <si>
    <t>SUBSIDIO PARA EL EMPLEO 2023</t>
  </si>
  <si>
    <t>1 1 2 2 5 12 31111 6 M78 00003 002 005</t>
  </si>
  <si>
    <t>SUBSIDIO PARA EL EMPLEO 2024</t>
  </si>
  <si>
    <t>1 1 2 2 9</t>
  </si>
  <si>
    <t>OTRAS CUENTAS POR COBRAR</t>
  </si>
  <si>
    <t>1 1 2 2 9 12</t>
  </si>
  <si>
    <t>1 1 2 2 9 12 31111</t>
  </si>
  <si>
    <t>1 1 2 2 9 12 31111 6</t>
  </si>
  <si>
    <t>1 1 2 2 9 12 31111 6 M78</t>
  </si>
  <si>
    <t>1 1 2 2 9 12 31111 6 M78 00001</t>
  </si>
  <si>
    <t>1 1 2 2 9 12 31111 6 M78 00001 002</t>
  </si>
  <si>
    <t>1 1 2 2 9 12 31111 6 M78 00001 002 001</t>
  </si>
  <si>
    <t>APORTACIONES ESTATALES EXTRAORDINARIAS</t>
  </si>
  <si>
    <t>1 1 2 3</t>
  </si>
  <si>
    <t>DEUDORES DIVERSOS POR COBRAR A CORTO PLAZO</t>
  </si>
  <si>
    <t>1 1 2 3 1</t>
  </si>
  <si>
    <t>DEUDORES DIVERSOS POR COBRAR A CP</t>
  </si>
  <si>
    <t>1 1 2 3 1 12</t>
  </si>
  <si>
    <t>1 1 2 3 1 12 31111</t>
  </si>
  <si>
    <t>1 1 2 3 1 12 31111 6</t>
  </si>
  <si>
    <t>1 1 2 3 1 12 31111 6 M78</t>
  </si>
  <si>
    <t>1 1 2 3 1 12 31111 6 M78 00001</t>
  </si>
  <si>
    <t>1 1 2 3 1 12 31111 6 M78 00001 002</t>
  </si>
  <si>
    <t>ADMINISTRACION 2018 - 2021</t>
  </si>
  <si>
    <t>1 1 2 3 1 12 31111 6 M78 00001 002 001</t>
  </si>
  <si>
    <t>ALBERTO CASTRO FLORES</t>
  </si>
  <si>
    <t>1 1 2 3 1 12 31111 6 M78 00001 002 002</t>
  </si>
  <si>
    <t>ALBERTO CASTRO FLORES (FONDO)</t>
  </si>
  <si>
    <t>1 1 2 3 1 12 31111 6 M78 00001 002 004</t>
  </si>
  <si>
    <t>SALVADOR FLORES CASTILLO</t>
  </si>
  <si>
    <t>1 1 2 3 1 12 31111 6 M78 00001 002 020</t>
  </si>
  <si>
    <t>FAISM 2021</t>
  </si>
  <si>
    <t>1 1 2 3 1 12 31111 6 M78 00001 002 021</t>
  </si>
  <si>
    <t>FORTAMUN 2022</t>
  </si>
  <si>
    <t>1 1 2 3 1 12 31111 6 M78 00001 002 024</t>
  </si>
  <si>
    <t>PATRICIA VICENTE GARCÍA</t>
  </si>
  <si>
    <t>1 1 2 3 1 12 31111 6 M78 00001 002 025</t>
  </si>
  <si>
    <t>ORQUIDIA HERNANDEZ MENDOZA</t>
  </si>
  <si>
    <t>1 1 2 3 1 12 31111 6 M78 00001 002 029</t>
  </si>
  <si>
    <t>FONSOL 2024</t>
  </si>
  <si>
    <t>1 1 2 3 1 12 31111 6 M78 00001 002 030</t>
  </si>
  <si>
    <t>FORTAMUN 2024</t>
  </si>
  <si>
    <t>1 1 2 3 1 12 31111 6 M78 00001 002 031</t>
  </si>
  <si>
    <t>VICTORIA CANDIDO NAVIS</t>
  </si>
  <si>
    <t>1 1 2 3 1 12 31111 6 M78 00002</t>
  </si>
  <si>
    <t>1 1 2 3 1 12 31111 6 M78 00002 002</t>
  </si>
  <si>
    <t>1 1 2 3 1 12 31111 6 M78 00002 002 003</t>
  </si>
  <si>
    <t>1 1 2 3 1 12 31111 6 M78 00003</t>
  </si>
  <si>
    <t>1 1 2 3 1 12 31111 6 M78 00003 002</t>
  </si>
  <si>
    <t>ADMINISTRACION  2018-2021</t>
  </si>
  <si>
    <t>1 1 2 3 1 12 31111 6 M78 00003 002 001</t>
  </si>
  <si>
    <t>1 1 2 3 1 12 31111 6 M78 00003 002 011</t>
  </si>
  <si>
    <t>COMISION FEDERAL DE ELECTRICIDAD</t>
  </si>
  <si>
    <t>1 1 2 3 1 12 31111 6 M78 00003 002 012</t>
  </si>
  <si>
    <t>GASTO CORRIENTE 2023</t>
  </si>
  <si>
    <t>1 1 2 3 1 12 31111 6 M78 00003 002 013</t>
  </si>
  <si>
    <t>INGRESOS FISCALES 2023</t>
  </si>
  <si>
    <t>1 1 2 3 1 12 31111 6 M78 00003 002 014</t>
  </si>
  <si>
    <t>GASTO CORRIENTE 2024</t>
  </si>
  <si>
    <t>1 1 2 3 1 12 31111 6 M78 00005</t>
  </si>
  <si>
    <t>1 1 2 3 1 12 31111 6 M78 00005 001</t>
  </si>
  <si>
    <t>1 1 2 3 1 12 31111 6 M78 00005 006</t>
  </si>
  <si>
    <t>1 1 2 3 1 12 31111 6 M78 00005 007</t>
  </si>
  <si>
    <t>1 1 2 4</t>
  </si>
  <si>
    <t>INGRESOS POR RECUPERAR A CORTO PLAZO</t>
  </si>
  <si>
    <t>1 1 2 4 1</t>
  </si>
  <si>
    <t>CONTRIBUCIONES POR COBRAR</t>
  </si>
  <si>
    <t>1 1 2 4 1 12</t>
  </si>
  <si>
    <t>1 1 2 4 1 12 31111</t>
  </si>
  <si>
    <t>1 1 2 4 1 12 31111 6</t>
  </si>
  <si>
    <t>1 1 2 4 1 12 31111 6 M78</t>
  </si>
  <si>
    <t>1 1 2 4 1 12 31111 6 M78 00005</t>
  </si>
  <si>
    <t>1 1 2 4 1 12 31111 6 M78 00005 001</t>
  </si>
  <si>
    <t>1 1 2 4 3</t>
  </si>
  <si>
    <t>DERECHOS POR COBRAR</t>
  </si>
  <si>
    <t>1 1 2 4 3 12</t>
  </si>
  <si>
    <t>1 1 2 4 3 12 31111</t>
  </si>
  <si>
    <t>1 1 2 4 3 12 31111 6</t>
  </si>
  <si>
    <t>1 1 2 4 3 12 31111 6 M78</t>
  </si>
  <si>
    <t>1 1 2 4 3 12 31111 6 M78 00005</t>
  </si>
  <si>
    <t>1 1 2 4 3 12 31111 6 M78 00005 001</t>
  </si>
  <si>
    <t>1 1 2 4 4</t>
  </si>
  <si>
    <t>PRODUCTOS POR COBRAR</t>
  </si>
  <si>
    <t>1 1 2 4 4 12</t>
  </si>
  <si>
    <t>1 1 2 4 4 12 31111</t>
  </si>
  <si>
    <t>1 1 2 4 4 12 31111 6</t>
  </si>
  <si>
    <t>1 1 2 4 4 12 31111 6 M78</t>
  </si>
  <si>
    <t>1 1 2 4 4 12 31111 6 M78 00001</t>
  </si>
  <si>
    <t>1 1 2 4 4 12 31111 6 M78 00001 002</t>
  </si>
  <si>
    <t>ADMINISTRACION 2015 - 2018</t>
  </si>
  <si>
    <t>1 1 2 4 4 12 31111 6 M78 00001 002 003</t>
  </si>
  <si>
    <t>PRODUCTOS</t>
  </si>
  <si>
    <t>1 1 2 4 4 12 31111 6 M78 00002</t>
  </si>
  <si>
    <t>1 1 2 4 4 12 31111 6 M78 00002 002</t>
  </si>
  <si>
    <t>1 1 2 4 4 12 31111 6 M78 00002 002 001</t>
  </si>
  <si>
    <t>INTERESES GANADOS</t>
  </si>
  <si>
    <t>1 1 2 4 4 12 31111 6 M78 00003</t>
  </si>
  <si>
    <t>1 1 2 4 4 12 31111 6 M78 00003 002</t>
  </si>
  <si>
    <t>1 1 2 4 4 12 31111 6 M78 00003 002 001</t>
  </si>
  <si>
    <t>1 1 2 4 4 12 31111 6 M78 00005</t>
  </si>
  <si>
    <t>1 1 2 4 4 12 31111 6 M78 00005 001</t>
  </si>
  <si>
    <t>1 1 3</t>
  </si>
  <si>
    <t>DERECHOS A RECIBIR BIENES O SERVICIOS</t>
  </si>
  <si>
    <t>1 1 3 1</t>
  </si>
  <si>
    <t>ANTICIPO A PROVEEDORES POR ADQUISICIÓN DE BIENES Y PRESTACIÓN DE SERVICIOS A CORTO PLAZO</t>
  </si>
  <si>
    <t>1 1 3 1 1</t>
  </si>
  <si>
    <t>1 1 3 1 1 12</t>
  </si>
  <si>
    <t>1 1 3 1 1 12 31111</t>
  </si>
  <si>
    <t>1 1 3 1 1 12 31111 6</t>
  </si>
  <si>
    <t>1 1 3 1 1 12 31111 6 M78</t>
  </si>
  <si>
    <t>JOSE JOAQUIN DE HERRERA</t>
  </si>
  <si>
    <t>1 1 3 1 1 12 31111 6 M78 00003</t>
  </si>
  <si>
    <t>FONDO DE APORTACIONES PARA EL FORTALECIMIENTO DE LOS MUNICIPIOS</t>
  </si>
  <si>
    <t>1 1 3 1 1 12 31111 6 M78 00003 002</t>
  </si>
  <si>
    <t>ADMINISTRACIÓN 2018-2021</t>
  </si>
  <si>
    <t>1 1 3 1 1 12 31111 6 M78 00003 002 005</t>
  </si>
  <si>
    <t>SECRETARÍA DE SEGURIDAD PÚBLICA DEL ESTADO DE GUERRERO</t>
  </si>
  <si>
    <t>1 1 3 4</t>
  </si>
  <si>
    <t>ANTICIPO A CONTRATISTAS POR OBRAS PÚBLICAS A CORTO PLAZO</t>
  </si>
  <si>
    <t>1 1 3 4 1</t>
  </si>
  <si>
    <t>ANTICIPO A CONTRATISTAS POR OBRAS PÚBLICAS EN BIENES DE DOMINIO PÚBLICO A CP</t>
  </si>
  <si>
    <t>1 1 3 4 1 12</t>
  </si>
  <si>
    <t>1 1 3 4 1 12 31111</t>
  </si>
  <si>
    <t>1 1 3 4 1 12 31111 6</t>
  </si>
  <si>
    <t>1 1 3 4 1 12 31111 6 M78</t>
  </si>
  <si>
    <t>1 1 3 4 1 12 31111 6 M78 00002</t>
  </si>
  <si>
    <t>1 1 3 4 1 12 31111 6 M78 00002 002</t>
  </si>
  <si>
    <t>1 1 3 4 1 12 31111 6 M78 00002 002 008</t>
  </si>
  <si>
    <t>JUAN CARLOS MORALES MENESES</t>
  </si>
  <si>
    <t>1 1 4</t>
  </si>
  <si>
    <t>INVENTARIOS</t>
  </si>
  <si>
    <t>1 1 5</t>
  </si>
  <si>
    <t>ALMACENES</t>
  </si>
  <si>
    <t>1 1 6</t>
  </si>
  <si>
    <t>ESTIMACIÓN POR PÉRDIDA O DETERIORO DE ACTIVOS CIRCULANTES</t>
  </si>
  <si>
    <t>1 1 9</t>
  </si>
  <si>
    <t>OTROS ACTIVOS CIRCULANTES</t>
  </si>
  <si>
    <t>1 2</t>
  </si>
  <si>
    <t>ACTIVO NO CIRCULANTE</t>
  </si>
  <si>
    <t>1 2 1</t>
  </si>
  <si>
    <t>INVERSIONES FINANCIERAS A LARGO PLAZO</t>
  </si>
  <si>
    <t>1 2 2</t>
  </si>
  <si>
    <t>DERECHOS A RECIBIR EFECTIVO O EQUIVALENTES A LARGO PLAZO</t>
  </si>
  <si>
    <t>1 2 3</t>
  </si>
  <si>
    <t>BIENES INMUEBLES, INFRAESTRUCTURA Y CONSTRUCCIONES EN PROCESO</t>
  </si>
  <si>
    <t>1 2 3 5</t>
  </si>
  <si>
    <t>CONSTRUCCIONES EN PROCESO EN BIENES DE DOMINIO PÚBLICO</t>
  </si>
  <si>
    <t>1 2 3 5 2</t>
  </si>
  <si>
    <t>EDIFICACIÓN NO HABITACIONAL EN PROCESO</t>
  </si>
  <si>
    <t>1 2 3 5 2 12</t>
  </si>
  <si>
    <t>1 2 3 5 2 12 31111</t>
  </si>
  <si>
    <t>1 2 3 5 2 12 31111 6</t>
  </si>
  <si>
    <t>1 2 3 5 2 12 31111 6 M78</t>
  </si>
  <si>
    <t>1 2 3 5 2 12 31111 6 M78 09000</t>
  </si>
  <si>
    <t>DIRECCION DE OBRAS PUBLICAS Y DESARROLLO URBANO</t>
  </si>
  <si>
    <t>1 2 3 5 2 12 31111 6 M78 09000 134</t>
  </si>
  <si>
    <t>FUNCIÓN PÚBLICA</t>
  </si>
  <si>
    <t>1 2 3 5 2 12 31111 6 M78 09000 134 00C</t>
  </si>
  <si>
    <t>PARTICIPACIONES A ENTIDADES FEDERATIVAS Y MUNICIPIOS</t>
  </si>
  <si>
    <t>1 2 3 5 2 12 31111 6 M78 09000 134 00C 002</t>
  </si>
  <si>
    <t>GASTO DE CAPITAL</t>
  </si>
  <si>
    <t>1 2 3 5 2 12 31111 6 M78 09000 134 00C 002 61200</t>
  </si>
  <si>
    <t>EDIFICACION NO HABITACIONAL</t>
  </si>
  <si>
    <t>1 2 3 5 2 12 31111 6 M78 09000 134 00C 002 61200 015</t>
  </si>
  <si>
    <t>15 - RECURSOS FEDERALES</t>
  </si>
  <si>
    <t>1 2 3 5 2 12 31111 6 M78 09000 134 00C 002 61200 015 2210000</t>
  </si>
  <si>
    <t>CONSTRUCCIONES EN PROCESO</t>
  </si>
  <si>
    <t>1 2 3 5 2 12 31111 6 M78 09000 134 00C 002 61200 015 2210000 2024</t>
  </si>
  <si>
    <t>EJERCICIO 2024</t>
  </si>
  <si>
    <t>1 2 3 5 2 12 31111 6 M78 09000 134 00C 002 61200 015 2210000 2024 00000000</t>
  </si>
  <si>
    <t>SIN PRIORIDAD</t>
  </si>
  <si>
    <t>1 2 3 5 2 12 31111 6 M78 09000 134 00C 002 61200 015 2210000 2024 00000000 001</t>
  </si>
  <si>
    <t>1 2 3 5 2 12 31111 6 M78 09000 134 00C 002 61200 015 2210000 2024 00000000 001 002</t>
  </si>
  <si>
    <t>SERVICIO Y MANTENIMIENTO DEL CARCAMO DE LA RED DE AGUA NTUIBADA EN LA LOCALIDAD DE HUEYCANTENANGO</t>
  </si>
  <si>
    <t>1 2 3 5 2 12 31111 6 M78 10000</t>
  </si>
  <si>
    <t>1 2 3 5 2 12 31111 6 M78 10000 222</t>
  </si>
  <si>
    <t>DESARROLLO COMUNITARIO</t>
  </si>
  <si>
    <t>1 2 3 5 2 12 31111 6 M78 10000 222 00I</t>
  </si>
  <si>
    <t>GASTO FEDERALIZADO</t>
  </si>
  <si>
    <t>1 2 3 5 2 12 31111 6 M78 10000 222 00I 002</t>
  </si>
  <si>
    <t>1 2 3 5 2 12 31111 6 M78 10000 222 00I 002 61200</t>
  </si>
  <si>
    <t>EDIFICACION NO HABITACIONAL.</t>
  </si>
  <si>
    <t>1 2 3 5 2 12 31111 6 M78 10000 222 00I 002 61200 025</t>
  </si>
  <si>
    <t>25 - RECURSOS FEDERALES</t>
  </si>
  <si>
    <t>1 2 3 5 2 12 31111 6 M78 10000 222 00I 002 61200 025 2210000</t>
  </si>
  <si>
    <t>1 2 3 5 2 12 31111 6 M78 10000 222 00I 002 61200 025 2210000 2024</t>
  </si>
  <si>
    <t>1 2 3 5 2 12 31111 6 M78 10000 222 00I 002 61200 025 2210000 2024 00000000</t>
  </si>
  <si>
    <t>1 2 3 5 2 12 31111 6 M78 10000 222 00I 002 61200 025 2210000 2024 00000000 002</t>
  </si>
  <si>
    <t>OBRA PUBLICA</t>
  </si>
  <si>
    <t>1 2 3 5 2 12 31111 6 M78 10000 222 00I 002 61200 025 2210000 2024 00000000 002 040</t>
  </si>
  <si>
    <t>CONSTRUCCION DE COMEDOR PUBLICO EN LA LOCALIDAD DE ZACATEPEC 2024</t>
  </si>
  <si>
    <t>1 2 3 5 2 12 31111 6 M78 10000 222 00I 002 61200 025 2210000 2024 00000000 002 041</t>
  </si>
  <si>
    <t>CONSTRUCCION DE COMEDOR PUBLICO EN LA LOCALIDAD DE TLACHICHULI  2024</t>
  </si>
  <si>
    <t>1 2 3 5 2 12 31111 6 M78 10000 222 00I 002 61200 025 2210000 2024 00000000 002 043</t>
  </si>
  <si>
    <t>CONSTRUCCION DE COMEDOR COMUNITARIO EN LA LOCALIDAD DE ZOMPANTITLAN</t>
  </si>
  <si>
    <t>1 2 3 5 2 12 31111 6 M78 10000 241</t>
  </si>
  <si>
    <t>DEPORTE Y RECREACIÓN</t>
  </si>
  <si>
    <t>1 2 3 5 2 12 31111 6 M78 10000 241 00I</t>
  </si>
  <si>
    <t>1 2 3 5 2 12 31111 6 M78 10000 241 00I 002</t>
  </si>
  <si>
    <t>1 2 3 5 2 12 31111 6 M78 10000 241 00I 002 61200</t>
  </si>
  <si>
    <t>1 2 3 5 2 12 31111 6 M78 10000 241 00I 002 61200 025</t>
  </si>
  <si>
    <t>1 2 3 5 2 12 31111 6 M78 10000 241 00I 002 61200 025 2210000</t>
  </si>
  <si>
    <t>1 2 3 5 2 12 31111 6 M78 10000 241 00I 002 61200 025 2210000 2024</t>
  </si>
  <si>
    <t>1 2 3 5 2 12 31111 6 M78 10000 241 00I 002 61200 025 2210000 2024 00000000</t>
  </si>
  <si>
    <t>1 2 3 5 2 12 31111 6 M78 10000 241 00I 002 61200 025 2210000 2024 00000000 002</t>
  </si>
  <si>
    <t>1 2 3 5 2 12 31111 6 M78 10000 241 00I 002 61200 025 2210000 2024 00000000 002 035</t>
  </si>
  <si>
    <t>CONSTRUCCION DE TECHADO EN ESPACIO MULTIDEPORTIVO Y BIENES PÚBLICOS EN LA LOCALIDAD DE BUENAVISTA DE LOS AIRES 2024</t>
  </si>
  <si>
    <t>1 2 3 5 2 12 31111 6 M78 10000 251</t>
  </si>
  <si>
    <t>EDUCACIÓN BÁSICA</t>
  </si>
  <si>
    <t>1 2 3 5 2 12 31111 6 M78 10000 251 00I</t>
  </si>
  <si>
    <t>1 2 3 5 2 12 31111 6 M78 10000 251 00I 002</t>
  </si>
  <si>
    <t>1 2 3 5 2 12 31111 6 M78 10000 251 00I 002 61200</t>
  </si>
  <si>
    <t>1 2 3 5 2 12 31111 6 M78 10000 251 00I 002 61200 025</t>
  </si>
  <si>
    <t>1 2 3 5 2 12 31111 6 M78 10000 251 00I 002 61200 025 2210000</t>
  </si>
  <si>
    <t>1 2 3 5 2 12 31111 6 M78 10000 251 00I 002 61200 025 2210000 2024</t>
  </si>
  <si>
    <t>1 2 3 5 2 12 31111 6 M78 10000 251 00I 002 61200 025 2210000 2024 00000000</t>
  </si>
  <si>
    <t>1 2 3 5 2 12 31111 6 M78 10000 251 00I 002 61200 025 2210000 2024 00000000 002</t>
  </si>
  <si>
    <t>1 2 3 5 2 12 31111 6 M78 10000 251 00I 002 61200 025 2210000 2024 00000000 002 020</t>
  </si>
  <si>
    <t>REHABILITACION DE AULAS EN EL PREESCOLAR LAZARO CARDENAS EN LA LOCALIDAD DE HUEYCANTENANGO 2024</t>
  </si>
  <si>
    <t>1 2 3 5 2 12 31111 6 M78 10000 251 00I 002 61200 025 2210000 2024 00000000 002 022</t>
  </si>
  <si>
    <t>CONSTRUCCION DE BARDA PERIMETRAL EN EL COLEGIO DE BACHILLERES EN LA LOCALIDAD DE HUEYCANTENANGO 2024</t>
  </si>
  <si>
    <t>1 2 3 5 2 12 31111 6 M78 10000 251 00I 002 61200 025 2210000 2024 00000000 002 023</t>
  </si>
  <si>
    <t>REHABILITACION DE RED DE ENERGIA ELECTRICA EN  ESCUELA PRIMARIA JUVENCIO SANCHEZ EN LA LOCALIDAD DE HUEYCANTENANGO 2024</t>
  </si>
  <si>
    <t>1 2 3 5 2 12 31111 6 M78 10000 251 00I 002 61200 025 2210000 2024 00000000 002 024</t>
  </si>
  <si>
    <t>CONSTRTUCCION DERE DE GUA POTABLE EN LA ESCUELA SECUNDARIA TECNICA FRIDA KAHLO DE LA LOCALIDAD DE IXCATLA 2024</t>
  </si>
  <si>
    <t>1 2 3 5 2 12 31111 6 M78 10000 251 00I 002 61200 025 2210000 2024 00000000 002 025</t>
  </si>
  <si>
    <t>REHABILITACIÓN DE AULAS EN ESCUELA PRIMARIA TELPOCHCALLI EN LA LOCALIDAD DE HUEYCANTENANGO 2024</t>
  </si>
  <si>
    <t>1 2 3 5 2 12 31111 6 M78 10000 251 00I 002 61200 025 2210000 2024 00000000 002 026</t>
  </si>
  <si>
    <t>REHABILITACIÓN DE AULAS EN EL PREESCOLAR LUIS DONALDO COLOSIO EN LA LOCALIDAD DE HUEYCANTENANGO 2024</t>
  </si>
  <si>
    <t>1 2 3 5 2 12 31111 6 M78 10000 251 00I 002 61200 025 2210000 2024 00000000 002 028</t>
  </si>
  <si>
    <t>REHABILITACION DE AULAS EN ESCUELA SECUNDARIA TECNICA CUAUHTEMOC, EN LA LOCALIDAD DE HUEYCANTENANGO, MUNICIPIO DE JOSE JOAQUÍN DE HERRERA</t>
  </si>
  <si>
    <t>1 2 3 5 3</t>
  </si>
  <si>
    <t>CONSTRUCCIÓN DE OBRAS PARA EL ABASTECIMIENTO DE AGUA, PETRÓLEO, GAS, ELECTRICIDAD Y TELECOMUNICACIONES EN PROCESO</t>
  </si>
  <si>
    <t>1 2 3 5 3 12</t>
  </si>
  <si>
    <t>1 2 3 5 3 12 31111</t>
  </si>
  <si>
    <t>1 2 3 5 3 12 31111 6</t>
  </si>
  <si>
    <t>1 2 3 5 3 12 31111 6 M78</t>
  </si>
  <si>
    <t>1 2 3 5 3 12 31111 6 M78 10000</t>
  </si>
  <si>
    <t>1 2 3 5 3 12 31111 6 M78 10000 213</t>
  </si>
  <si>
    <t>ORDENACIÓN DE AGUAS RESIDUALES, DRENAJE Y ALCANTARILLADO</t>
  </si>
  <si>
    <t>1 2 3 5 3 12 31111 6 M78 10000 213 00I</t>
  </si>
  <si>
    <t>1 2 3 5 3 12 31111 6 M78 10000 213 00I 002</t>
  </si>
  <si>
    <t>1 2 3 5 3 12 31111 6 M78 10000 213 00I 002 61300</t>
  </si>
  <si>
    <t>CONSTRUCCION DE OBRAS PARA EL ABASTECIMIENTO DE AGUA, PETROLEO, GAS, ELECTRICIDAD Y TELECOMUNICACIONES.</t>
  </si>
  <si>
    <t>1 2 3 5 3 12 31111 6 M78 10000 213 00I 002 61300 025</t>
  </si>
  <si>
    <t>1 2 3 5 3 12 31111 6 M78 10000 213 00I 002 61300 025 2210000</t>
  </si>
  <si>
    <t>1 2 3 5 3 12 31111 6 M78 10000 213 00I 002 61300 025 2210000 2024</t>
  </si>
  <si>
    <t>1 2 3 5 3 12 31111 6 M78 10000 213 00I 002 61300 025 2210000 2024 00000000</t>
  </si>
  <si>
    <t>1 2 3 5 3 12 31111 6 M78 10000 213 00I 002 61300 025 2210000 2024 00000000 002</t>
  </si>
  <si>
    <t>1 2 3 5 3 12 31111 6 M78 10000 213 00I 002 61300 025 2210000 2024 00000000 002 038</t>
  </si>
  <si>
    <t>CONSTRUCCION DE DRENAJE SANITARIO EN COLONIA XAMIQUELCO EN LOCALIDAD DE HUEYCANTENANGO 2024</t>
  </si>
  <si>
    <t>1 2 3 5 3 12 31111 6 M78 10000 223</t>
  </si>
  <si>
    <t>ABASTECIMIENTO DE AGUA</t>
  </si>
  <si>
    <t>1 2 3 5 3 12 31111 6 M78 10000 223 00I</t>
  </si>
  <si>
    <t>1 2 3 5 3 12 31111 6 M78 10000 223 00I 002</t>
  </si>
  <si>
    <t>1 2 3 5 3 12 31111 6 M78 10000 223 00I 002 61300</t>
  </si>
  <si>
    <t>1 2 3 5 3 12 31111 6 M78 10000 223 00I 002 61300 025</t>
  </si>
  <si>
    <t>1 2 3 5 3 12 31111 6 M78 10000 223 00I 002 61300 025 2210000</t>
  </si>
  <si>
    <t>1 2 3 5 3 12 31111 6 M78 10000 223 00I 002 61300 025 2210000 2024</t>
  </si>
  <si>
    <t>1 2 3 5 3 12 31111 6 M78 10000 223 00I 002 61300 025 2210000 2024 00000000</t>
  </si>
  <si>
    <t>1 2 3 5 3 12 31111 6 M78 10000 223 00I 002 61300 025 2210000 2024 00000000 002</t>
  </si>
  <si>
    <t>1 2 3 5 3 12 31111 6 M78 10000 223 00I 002 61300 025 2210000 2024 00000000 002 036</t>
  </si>
  <si>
    <t>REHABILITACION DE RED DE AGUA ENTUBADA EN LA COLONIA XAMIQUELCO, EN LA LOCALIDAD DE HUEYCANTENANGO 2024</t>
  </si>
  <si>
    <t>1 2 3 5 3 12 31111 6 M78 10000 223 00I 002 61300 025 2210000 2024 00000000 002 037</t>
  </si>
  <si>
    <t>CONSTRUCCION DE TANQUE PÚBLICO DE AGUA POTABLE EN LA COLONIA LOS PINOS, EN LA LOCALIDAD DE AJACAYAN 2024</t>
  </si>
  <si>
    <t>1 2 3 5 3 12 31111 6 M78 10000 335</t>
  </si>
  <si>
    <t>ELECTRICIDAD</t>
  </si>
  <si>
    <t>1 2 3 5 3 12 31111 6 M78 10000 335 00I</t>
  </si>
  <si>
    <t>1 2 3 5 3 12 31111 6 M78 10000 335 00I 002</t>
  </si>
  <si>
    <t>1 2 3 5 3 12 31111 6 M78 10000 335 00I 002 61300</t>
  </si>
  <si>
    <t>1 2 3 5 3 12 31111 6 M78 10000 335 00I 002 61300 025</t>
  </si>
  <si>
    <t>1 2 3 5 3 12 31111 6 M78 10000 335 00I 002 61300 025 2210000</t>
  </si>
  <si>
    <t>1 2 3 5 3 12 31111 6 M78 10000 335 00I 002 61300 025 2210000 2024</t>
  </si>
  <si>
    <t>1 2 3 5 3 12 31111 6 M78 10000 335 00I 002 61300 025 2210000 2024 00000000</t>
  </si>
  <si>
    <t>1 2 3 5 3 12 31111 6 M78 10000 335 00I 002 61300 025 2210000 2024 00000000 002</t>
  </si>
  <si>
    <t>1 2 3 5 3 12 31111 6 M78 10000 335 00I 002 61300 025 2210000 2024 00000000 002 031</t>
  </si>
  <si>
    <t>AMPLIACION DE ELECTRIFICACION EN LA COLONIA PIEDRA COLORADA EN LA LOCALIDAD DE HUEYCANTENANGO 2024</t>
  </si>
  <si>
    <t>1 2 3 5 3 12 31111 6 M78 10000 335 00I 002 61300 025 2210000 2024 00000000 002 033</t>
  </si>
  <si>
    <t>REHABILITACION DE ALUMBRADO PUBLICO EN LA COMUNIDAD DE MAZAZONTECOMAC</t>
  </si>
  <si>
    <t>1 2 3 5 4</t>
  </si>
  <si>
    <t>DIVISIÓN DE TERRENOS Y CONSTRUCCIÓN DE OBRAS DE URBANIZACIÓN EN PROCESO</t>
  </si>
  <si>
    <t>1 2 3 5 4 12</t>
  </si>
  <si>
    <t>1 2 3 5 4 12 31111</t>
  </si>
  <si>
    <t>1 2 3 5 4 12 31111 6</t>
  </si>
  <si>
    <t>1 2 3 5 4 12 31111 6 M78</t>
  </si>
  <si>
    <t>1 2 3 5 4 12 31111 6 M78 10000</t>
  </si>
  <si>
    <t>1 2 3 5 4 12 31111 6 M78 10000 221</t>
  </si>
  <si>
    <t>URBANIZACIÓN</t>
  </si>
  <si>
    <t>1 2 3 5 4 12 31111 6 M78 10000 221 00I</t>
  </si>
  <si>
    <t>1 2 3 5 4 12 31111 6 M78 10000 221 00I 002</t>
  </si>
  <si>
    <t>1 2 3 5 4 12 31111 6 M78 10000 221 00I 002 61400</t>
  </si>
  <si>
    <t>DIVISION DE TERRENOS Y CONSTRUCCION DE OBRAS DE URBANIZACION.</t>
  </si>
  <si>
    <t>1 2 3 5 4 12 31111 6 M78 10000 221 00I 002 61400 025</t>
  </si>
  <si>
    <t>1 2 3 5 4 12 31111 6 M78 10000 221 00I 002 61400 025 2210000</t>
  </si>
  <si>
    <t>1 2 3 5 4 12 31111 6 M78 10000 221 00I 002 61400 025 2210000 2024</t>
  </si>
  <si>
    <t>1 2 3 5 4 12 31111 6 M78 10000 221 00I 002 61400 025 2210000 2024 00000000</t>
  </si>
  <si>
    <t>1 2 3 5 4 12 31111 6 M78 10000 221 00I 002 61400 025 2210000 2024 00000000 002</t>
  </si>
  <si>
    <t>1 2 3 5 4 12 31111 6 M78 10000 221 00I 002 61400 025 2210000 2024 00000000 002 090</t>
  </si>
  <si>
    <t>CONSTRUCCION DE PAVIMENTACIÓN CON CONCRETO HIDRAULICO EN CALLE PRINCIPAL EN LA LOCALIDAD DE TEQUIXCA 2024</t>
  </si>
  <si>
    <t>1 2 3 5 4 12 31111 6 M78 10000 221 00I 002 61400 025 2210000 2024 00000000 002 091</t>
  </si>
  <si>
    <t>CONSTRUCCION DE PAVIMENTACIÓN CON CONCRETO HIDRAULICO EN COLONIA LA LAGUNA EN LA LOCALIDAD DE HUEYCANTENANGO 2024</t>
  </si>
  <si>
    <t>1 2 3 5 4 12 31111 6 M78 10000 221 00I 002 61400 025 2210000 2024 00000000 002 094</t>
  </si>
  <si>
    <t>CONSTRUCCION DE PAVIMENTACIÓN CON CONCRETO HIDRAULICO EN  LA LOCALIDAD DE TEPETLAZALCO  2024</t>
  </si>
  <si>
    <t>1 2 3 5 4 12 31111 6 M78 10000 221 00I 002 61400 025 2210000 2024 00000000 002 095</t>
  </si>
  <si>
    <t>CONSTRUCCION DE PAVIMENTACIÓN CON CONCRETO HIDRAULICO EN  LA LOCALIDAD DE ACALCO  2024</t>
  </si>
  <si>
    <t>1 2 3 5 4 12 31111 6 M78 10000 221 00I 002 61400 025 2210000 2024 00000000 002 096</t>
  </si>
  <si>
    <t>CONSTRUCCION DE PAVIMENTACIÓN CON CONCRETO HIDRAULICO EN  LACOLONIA SAN JUDITAS, LOCALIDAD DE PUENTE DE IXTLA 2024</t>
  </si>
  <si>
    <t>1 2 3 5 4 12 31111 6 M78 10000 221 00I 002 61400 025 2210000 2024 00000000 002 097</t>
  </si>
  <si>
    <t>CONSTRUCCION DE PAVIMENTACIÓN CON CONCRETO HIDRAULICO EN LIBRAMIENTO EN LOCALIDAD DE HUEYCANTENANGO 2024</t>
  </si>
  <si>
    <t>1 2 3 5 4 12 31111 6 M78 10000 221 00I 002 61400 025 2210000 2024 00000000 002 098</t>
  </si>
  <si>
    <t>CONSTRUCCION DE PAVIMENTACIÓN CON CONCRETO HIDRAULICO EN  LOCALIDAD DE AXOLOAPA 2024</t>
  </si>
  <si>
    <t>1 2 3 5 4 12 31111 6 M78 10000 221 00I 002 61400 025 2210000 2024 00000000 002 099</t>
  </si>
  <si>
    <t>CONSTRUCCION DE PAVIMENTACIÓN CON CONCRETO HIDRAULICO EN  LOCALIDAD DE EL CARACOL 2024</t>
  </si>
  <si>
    <t>1 2 3 5 4 12 31111 6 M78 10000 221 00I 002 61400 025 2210000 2024 00000000 002 100</t>
  </si>
  <si>
    <t>CONSTRUCCION DE PAVIMENTACIÓN CON CONCRETO HIDRAULICO EN  LOCALIDAD DE TLAYOLAPA 2024</t>
  </si>
  <si>
    <t>1 2 3 5 4 12 31111 6 M78 10000 221 00I 002 61400 025 2210000 2024 00000000 002 101</t>
  </si>
  <si>
    <t>CONSTRUCCION DE PAVIMENTACIÓN CON CONCRETO HIDRAULICO EN  LOCALIDAD DE TOCTEPEC 2024</t>
  </si>
  <si>
    <t>1 2 3 5 4 12 31111 6 M78 10000 221 00I 002 61400 025 2210000 2024 00000000 002 102</t>
  </si>
  <si>
    <t>CONSTRUCCION DE PAVIMENTACIÓN CON CONCRETO HIDRAULICO EN  LOCALIDAD DE DOS PAÑOS 2024</t>
  </si>
  <si>
    <t>1 2 3 5 4 12 31111 6 M78 10000 221 00I 002 61400 025 2210000 2024 00000000 002 103</t>
  </si>
  <si>
    <t>CONSTRUCCION DE PAVIMENTACIÓN CON CONCRETO HIDRAULICO EN  LOCALIDAD DE TEOCALIXTLAHUAC 2024</t>
  </si>
  <si>
    <t>1 2 3 5 4 12 31111 6 M78 10000 221 00I 002 61400 025 2210000 2024 00000000 002 105</t>
  </si>
  <si>
    <t>CONSTRUCCION DE PAVIMENTACIÓN CON CONCRETO HIDRAULICO EN  LOCALIDAD DE OXTOTITLAN 2024</t>
  </si>
  <si>
    <t>1 2 3 5 4 12 31111 6 M78 10000 221 00I 002 61400 025 2210000 2024 00000000 002 106</t>
  </si>
  <si>
    <t>CONSTRUCCION DE PAVIMENTACIÓN CON CONCRETO HIDRAULICO EN  LOCALIDAD DE BUGAMBILIA 2024</t>
  </si>
  <si>
    <t>1 2 3 5 4 12 31111 6 M78 10000 221 00I 002 61400 025 2210000 2024 00000000 002 107</t>
  </si>
  <si>
    <t>CONSTRUCCION DE PAVIMENTACIÓN CON CONCRETO HIDRAULICO EN LA CALLE PANTEON, LOCALIDAD HUEYCANTENANGO</t>
  </si>
  <si>
    <t>1 2 3 5 4 12 31111 6 M78 10000 221 00I 002 61400 025 2210000 2024 00000000 002 108</t>
  </si>
  <si>
    <t>CONSTRUCCION DE PAVIMENTACIÓN CON CONCRETO HIDRAULICO EN LA  LOCALIDAD DE IXTLAHUAC 2024</t>
  </si>
  <si>
    <t>1 2 3 5 4 12 31111 6 M78 10000 221 00I 002 61400 025 2210000 2024 00000000 002 110</t>
  </si>
  <si>
    <t>CONSTRUCCION DE PAVIMENTACIÓN CON CONCRETO HIDRAULICO EN LA LOCALIDAD DE TLACHIMALTEPEC 2024</t>
  </si>
  <si>
    <t>1 2 3 5 4 12 31111 6 M78 10000 221 00I 002 61400 025 2210000 2024 00000000 002 113</t>
  </si>
  <si>
    <t>CONSTRUCCION DE PAVIMENTACIÓN CON CONCRETO HIDRAULICO EN CALLE PRINCIPAL, EN LA LOCALIDAD DE IXCATLA 2024</t>
  </si>
  <si>
    <t>1 2 3 5 4 12 31111 6 M78 10000 221 00I 002 61400 025 2210000 2024 00000000 002 115</t>
  </si>
  <si>
    <t>CONSTRUCCION DE DE MURO DE CONTENCION EN LA LOCALIDAD DE LA LAGUNA 2024</t>
  </si>
  <si>
    <t>1 2 3 5 4 12 31111 6 M78 10000 221 00I 002 61400 025 2210000 2024 00000000 002 116</t>
  </si>
  <si>
    <t>CONSTRUCCION DE DE MURO DE CONTENCION EN LA LOCALIDAD DE LA TLAIXCOATIPAN 2024</t>
  </si>
  <si>
    <t>1 2 3 5 4 12 31111 6 M78 10000 221 00I 002 61400 025 2210000 2024 00000000 002 117</t>
  </si>
  <si>
    <t>CONSTRUCCION DE DE MURO DE CONTENCION EN EL CAMINO ZOMPANTITLAN-TEPETLAZALCO EN LA LOCALIDAD DE TEPETLAZALCO 2024</t>
  </si>
  <si>
    <t>1 2 3 5 4 12 31111 6 M78 10000 221 00I 002 61400 025 2210000 2024 00000000 002 119</t>
  </si>
  <si>
    <t>CONSTRUCCION DE PAVIMENTACIÓN CON CONCRETO HIDRUALICO EN CALLE MIGUEL HIDALGO, ULTIMA ETAPA, EN LOCALIDAD DE HUEYCANTENANGO</t>
  </si>
  <si>
    <t>1 2 3 5 4 12 31111 6 M78 10000 221 00I 002 61400 025 2210000 2024 00000000 002 120</t>
  </si>
  <si>
    <t>CONSTRUCCION DE PAVIMENTACIÓN CON CONCRETO HIDRUALICO EN CALLE ACCESO CENTRO DE SALUD EN LA LOCALIDAD DE TOMACTILICAN 2024</t>
  </si>
  <si>
    <t>1 2 3 5 4 12 31111 6 M78 10000 221 00I 002 61400 025 2210000 2024 00000000 002 121</t>
  </si>
  <si>
    <t>CONSTRUCCION DE PAVIMENTACION CON CONCRETO HIDRAULICO EN LA LOCALIDAD DE APANGUITO 2024</t>
  </si>
  <si>
    <t>1 2 3 5 4 12 31111 6 M78 10000 221 00I 002 61400 025 2210000 2024 00000000 002 122</t>
  </si>
  <si>
    <t>CONSTRUCCION DE PAVIMENTACION CON CONCRETO HIDRAULICO EN LA CALLE MELCHOR OCAMPO DE LA COLONIA AGUA ZARCA EN LA LOCALIDAD DE HUEYCANTENANGO 2024</t>
  </si>
  <si>
    <t>1 2 3 5 4 12 31111 6 M78 10000 221 00I 002 61400 025 2210000 2024 00000000 002 123</t>
  </si>
  <si>
    <t>CONSTRUCCION DE PAVIMENTACION CON CONCRETO HIDRAULICO EN ACCESO TLATLAJQUITEPEC EN LA LOCALIDAD DE TLATLALJQUITEPEC 2024</t>
  </si>
  <si>
    <t>1 2 3 5 4 12 31111 6 M78 10000 221 00I 002 61400 025 2210000 2024 00000000 002 125</t>
  </si>
  <si>
    <t>CONSTRUCCION DE MURO DE CONTENCION EN EL CAMINO ACCESO A LA LOCALIDAD DE ZOMPANTITLAN</t>
  </si>
  <si>
    <t>1 2 3 5 4 12 31111 6 M78 10000 221 00I 002 61400 025 2210000 2024 00000000 002 126</t>
  </si>
  <si>
    <t>REHABILITACION DE PAVIMENTO CON CONCRETO HIDRAULICO (BACHEO) EN LA LOCALIDAD DE HUEYCANTENANGO</t>
  </si>
  <si>
    <t>1 2 3 5 4 12 31111 6 M78 10000 351</t>
  </si>
  <si>
    <t>TRANSPORTE POR CARRETERA</t>
  </si>
  <si>
    <t>1 2 3 5 4 12 31111 6 M78 10000 351 00I</t>
  </si>
  <si>
    <t>1 2 3 5 4 12 31111 6 M78 10000 351 00I 002</t>
  </si>
  <si>
    <t>1 2 3 5 4 12 31111 6 M78 10000 351 00I 002 61400</t>
  </si>
  <si>
    <t>1 2 3 5 4 12 31111 6 M78 10000 351 00I 002 61400 025</t>
  </si>
  <si>
    <t>1 2 3 5 4 12 31111 6 M78 10000 351 00I 002 61400 025 2210000</t>
  </si>
  <si>
    <t>1 2 3 5 4 12 31111 6 M78 10000 351 00I 002 61400 025 2210000 2024</t>
  </si>
  <si>
    <t>1 2 3 5 4 12 31111 6 M78 10000 351 00I 002 61400 025 2210000 2024 00000000</t>
  </si>
  <si>
    <t>1 2 3 5 4 12 31111 6 M78 10000 351 00I 002 61400 025 2210000 2024 00000000 002</t>
  </si>
  <si>
    <t>1 2 3 5 4 12 31111 6 M78 10000 351 00I 002 61400 025 2210000 2024 00000000 002 050</t>
  </si>
  <si>
    <t>REHABILITACION DE CAMINS RURALES EN LA REGION SUR EN EL MUNICIPIO DE JOSE JOAQUIN DE HERRERA 2024</t>
  </si>
  <si>
    <t>1 2 3 5 4 12 31111 6 M78 10000 351 00I 002 61400 025 2210000 2024 00000000 002 051</t>
  </si>
  <si>
    <t>REHABILITACION DE CAMINS RURALES EN LA REGION NORTE  EN EL MUNICIPIO DE JOSE JOAQUIN DE HERRERA 2024</t>
  </si>
  <si>
    <t>1 2 3 5 4 12 31111 6 M78 10000 351 00I 002 61400 025 2210000 2024 00000000 002 052</t>
  </si>
  <si>
    <t>REHABILITACION DE CAMINOS RURALES RAMALES SECUNDARIOS  EN EL MUNICIPIO DE JOSE JOAQUIN DE HERRERA 2024</t>
  </si>
  <si>
    <t>1 2 3 5 4 12 31111 6 M78 10000 351 00I 002 61400 025 2210000 2024 00000000 002 053</t>
  </si>
  <si>
    <t>REHABILITACION DE CAMINOS RURALES EN LA ZONA CENTRO EN EL MUNICIPIO DE JOSE JOAQUIN DE HERRERA 2024</t>
  </si>
  <si>
    <t>1 2 3 5 4 12 31111 6 M78 10000 351 00I 002 61400 025 2210000 2024 00000000 002 058</t>
  </si>
  <si>
    <t>REHABILITACION DE CAMINOS RURALES EN LA LOCALIDAD DE CACALOTEPEC</t>
  </si>
  <si>
    <t>1 2 3 5 4 12 31111 6 M78 10000 351 00I 002 61400 025 2210000 2024 00000000 002 059</t>
  </si>
  <si>
    <t>REHABILITACION DE CAMINO AHUACOSIJTIC-PANTEON-TLACHICHILTIPAN</t>
  </si>
  <si>
    <t>1 2 3 5 4 12 31111 6 M78 10000 351 00I 002 61400 025 2210000 2024 00000000 002 060</t>
  </si>
  <si>
    <t>REHABILITACION DE CAMINO TEOYETLAN-ZACATEPEC</t>
  </si>
  <si>
    <t>1 2 3 5 5</t>
  </si>
  <si>
    <t>CONSTRUCCIÓN DE VÍAS DE COMUNICACIÓN EN PROCESO</t>
  </si>
  <si>
    <t>1 2 3 5 5 12</t>
  </si>
  <si>
    <t>1 2 3 5 5 12 31111</t>
  </si>
  <si>
    <t>1 2 3 5 5 12 31111 6</t>
  </si>
  <si>
    <t>SECTOR PÚBLICO MUNICIPAL</t>
  </si>
  <si>
    <t>1 2 3 5 5 12 31111 6 M78</t>
  </si>
  <si>
    <t>JOSE JOAQUÍN DE HERRERA</t>
  </si>
  <si>
    <t>1 2 3 5 5 12 31111 6 M78 10000</t>
  </si>
  <si>
    <t>1 2 3 5 5 12 31111 6 M78 10000 226</t>
  </si>
  <si>
    <t>SERVICIOS COMUNALES</t>
  </si>
  <si>
    <t>1 2 3 5 5 12 31111 6 M78 10000 226 00I</t>
  </si>
  <si>
    <t>1 2 3 5 5 12 31111 6 M78 10000 226 00I 002</t>
  </si>
  <si>
    <t>1 2 3 5 5 12 31111 6 M78 10000 226 00I 002 61500</t>
  </si>
  <si>
    <t>CONSTRUCCION DE VIAS DE COMUNICACION.</t>
  </si>
  <si>
    <t>1 2 3 5 5 12 31111 6 M78 10000 226 00I 002 61500 025</t>
  </si>
  <si>
    <t>1 2 3 5 5 12 31111 6 M78 10000 226 00I 002 61500 025 2210000</t>
  </si>
  <si>
    <t>1 2 3 5 5 12 31111 6 M78 10000 226 00I 002 61500 025 2210000 2024</t>
  </si>
  <si>
    <t>1 2 3 5 5 12 31111 6 M78 10000 226 00I 002 61500 025 2210000 2024 00000000</t>
  </si>
  <si>
    <t>1 2 3 5 5 12 31111 6 M78 10000 226 00I 002 61500 025 2210000 2024 00000000 002</t>
  </si>
  <si>
    <t>1 2 3 5 5 12 31111 6 M78 10000 226 00I 002 61500 025 2210000 2024 00000000 002 061</t>
  </si>
  <si>
    <t>CONSTRUCCION DE CAMINO SACACOSECHAS LOBOTEPEC-BUENAVISTA DE LOS AIRES 2024</t>
  </si>
  <si>
    <t>1 2 3 5 5 12 31111 6 M78 10000 226 00I 002 61500 025 2210000 2024 00000000 002 062</t>
  </si>
  <si>
    <t>CONSTRUCCION DE CAMINO SACACOSECHAS QUETZALAPA-VILLA DE GUADALUPE (SEGUNDA ETAPA) 2024</t>
  </si>
  <si>
    <t>1 2 3 5 5 12 31111 6 M78 10000 226 00I 002 61500 025 2210000 2024 00000000 002 064</t>
  </si>
  <si>
    <t>CONSTRUCCION DE CAMINO SACACOSECHAS EN LA LOCALIDAD DE CACAHUATEPEC. SEGUNDA ETAPA 2024</t>
  </si>
  <si>
    <t>1 2 4</t>
  </si>
  <si>
    <t>BIENES MUEBLES</t>
  </si>
  <si>
    <t>1 2 4 1</t>
  </si>
  <si>
    <t>MOBILIARIO Y EQUIPO DE ADMINISTRACIÓN</t>
  </si>
  <si>
    <t>1 2 4 1 1</t>
  </si>
  <si>
    <t>MUEBLES DE OFICINA Y ESTANTERÍA</t>
  </si>
  <si>
    <t>1 2 4 1 1 12</t>
  </si>
  <si>
    <t>1 2 4 1 1 12 31111</t>
  </si>
  <si>
    <t>1 2 4 1 1 12 31111 6</t>
  </si>
  <si>
    <t>1 2 4 1 1 12 31111 6 M78</t>
  </si>
  <si>
    <t>1 2 4 1 1 12 31111 6 M78 00000</t>
  </si>
  <si>
    <t>SIN ETIQUETA - 0 - 000</t>
  </si>
  <si>
    <t>1 2 4 1 1 12 31111 6 M78 00000 001</t>
  </si>
  <si>
    <t>1 2 4 1 1 12 31111 6 M78 00000 001 001</t>
  </si>
  <si>
    <t>ADMINISTRACION ANTERIOR</t>
  </si>
  <si>
    <t>1 2 4 1 1 12 31111 6 M78 00000 001 001 001</t>
  </si>
  <si>
    <t>1 2 4 1 1 12 31111 6 M78 00000 001 001 001 00001</t>
  </si>
  <si>
    <t>MESA EJECUTIVA COLOR VINO PARA JUNTAS</t>
  </si>
  <si>
    <t>1 2 4 1 1 12 31111 6 M78 00000 001 001 001 00002</t>
  </si>
  <si>
    <t>FRIGOBAR 4 PIES</t>
  </si>
  <si>
    <t>1 2 4 1 1 12 31111 6 M78 00000 001 001 001 00003</t>
  </si>
  <si>
    <t>CENTRO DE TRABAJO EJECUTIVO</t>
  </si>
  <si>
    <t>1 2 4 1 1 12 31111 6 M78 00000 001 001 001 00004</t>
  </si>
  <si>
    <t>MAQUINA DE ESCRIBIR ELECTRICA MARCA BROTHER</t>
  </si>
  <si>
    <t>1 2 4 1 1 12 31111 6 M78 00000 001 001 002</t>
  </si>
  <si>
    <t>TESORERIA</t>
  </si>
  <si>
    <t>1 2 4 1 1 12 31111 6 M78 00000 001 001 002 00001</t>
  </si>
  <si>
    <t>ARCHIVERO METALICO DE 4 GAVETAS</t>
  </si>
  <si>
    <t>1 2 4 1 1 12 31111 6 M78 00000 001 001 002 00002</t>
  </si>
  <si>
    <t>CAJA FUERTE DIGITAL</t>
  </si>
  <si>
    <t>1 2 4 1 1 12 31111 6 M78 00000 001 001 002 00003</t>
  </si>
  <si>
    <t>DESPACHADOR DE AGUA</t>
  </si>
  <si>
    <t>1 2 4 1 1 12 31111 6 M78 00000 001 001 002 00004</t>
  </si>
  <si>
    <t>ARCHIVERO DE 4 GAVETAS COLOR BEIGE</t>
  </si>
  <si>
    <t>1 2 4 1 1 12 31111 6 M78 00000 001 001 003</t>
  </si>
  <si>
    <t>DESARROLLO RURAL</t>
  </si>
  <si>
    <t>1 2 4 1 1 12 31111 6 M78 00000 001 001 003 00001</t>
  </si>
  <si>
    <t>1 2 4 1 1 12 31111 6 M78 00000 001 001 004</t>
  </si>
  <si>
    <t>REGISTRO CIVIL</t>
  </si>
  <si>
    <t>1 2 4 1 1 12 31111 6 M78 00000 001 001 004 00001</t>
  </si>
  <si>
    <t>ANAQUEL DE MADERA GRANDE PARA LIBROS</t>
  </si>
  <si>
    <t>1 2 4 1 1 12 31111 6 M78 00000 002</t>
  </si>
  <si>
    <t>1 2 4 1 1 12 31111 6 M78 00000 002 001</t>
  </si>
  <si>
    <t>1 2 4 1 1 12 31111 6 M78 00000 002 001 001</t>
  </si>
  <si>
    <t>ARCHIVEROS DE 4 GAVETAS COLOR BEIGE</t>
  </si>
  <si>
    <t>1 2 4 1 1 12 31111 6 M78 00000 002 001 002</t>
  </si>
  <si>
    <t>1 2 4 1 1 12 31111 6 M78 00000 002 001 003</t>
  </si>
  <si>
    <t>ESCRITORIO SECRETARIAL DE 2 GAVETAS MEDERA Y METALICO</t>
  </si>
  <si>
    <t>1 2 4 1 1 12 31111 6 M78 00000 002 001 004</t>
  </si>
  <si>
    <t>1 2 4 1 1 12 31111 6 M78 00000 002 001 005</t>
  </si>
  <si>
    <t>1 2 4 1 1 12 31111 6 M78 00000 002 001 006</t>
  </si>
  <si>
    <t>ARCHIVERO VERTICAL METALICO 4 GAVETAS</t>
  </si>
  <si>
    <t>1 2 4 1 1 12 31111 6 M78 00000 002 001 007</t>
  </si>
  <si>
    <t>1 2 4 1 1 12 31111 6 M78 00000 002 001 008</t>
  </si>
  <si>
    <t>1 2 4 1 1 12 31111 6 M78 00000 002 001 009</t>
  </si>
  <si>
    <t>1 2 4 1 1 12 31111 6 M78 00000 002 001 010</t>
  </si>
  <si>
    <t>MESA PARA LECTURA RECTANGULAR, 2.40X1.20 X0.75 M PEDESTAL EN "H" CON NIVELADORES</t>
  </si>
  <si>
    <t>1 2 4 1 1 12 31111 6 M78 00000 002 001 011</t>
  </si>
  <si>
    <t>1 2 4 1 1 12 31111 6 M78 00000 002 001 012</t>
  </si>
  <si>
    <t>1 2 4 1 1 12 31111 6 M78 00000 002 001 013</t>
  </si>
  <si>
    <t>1 2 4 1 1 12 31111 6 M78 00000 002 001 014</t>
  </si>
  <si>
    <t>1 2 4 1 1 12 31111 6 M78 00000 002 001 015</t>
  </si>
  <si>
    <t>1 2 4 1 1 12 31111 6 M78 00000 002 001 016</t>
  </si>
  <si>
    <t>1 2 4 1 1 12 31111 6 M78 00000 002 001 017</t>
  </si>
  <si>
    <t>1 2 4 1 1 12 31111 6 M78 00000 002 001 018</t>
  </si>
  <si>
    <t>SILLA EJECUTIVA CON RESPALDO ALTO TAPIZADO CON PIEL NEGRA MODELO OHE-65</t>
  </si>
  <si>
    <t>1 2 4 1 1 12 31111 6 M78 00000 002 001 019</t>
  </si>
  <si>
    <t>24 PIEZAS MUEBLE PARA COMPUTADORA CON DIVISIONES DE MADERA DE PINO ACABADO CON BARNIZ</t>
  </si>
  <si>
    <t>1 2 4 1 1 12 31111 6 M78 00000 003</t>
  </si>
  <si>
    <t>1 2 4 1 1 12 31111 6 M78 00000 003 001</t>
  </si>
  <si>
    <t>1 2 4 1 1 12 31111 6 M78 00000 003 001 001</t>
  </si>
  <si>
    <t>SEGURIDAD PUBLICA</t>
  </si>
  <si>
    <t>1 2 4 1 1 12 31111 6 M78 00000 003 001 001 00001</t>
  </si>
  <si>
    <t>ESCRITORIO METALICO DE 2 CAJONES CON CERRADURAS</t>
  </si>
  <si>
    <t>1 2 4 1 1 12 31111 6 M78 00000 003 001 001 00002</t>
  </si>
  <si>
    <t>EQUIPO DE ESCRITORIO ENSAMBLADO</t>
  </si>
  <si>
    <t>1 2 4 1 1 12 31111 6 M78 07000</t>
  </si>
  <si>
    <t>1 2 4 1 1 12 31111 6 M78 07000 151</t>
  </si>
  <si>
    <t>ASUNTOS FINANCIEROS</t>
  </si>
  <si>
    <t>1 2 4 1 1 12 31111 6 M78 07000 151 00C</t>
  </si>
  <si>
    <t>1 2 4 1 1 12 31111 6 M78 07000 151 00C 002</t>
  </si>
  <si>
    <t>1 2 4 1 1 12 31111 6 M78 07000 151 00C 002 51101</t>
  </si>
  <si>
    <t>MOBILIARIO.</t>
  </si>
  <si>
    <t>1 2 4 1 1 12 31111 6 M78 07000 151 00C 002 51101 015</t>
  </si>
  <si>
    <t>1 2 4 1 1 12 31111 6 M78 07000 151 00C 002 51101 015 2112000</t>
  </si>
  <si>
    <t>COMPRA DE BIENES Y SERVICIOS</t>
  </si>
  <si>
    <t>1 2 4 1 1 12 31111 6 M78 07000 151 00C 002 51101 015 2112000 2019</t>
  </si>
  <si>
    <t>EJERCICIO 2019</t>
  </si>
  <si>
    <t>1 2 4 1 1 12 31111 6 M78 07000 151 00C 002 51101 015 2112000 2019 00000000</t>
  </si>
  <si>
    <t>1 2 4 1 1 12 31111 6 M78 07000 151 00C 002 51101 015 2112000 2019 00000000 001</t>
  </si>
  <si>
    <t>1 2 4 1 1 12 31111 6 M78 07000 151 00C 002 51101 015 2112000 2019 00000000 001 001</t>
  </si>
  <si>
    <t>AREA DE PRESIDENCIA</t>
  </si>
  <si>
    <t>1 2 4 1 1 12 31111 6 M78 07000 151 00C 002 51101 015 2112000 2019 00000000 001 001 001</t>
  </si>
  <si>
    <t>SILLA TIPO PIEL RED TOP EJECUTIVA, ALTURA AJUSTABLE</t>
  </si>
  <si>
    <t>1 2 4 1 1 12 31111 6 M78 07000 151 00C 002 51101 015 2112000 2019 00000000 001 001 002</t>
  </si>
  <si>
    <t>ESCRITORIO EJECUTIVO SUDER SELECT, CEREZO MELAMINA, 3 CAJONES.</t>
  </si>
  <si>
    <t>1 2 4 1 1 12 31111 6 M78 07000 151 00C 002 51101 015 2112000 2019 00000000 001 001 003</t>
  </si>
  <si>
    <t>CREDENZA SAUDER SELEC, CEREZO, MADERA, 7 CAJONES.</t>
  </si>
  <si>
    <t>1 2 4 1 1 12 31111 6 M78 07000 151 00C 002 51101 015 2112000 2019 00000000 001 001 004</t>
  </si>
  <si>
    <t>ORGANIZADOR SAUDER SELECT, CEREZO, MELAMINA, 3 CAJONES.</t>
  </si>
  <si>
    <t>1 2 4 1 1 12 31111 6 M78 07000 151 00C 002 51101 015 2112000 2019 00000000 001 002</t>
  </si>
  <si>
    <t>AREA DE SINDICATURA</t>
  </si>
  <si>
    <t>1 2 4 1 1 12 31111 6 M78 07000 151 00C 002 51101 015 2112000 2019 00000000 001 002 001</t>
  </si>
  <si>
    <t>SILLA EJECUTIVA SPOR ERGO, CABECERA ACOJINADA.</t>
  </si>
  <si>
    <t>1 2 4 1 1 12 31111 6 M78 07000 151 00C 002 51101 015 2112000 2019 00000000 001 007</t>
  </si>
  <si>
    <t>AREA DE TESORERIA MUNICIPAL</t>
  </si>
  <si>
    <t>1 2 4 1 1 12 31111 6 M78 07000 151 00C 002 51101 015 2112000 2019 00000000 001 007 001</t>
  </si>
  <si>
    <t>CAJA FUERTE DE 1.23 CU FT.</t>
  </si>
  <si>
    <t>1 2 4 1 1 12 31111 6 M78 07000 151 00C 002 51101 015 2112000 2019 00000000 001 007 002</t>
  </si>
  <si>
    <t>4 MESAS RECTANG DE PLASTICO</t>
  </si>
  <si>
    <t>1 2 4 1 1 12 31111 6 M78 07000 151 00C 002 51101 015 2112000 2019 00000000 001 007 003</t>
  </si>
  <si>
    <t>6 ASIENTOS PLEGABLES SILL/PLE/VIN</t>
  </si>
  <si>
    <t>1 2 4 1 1 12 31111 6 M78 07000 151 00C 002 51101 015 2112000 2019 00000000 001 007 004</t>
  </si>
  <si>
    <t>48 SILLAS TIPO PIEL RED TOP, PIEL, RESPALDO ALTO ACOLCHADO (SOPORTE LUMBAR)</t>
  </si>
  <si>
    <t>1 2 4 1 1 12 31111 6 M78 07000 151 00C 002 51101 015 2112000 2019 00000000 001 007 005</t>
  </si>
  <si>
    <t>11 ARCHIVEROS OFFICE DESING CON 4 GAVETAS.</t>
  </si>
  <si>
    <t>1 2 4 1 1 12 31111 6 M78 07000 151 00C 002 51101 015 2112000 2019 00000000 001 007 006</t>
  </si>
  <si>
    <t>20 ESCRITORIOS EN "L" RED TOP VELVET.</t>
  </si>
  <si>
    <t>1 2 4 1 1 12 31111 6 M78 07000 151 00C 002 51101 015 2112000 2019 00000000 001 014</t>
  </si>
  <si>
    <t>AREA DE SERVICIOS PUBLICOS</t>
  </si>
  <si>
    <t>1 2 4 1 1 12 31111 6 M78 07000 151 00C 002 51101 015 2112000 2019 00000000 001 014 001</t>
  </si>
  <si>
    <t>200 SILLAS PLEGABLES OFFICE DEPOT, RESPALDO MEDIO, MECANISMO PLEGABLE.</t>
  </si>
  <si>
    <t>1 2 4 1 1 12 31111 6 M78 10000</t>
  </si>
  <si>
    <t>1 2 4 1 1 12 31111 6 M78 10000 152</t>
  </si>
  <si>
    <t>ASUNTOS HACENDARIOS</t>
  </si>
  <si>
    <t>1 2 4 1 1 12 31111 6 M78 10000 152 00I</t>
  </si>
  <si>
    <t>1 2 4 1 1 12 31111 6 M78 10000 152 00I 002</t>
  </si>
  <si>
    <t>1 2 4 1 1 12 31111 6 M78 10000 152 00I 002 51101</t>
  </si>
  <si>
    <t>1 2 4 1 1 12 31111 6 M78 10000 152 00I 002 51101 025</t>
  </si>
  <si>
    <t>1 2 4 1 1 12 31111 6 M78 10000 152 00I 002 51101 025 2112000</t>
  </si>
  <si>
    <t>1 2 4 1 1 12 31111 6 M78 10000 152 00I 002 51101 025 2112000 2024</t>
  </si>
  <si>
    <t>1 2 4 1 1 12 31111 6 M78 10000 152 00I 002 51101 025 2112000 2024 00000000</t>
  </si>
  <si>
    <t>1 2 4 1 1 12 31111 6 M78 10000 152 00I 002 51101 025 2112000 2024 00000000 002</t>
  </si>
  <si>
    <t>OBRA PUBLICA (PRODIM)</t>
  </si>
  <si>
    <t>1 2 4 1 1 12 31111 6 M78 10000 152 00I 002 51101 025 2112000 2024 00000000 002 004</t>
  </si>
  <si>
    <t>ORGANIZADOR SAUDER SELEC, CEREZO, MELAMINA, 6 ENTREPAÑOS.</t>
  </si>
  <si>
    <t>1 2 4 1 2</t>
  </si>
  <si>
    <t>MUEBLES, EXCEPTO DE OFICINA Y ESTANTERÍA</t>
  </si>
  <si>
    <t>1 2 4 1 2 12</t>
  </si>
  <si>
    <t>1 2 4 1 2 12 31111</t>
  </si>
  <si>
    <t>1 2 4 1 2 12 31111 6</t>
  </si>
  <si>
    <t>1 2 4 1 2 12 31111 6 M78</t>
  </si>
  <si>
    <t>JOSÈ JOAQUPIN DE HERRERA</t>
  </si>
  <si>
    <t>1 2 4 1 2 12 31111 6 M78 07000</t>
  </si>
  <si>
    <t>1 2 4 1 2 12 31111 6 M78 07000 151</t>
  </si>
  <si>
    <t>1 2 4 1 2 12 31111 6 M78 07000 151 00C</t>
  </si>
  <si>
    <t>1 2 4 1 2 12 31111 6 M78 07000 151 00C 002</t>
  </si>
  <si>
    <t>1 2 4 1 2 12 31111 6 M78 07000 151 00C 002 51201</t>
  </si>
  <si>
    <t>MUEBLES, EXCEPTO DE OFICINA Y ESTANTERIA.</t>
  </si>
  <si>
    <t>1 2 4 1 2 12 31111 6 M78 07000 151 00C 002 51201 015</t>
  </si>
  <si>
    <t>1 2 4 1 2 12 31111 6 M78 07000 151 00C 002 51201 015 2112000</t>
  </si>
  <si>
    <t>1 2 4 1 2 12 31111 6 M78 07000 151 00C 002 51201 015 2112000 2020</t>
  </si>
  <si>
    <t>EJERCICIO 2020</t>
  </si>
  <si>
    <t>1 2 4 1 2 12 31111 6 M78 07000 151 00C 002 51201 015 2112000 2020 00000000</t>
  </si>
  <si>
    <t>1 2 4 1 2 12 31111 6 M78 07000 151 00C 002 51201 015 2112000 2020 00000000 001</t>
  </si>
  <si>
    <t>1 2 4 1 2 12 31111 6 M78 07000 151 00C 002 51201 015 2112000 2020 00000000 001 012</t>
  </si>
  <si>
    <t>DIF MUNICIPAL</t>
  </si>
  <si>
    <t>1 2 4 1 2 12 31111 6 M78 07000 151 00C 002 51201 015 2112000 2020 00000000 001 012 001</t>
  </si>
  <si>
    <t>ESTUFA DE MABE EM7672MSCFX0 30</t>
  </si>
  <si>
    <t>1 2 4 1 2 12 31111 6 M78 07000 151 00C 002 51201 015 2112000 2021</t>
  </si>
  <si>
    <t>EJERCICIO 2021</t>
  </si>
  <si>
    <t>1 2 4 1 2 12 31111 6 M78 07000 151 00C 002 51201 015 2112000 2021 00000000</t>
  </si>
  <si>
    <t>1 2 4 1 2 12 31111 6 M78 07000 151 00C 002 51201 015 2112000 2021 00000000 001</t>
  </si>
  <si>
    <t>1 2 4 1 2 12 31111 6 M78 07000 151 00C 002 51201 015 2112000 2021 00000000 001 012</t>
  </si>
  <si>
    <t>1 2 4 1 2 12 31111 6 M78 07000 151 00C 002 51201 015 2112000 2021 00000000 001 012 002</t>
  </si>
  <si>
    <t>REFRIGERADOR</t>
  </si>
  <si>
    <t>1 2 4 1 2 12 31111 6 M78 07000 151 00C 002 51201 015 2112000 2024</t>
  </si>
  <si>
    <t>1 2 4 1 2 12 31111 6 M78 07000 151 00C 002 51201 015 2112000 2024 00000000</t>
  </si>
  <si>
    <t>1 2 4 1 2 12 31111 6 M78 07000 151 00C 002 51201 015 2112000 2024 00000000 001</t>
  </si>
  <si>
    <t>1 2 4 1 2 12 31111 6 M78 07000 151 00C 002 51201 015 2112000 2024 00000000 001 012</t>
  </si>
  <si>
    <t>1 2 4 1 2 12 31111 6 M78 07000 151 00C 002 51201 015 2112000 2024 00000000 001 012 003</t>
  </si>
  <si>
    <t>AIRE ACONDICIONADO MINI SPLIT MARCA MIRAGE MODELO ELF20Q COLOR BLANCO NUMERO SERIE ELF120Q7071936712</t>
  </si>
  <si>
    <t>1 2 4 1 2 12 31111 6 M78 07000 151 00C 002 51201 015 2112000 2024 00000000 001 012 004</t>
  </si>
  <si>
    <t>AIRE ACONDICIONADO MINI SPLIT MARCA MIRAGE MODELO ELF20Q COLOR BLANCO NUMERO SERIE ELF120Q707193599</t>
  </si>
  <si>
    <t>1 2 4 1 2 12 31111 6 M78 07000 151 00C 002 51201 015 2112000 2024 00000000 001 012 006</t>
  </si>
  <si>
    <t>AIRE ACONDICIONADO MINI SPLIT MARCA MIRAGE MODELO ELF20Q COLOR BLANCO NUMERO SERIE ELF120Q7071936704</t>
  </si>
  <si>
    <t>1 2 4 1 3</t>
  </si>
  <si>
    <t>EQUIPO DE CÓMPUTO Y DE TECNOLOGÍAS DE LA INFORMACIÓN</t>
  </si>
  <si>
    <t>1 2 4 1 3 12</t>
  </si>
  <si>
    <t>1 2 4 1 3 12 31111</t>
  </si>
  <si>
    <t>1 2 4 1 3 12 31111 6</t>
  </si>
  <si>
    <t>1 2 4 1 3 12 31111 6 M78</t>
  </si>
  <si>
    <t>1 2 4 1 3 12 31111 6 M78 00000</t>
  </si>
  <si>
    <t>1 2 4 1 3 12 31111 6 M78 00000 001</t>
  </si>
  <si>
    <t>BIENES INFORMATICOS</t>
  </si>
  <si>
    <t>1 2 4 1 3 12 31111 6 M78 00000 001 001</t>
  </si>
  <si>
    <t>1 2 4 1 3 12 31111 6 M78 00000 001 001 004</t>
  </si>
  <si>
    <t>1 2 4 1 3 12 31111 6 M78 00000 001 001 004 00001</t>
  </si>
  <si>
    <t>COMPUTADORA ENSAMBLADA</t>
  </si>
  <si>
    <t>1 2 4 1 3 12 31111 6 M78 00000 001 001 004 00002</t>
  </si>
  <si>
    <t>LAPTOP MOD. 245</t>
  </si>
  <si>
    <t>1 2 4 1 3 12 31111 6 M78 00000 001 001 004 00003</t>
  </si>
  <si>
    <t>1 2 4 1 3 12 31111 6 M78 00000 001 001 004 00004</t>
  </si>
  <si>
    <t>VIDEO PROYECTOR SONY</t>
  </si>
  <si>
    <t>1 2 4 1 3 12 31111 6 M78 00000 001 001 004 00005</t>
  </si>
  <si>
    <t>IMPRESORA MULTIFUNCIONAL</t>
  </si>
  <si>
    <t>1 2 4 1 3 12 31111 6 M78 00000 001 001 005</t>
  </si>
  <si>
    <t>1 2 4 1 3 12 31111 6 M78 00000 001 001 005 00001</t>
  </si>
  <si>
    <t>LAPTOP TOSHIBA PROCESADOR INTEL CORE 8 GB RAM 1TB PANTALLA TACTIL</t>
  </si>
  <si>
    <t>1 2 4 1 3 12 31111 6 M78 00000 001 001 006</t>
  </si>
  <si>
    <t>1 2 4 1 3 12 31111 6 M78 00000 001 001 006 00001</t>
  </si>
  <si>
    <t>LAPTOP DEL PROCESADOR INTEL CORE R5 PANTALLA TACTIL</t>
  </si>
  <si>
    <t>1 2 4 1 3 12 31111 6 M78 00000 002</t>
  </si>
  <si>
    <t>FONDO DE APORTACIONES PARA LA INFRAESTRUCTURA SOCIAL  MUNICIPAL</t>
  </si>
  <si>
    <t>1 2 4 1 3 12 31111 6 M78 00000 002 001</t>
  </si>
  <si>
    <t>1 2 4 1 3 12 31111 6 M78 00000 002 001 001</t>
  </si>
  <si>
    <t>EQUIPO DE COMPUTO DE ESCRITORIO HP (CPU, MONITOR, TECLADO, MOUSE)</t>
  </si>
  <si>
    <t>1 2 4 1 3 12 31111 6 M78 00000 002 001 002</t>
  </si>
  <si>
    <t>1 2 4 1 3 12 31111 6 M78 00000 002 001 003</t>
  </si>
  <si>
    <t>1 2 4 1 3 12 31111 6 M78 00000 002 001 004</t>
  </si>
  <si>
    <t>1 2 4 1 3 12 31111 6 M78 00000 002 001 005</t>
  </si>
  <si>
    <t>1 2 4 1 3 12 31111 6 M78 00000 002 001 006</t>
  </si>
  <si>
    <t>1 2 4 1 3 12 31111 6 M78 00000 002 001 007</t>
  </si>
  <si>
    <t>1 2 4 1 3 12 31111 6 M78 00000 002 001 008</t>
  </si>
  <si>
    <t>1 2 4 1 3 12 31111 6 M78 00000 002 001 009</t>
  </si>
  <si>
    <t>IMPRESORA EPSON L210</t>
  </si>
  <si>
    <t>1 2 4 1 3 12 31111 6 M78 00000 002 001 010</t>
  </si>
  <si>
    <t>1 2 4 1 3 12 31111 6 M78 00000 002 001 011</t>
  </si>
  <si>
    <t>1 2 4 1 3 12 31111 6 M78 00000 002 001 012</t>
  </si>
  <si>
    <t>1 2 4 1 3 12 31111 6 M78 00000 002 001 013</t>
  </si>
  <si>
    <t>1 2 4 1 3 12 31111 6 M78 00000 002 001 014</t>
  </si>
  <si>
    <t>1 2 4 1 3 12 31111 6 M78 00000 002 001 015</t>
  </si>
  <si>
    <t>1 2 4 1 3 12 31111 6 M78 00000 002 001 016</t>
  </si>
  <si>
    <t>1 2 4 1 3 12 31111 6 M78 00000 003</t>
  </si>
  <si>
    <t>1 2 4 1 3 12 31111 6 M78 00000 003 001</t>
  </si>
  <si>
    <t>ADMON. ANTERIOR</t>
  </si>
  <si>
    <t>1 2 4 1 3 12 31111 6 M78 00000 003 001 001</t>
  </si>
  <si>
    <t>1 2 4 1 3 12 31111 6 M78 00000 003 001 001 00001</t>
  </si>
  <si>
    <t>IMPRESORA ZEBRA</t>
  </si>
  <si>
    <t>1 2 4 1 3 12 31111 6 M78 00000 003 001 001 00002</t>
  </si>
  <si>
    <t>LAPTOP MODELO 245</t>
  </si>
  <si>
    <t>1 2 4 1 3 12 31111 6 M78 00000 003 001 001 00003</t>
  </si>
  <si>
    <t>1 2 4 1 3 12 31111 6 M78 00000 003 001 001 00004</t>
  </si>
  <si>
    <t>LAPTOP MP PAWNON</t>
  </si>
  <si>
    <t>1 2 4 1 3 12 31111 6 M78 00000 003 001 001 00005</t>
  </si>
  <si>
    <t>PROYECTOR PANASONIC</t>
  </si>
  <si>
    <t>1 2 4 1 3 12 31111 6 M78 00000 003 001 001 00006</t>
  </si>
  <si>
    <t>FUENTE DE PODER REGULADOR ASTRO</t>
  </si>
  <si>
    <t>1 2 4 1 3 12 31111 6 M78 00000 003 001 001 00007</t>
  </si>
  <si>
    <t>IMPRESORA EPSON L310</t>
  </si>
  <si>
    <t>1 2 4 1 3 12 31111 6 M78 07000</t>
  </si>
  <si>
    <t>1 2 4 1 3 12 31111 6 M78 07000 151</t>
  </si>
  <si>
    <t>1 2 4 1 3 12 31111 6 M78 07000 151 00C</t>
  </si>
  <si>
    <t>1 2 4 1 3 12 31111 6 M78 07000 151 00C 002</t>
  </si>
  <si>
    <t>1 2 4 1 3 12 31111 6 M78 07000 151 00C 002 51501</t>
  </si>
  <si>
    <t>BIENES INFORMATICOS.</t>
  </si>
  <si>
    <t>1 2 4 1 3 12 31111 6 M78 07000 151 00C 002 51501 015</t>
  </si>
  <si>
    <t>1 2 4 1 3 12 31111 6 M78 07000 151 00C 002 51501 015 2112000</t>
  </si>
  <si>
    <t>1 2 4 1 3 12 31111 6 M78 07000 151 00C 002 51501 015 2112000 2019</t>
  </si>
  <si>
    <t>1 2 4 1 3 12 31111 6 M78 07000 151 00C 002 51501 015 2112000 2019 00000000</t>
  </si>
  <si>
    <t>1 2 4 1 3 12 31111 6 M78 07000 151 00C 002 51501 015 2112000 2019 00000000 001</t>
  </si>
  <si>
    <t>1 2 4 1 3 12 31111 6 M78 07000 151 00C 002 51501 015 2112000 2019 00000000 001 007</t>
  </si>
  <si>
    <t>1 2 4 1 3 12 31111 6 M78 07000 151 00C 002 51501 015 2112000 2019 00000000 001 007 001</t>
  </si>
  <si>
    <t>MULTI CANON PIXMAG4111 + TINTA</t>
  </si>
  <si>
    <t>1 2 4 1 3 12 31111 6 M78 07000 151 00C 002 51501 015 2112000 2019 00000000 001 019</t>
  </si>
  <si>
    <t>DIRECCION DE DESARROLLO RURAL</t>
  </si>
  <si>
    <t>1 2 4 1 3 12 31111 6 M78 07000 151 00C 002 51501 015 2112000 2019 00000000 001 019 001</t>
  </si>
  <si>
    <t>4 LECTORES BIOMETRICOS IKON TOUCH 710</t>
  </si>
  <si>
    <t>1 2 4 1 3 12 31111 6 M78 07000 151 00C 002 51501 015 2112000 2023</t>
  </si>
  <si>
    <t>EJERCICIO 2023</t>
  </si>
  <si>
    <t>1 2 4 1 3 12 31111 6 M78 07000 151 00C 002 51501 015 2112000 2023 00000000</t>
  </si>
  <si>
    <t>1 2 4 1 3 12 31111 6 M78 07000 151 00C 002 51501 015 2112000 2023 00000000 001</t>
  </si>
  <si>
    <t>1 2 4 1 3 12 31111 6 M78 07000 151 00C 002 51501 015 2112000 2023 00000000 001 007</t>
  </si>
  <si>
    <t>1 2 4 1 3 12 31111 6 M78 07000 151 00C 002 51501 015 2112000 2023 00000000 001 007 002</t>
  </si>
  <si>
    <t>IMPRESORA DE ETIQUETAS MARCA ZEBRA ZD220 CON SOFTWARE PARA INSTALARSE EN PC</t>
  </si>
  <si>
    <t>1 2 4 1 3 12 31111 6 M78 07000 151 00C 002 51501 015 2112000 2024</t>
  </si>
  <si>
    <t>1 2 4 1 3 12 31111 6 M78 07000 151 00C 002 51501 015 2112000 2024 00000000</t>
  </si>
  <si>
    <t>1 2 4 1 3 12 31111 6 M78 07000 151 00C 002 51501 015 2112000 2024 00000000 001</t>
  </si>
  <si>
    <t>1 2 4 1 3 12 31111 6 M78 07000 151 00C 002 51501 015 2112000 2024 00000000 001 007</t>
  </si>
  <si>
    <t>1 2 4 1 3 12 31111 6 M78 07000 151 00C 002 51501 015 2112000 2024 00000000 001 007 003</t>
  </si>
  <si>
    <t>HP PAVILLON ALL IN ONE 24-R 19LA COLOR BLANCA, NUMERO DE SERIE 8CC90448GG</t>
  </si>
  <si>
    <t>1 2 4 1 3 12 31111 6 M78 07000 151 00C 002 51501 015 2112000 2024 00000000 001 007 004</t>
  </si>
  <si>
    <t>COMPUTADORA HP ALL IN ONE PS22  COLOR BLANCA, NUMERO DE SERIE 8CC852146M</t>
  </si>
  <si>
    <t>1 2 4 1 3 12 31111 6 M78 07000 151 00C 002 51501 015 2112000 2024 00000000 001 007 005</t>
  </si>
  <si>
    <t>COMPUTADORA HP ALL IN ONE PC22-DD0520LA  COLOR BLANCA, NUMERO DE SERIE 8CC3022HRM</t>
  </si>
  <si>
    <t>1 2 4 1 3 12 31111 6 M78 07000 151 00C 002 51501 015 2112000 2024 00000000 001 007 006</t>
  </si>
  <si>
    <t>COMPUTADORA HP ALL IN ONE PC22-C007LA  COLOR NEGRA, NUMERO DE SERIE 8CC2091F48</t>
  </si>
  <si>
    <t>1 2 4 1 3 12 31111 6 M78 07000 151 00C 002 51501 015 2112000 2024 00000000 001 007 007</t>
  </si>
  <si>
    <t>COMPUTADORA HP ALL IN ONE PC22-C007LA  COLOR NEGRA, NUMERO DE SERIE 8CC2091F4G</t>
  </si>
  <si>
    <t>1 2 4 1 3 12 31111 6 M78 07000 151 00C 002 51501 015 2112000 2024 00000000 001 007 008</t>
  </si>
  <si>
    <t>PIXMA INK EFFICIENT LAM IMPRESORA MULTIFUNCIONALCOLOR NEGRO COPIAS BLANCO Y NEGRO Y COLOR, MARCA CANON NUMERO DE SERIE KNGB98594</t>
  </si>
  <si>
    <t>1 2 4 1 3 12 31111 6 M78 07000 151 00C 002 51501 015 2112000 2024 00000000 001 007 009</t>
  </si>
  <si>
    <t>PIXMA INK EFFICIENT LAM IMPRESORA MULTIFUNCIONALCOLOR NEGRO COPIAS BLANCO Y NEGRO Y COLOR, MARCA CANON NUMERO DE SERIE KLMT41301</t>
  </si>
  <si>
    <t>1 2 4 1 3 12 31111 6 M78 07000 151 00C 002 51501 015 2112000 2024 00000000 001 007 010</t>
  </si>
  <si>
    <t>PIXMA INK EFFICIENT LAM IMPRESORA MULTIFUNCIONALCOLOR NEGRO COPIAS BLANCO Y NEGRO Y COLOR, MARCA CANON NUMERO DE SERIE KLYH90805</t>
  </si>
  <si>
    <t>1 2 4 1 3 12 31111 6 M78 07000 151 00C 002 51501 015 2112000 2024 00000000 001 007 011</t>
  </si>
  <si>
    <t>PIXMA INK EFFICIENT LAM IMPRESORA MULTIFUNCIONALCOLOR NEGRO COPIAS BLANCO Y NEGRO Y COLOR, MARCA CANON NUMERO DE SERIE KLMT29877</t>
  </si>
  <si>
    <t>1 2 4 1 3 12 31111 6 M78 07000 151 00C 002 51501 015 2112000 2024 00000000 001 007 012</t>
  </si>
  <si>
    <t>PIXMA INK EFFICIENT LAM IMPRESORA MULTIFUNCIONALCOLOR NEGRO COPIAS BLANCO Y NEGRO Y COLOR, MARCA CANON NUMERO DE SERIE KLMT7942</t>
  </si>
  <si>
    <t>1 2 4 1 3 12 31111 6 M78 07000 151 00C 002 51501 015 2112000 2024 00000000 001 007 013</t>
  </si>
  <si>
    <t>PIXMA INK EFFICIENT LAM IMPRESORA MULTIFUNCIONALCOLOR NEGRO COPIAS BLANCO Y NEGRO Y COLOR, MARCA CANON NUMERO DE SERIE KLMT41575</t>
  </si>
  <si>
    <t>1 2 4 1 3 12 31111 6 M78 07000 151 00C 002 51501 015 2112000 2024 00000000 001 007 014</t>
  </si>
  <si>
    <t>PIXMA INK EFFICIENT LAM IMPRESORA MULTIFUNCIONALCOLOR NEGRO COPIAS BLANCO Y NEGRO Y COLOR, MARCA CANON NUMERO DE SERIE KLMT35615</t>
  </si>
  <si>
    <t>1 2 4 1 3 12 31111 6 M78 07000 151 00C 002 51501 015 2112000 2024 00000000 001 007 015</t>
  </si>
  <si>
    <t>PIXMA INK EFFICIENT LAM IMPRESORA MULTIFUNCIONALCOLOR NEGRO COPIAS BLANCO Y NEGRO Y COLOR, MARCA CANON NUMERO DE SERIE KLMT29794</t>
  </si>
  <si>
    <t>1 2 4 1 3 12 31111 6 M78 07000 151 00C 002 51501 015 2112000 2024 00000000 001 007 016</t>
  </si>
  <si>
    <t>PIXMA INK EFFICIENT LAM IMPRESORA MULTIFUNCIONALCOLOR NEGRO COPIAS BLANCO Y NEGRO Y COLOR, MARCA CANON NUMERO DE SERIE KLMT41589</t>
  </si>
  <si>
    <t>1 2 4 1 3 12 31111 6 M78 07000 151 00C 002 51501 015 2112000 2024 00000000 001 007 017</t>
  </si>
  <si>
    <t>PIXMA INK EFFICIENT LAM IMPRESORA MULTIFUNCIONALCOLOR NEGRO COPIAS BLANCO Y NEGRO Y COLOR, MARCA CANON NUMERO DE SERIE KLMT02712</t>
  </si>
  <si>
    <t>1 2 4 1 3 12 31111 6 M78 07000 151 00C 002 51501 015 2112000 2024 00000000 001 007 018</t>
  </si>
  <si>
    <t>MULTIFUNCIONAL XEROX VERSALINK C7020-LASER WI-FI ETHERNET USB DUPLEX FAX</t>
  </si>
  <si>
    <t>1 2 4 1 3 12 31111 6 M78 07000 151 00E</t>
  </si>
  <si>
    <t>PRESTACION DE SERVICIOS PUBLICOS</t>
  </si>
  <si>
    <t>1 2 4 1 3 12 31111 6 M78 07000 151 00E 002</t>
  </si>
  <si>
    <t>1 2 4 1 3 12 31111 6 M78 07000 151 00E 002 51501</t>
  </si>
  <si>
    <t>1 2 4 1 3 12 31111 6 M78 07000 151 00E 002 51501 011</t>
  </si>
  <si>
    <t>11- RECURSOS FISCALES</t>
  </si>
  <si>
    <t>1 2 4 1 3 12 31111 6 M78 07000 151 00E 002 51501 011 2112000</t>
  </si>
  <si>
    <t>1 2 4 1 3 12 31111 6 M78 07000 151 00E 002 51501 011 2112000 2019</t>
  </si>
  <si>
    <t>1 2 4 1 3 12 31111 6 M78 07000 151 00E 002 51501 011 2112000 2019 00000000</t>
  </si>
  <si>
    <t>1 2 4 1 3 12 31111 6 M78 07000 151 00E 002 51501 011 2112000 2019 00000000 005</t>
  </si>
  <si>
    <t>1 2 4 1 3 12 31111 6 M78 07000 151 00E 002 51501 011 2112000 2019 00000000 005 022</t>
  </si>
  <si>
    <t>AREA DE SECRETARIA DE LA MUJER</t>
  </si>
  <si>
    <t>1 2 4 1 3 12 31111 6 M78 07000 151 00E 002 51501 011 2112000 2019 00000000 005 022 001</t>
  </si>
  <si>
    <t>IMPRESORA CANON PIXMA G21120 MULTIFUNCIONAL</t>
  </si>
  <si>
    <t>1 2 4 1 3 12 31111 6 M78 07000 151 00E 002 51501 011 2112000 2022</t>
  </si>
  <si>
    <t>EJERCICIO 2022</t>
  </si>
  <si>
    <t>1 2 4 1 3 12 31111 6 M78 07000 151 00E 002 51501 011 2112000 2022 00000000</t>
  </si>
  <si>
    <t>1 2 4 1 3 12 31111 6 M78 07000 151 00E 002 51501 011 2112000 2022 00000000 005</t>
  </si>
  <si>
    <t>1 2 4 1 3 12 31111 6 M78 07000 151 00E 002 51501 011 2112000 2022 00000000 005 022</t>
  </si>
  <si>
    <t>1 2 4 1 3 12 31111 6 M78 07000 151 00E 002 51501 011 2112000 2022 00000000 005 022 002</t>
  </si>
  <si>
    <t>IMPRESORA DE TARJETAS ZEBRA ZXP7- 2 CARAS- COLOR- CON SOFTWARE PARA INSTALARSE EN PC, 3003 DPI/USB/ETHERNET</t>
  </si>
  <si>
    <t>1 2 4 1 3 12 31111 6 M78 15000</t>
  </si>
  <si>
    <t>DIRECCION DE SEGURIDAD PUBLICA</t>
  </si>
  <si>
    <t>1 2 4 1 3 12 31111 6 M78 15000 171</t>
  </si>
  <si>
    <t>POLICÍA</t>
  </si>
  <si>
    <t>1 2 4 1 3 12 31111 6 M78 15000 171 00I</t>
  </si>
  <si>
    <t>1 2 4 1 3 12 31111 6 M78 15000 171 00I 002</t>
  </si>
  <si>
    <t>1 2 4 1 3 12 31111 6 M78 15000 171 00I 002 51501</t>
  </si>
  <si>
    <t>1 2 4 1 3 12 31111 6 M78 15000 171 00I 002 51501 025</t>
  </si>
  <si>
    <t>1 2 4 1 3 12 31111 6 M78 15000 171 00I 002 51501 025 2112000</t>
  </si>
  <si>
    <t>1 2 4 1 3 12 31111 6 M78 15000 171 00I 002 51501 025 2112000 2019</t>
  </si>
  <si>
    <t>1 2 4 1 3 12 31111 6 M78 15000 171 00I 002 51501 025 2112000 2019 00000000</t>
  </si>
  <si>
    <t>1 2 4 1 3 12 31111 6 M78 15000 171 00I 002 51501 025 2112000 2019 00000000 003</t>
  </si>
  <si>
    <t>1 2 4 1 3 12 31111 6 M78 15000 171 00I 002 51501 025 2112000 2019 00000000 003 015</t>
  </si>
  <si>
    <t>1 2 4 1 3 12 31111 6 M78 15000 171 00I 002 51501 025 2112000 2019 00000000 003 015 001</t>
  </si>
  <si>
    <t>IMPRESORA MULTIFUNCIONAL EPSON L575</t>
  </si>
  <si>
    <t>1 2 4 1 3 12 31111 6 M78 15000 171 00I 002 51501 025 2112000 2023</t>
  </si>
  <si>
    <t>1 2 4 1 3 12 31111 6 M78 15000 171 00I 002 51501 025 2112000 2023 00000000</t>
  </si>
  <si>
    <t>1 2 4 1 3 12 31111 6 M78 15000 171 00I 002 51501 025 2112000 2023 00000000 003</t>
  </si>
  <si>
    <t>1 2 4 1 3 12 31111 6 M78 15000 171 00I 002 51501 025 2112000 2023 00000000 003 015</t>
  </si>
  <si>
    <t>1 2 4 1 3 12 31111 6 M78 15000 171 00I 002 51501 025 2112000 2023 00000000 003 015 002</t>
  </si>
  <si>
    <t>COMPUTDORA DELL INSPIRON 24 ALL IN ONE, MODELO 5410, WHITE PANTALLA DE 23.8" TCOUCH DISPLAY INTEL CORE I5-1235U´PROCESSOR 12 GB DE MEMORIA RAM 256 GB SSD + 1TB HDD, WINDOWS 11 HOME</t>
  </si>
  <si>
    <t>1 2 4 1 9</t>
  </si>
  <si>
    <t>OTROS MOBILIARIOS Y EQUIPOS DE ADMINISTRACIÓN</t>
  </si>
  <si>
    <t>1 2 4 1 9 12</t>
  </si>
  <si>
    <t>1 2 4 1 9 12 31111</t>
  </si>
  <si>
    <t>1 2 4 1 9 12 31111 6</t>
  </si>
  <si>
    <t>1 2 4 1 9 12 31111 6 M78</t>
  </si>
  <si>
    <t>1 2 4 1 9 12 31111 6 M78 00000</t>
  </si>
  <si>
    <t>1 2 4 1 9 12 31111 6 M78 00000 002</t>
  </si>
  <si>
    <t>1 2 4 1 9 12 31111 6 M78 00000 002 001</t>
  </si>
  <si>
    <t>U8 PROGRAMA DE DESARROLLO INSTITUCIONAL MUNICIPAL.</t>
  </si>
  <si>
    <t>1 2 4 1 9 12 31111 6 M78 00000 002 001 001</t>
  </si>
  <si>
    <t>PRODIM, ADQUISICION DE EQUIPAMIENTO Y MOBILIARIO BASICO.</t>
  </si>
  <si>
    <t>1 2 4 1 9 12 31111 6 M78 00000 002 001 001 00001</t>
  </si>
  <si>
    <t>EQUIPO DE COMPUTO CON PROCESADOR INTEL DUAL CORE´S A 30 (6GHZ DISCO DURO 3.5 SATA SEAGATE 500GB LECTOR DE MEMORIAS 5-1 INT. 3.5" MONITOR LOD 18.5" MEMORIA RAM DOR 34GB TECLADO Y MOUSE</t>
  </si>
  <si>
    <t>1 2 4 1 9 12 31111 6 M78 00000 002 001 001 00002</t>
  </si>
  <si>
    <t>1 2 4 1 9 12 31111 6 M78 00000 002 001 001 00003</t>
  </si>
  <si>
    <t>1 2 4 1 9 12 31111 6 M78 00000 002 001 001 00004</t>
  </si>
  <si>
    <t>1 2 4 1 9 12 31111 6 M78 00000 002 001 001 00005</t>
  </si>
  <si>
    <t>1 2 4 1 9 12 31111 6 M78 00000 002 001 001 00006</t>
  </si>
  <si>
    <t>1 2 4 1 9 12 31111 6 M78 00000 002 001 001 00007</t>
  </si>
  <si>
    <t>1 2 4 1 9 12 31111 6 M78 00000 002 001 001 00008</t>
  </si>
  <si>
    <t>1 2 4 1 9 12 31111 6 M78 00000 002 001 001 00009</t>
  </si>
  <si>
    <t>1 2 4 1 9 12 31111 6 M78 00000 002 001 001 00010</t>
  </si>
  <si>
    <t>1 2 4 1 9 12 31111 6 M78 00000 002 001 001 00011</t>
  </si>
  <si>
    <t>1 2 4 1 9 12 31111 6 M78 00000 002 001 001 00012</t>
  </si>
  <si>
    <t>1 2 4 1 9 12 31111 6 M78 00000 002 001 001 00013</t>
  </si>
  <si>
    <t>1 2 4 1 9 12 31111 6 M78 00000 002 001 001 00014</t>
  </si>
  <si>
    <t>1 2 4 1 9 12 31111 6 M78 00000 002 001 001 00015</t>
  </si>
  <si>
    <t>1 2 4 1 9 12 31111 6 M78 00000 002 001 001 00016</t>
  </si>
  <si>
    <t>1 2 4 1 9 12 31111 6 M78 00000 002 001 001 00017</t>
  </si>
  <si>
    <t>1 2 4 1 9 12 31111 6 M78 00000 002 001 001 00018</t>
  </si>
  <si>
    <t>1 2 4 1 9 12 31111 6 M78 00000 002 001 001 00019</t>
  </si>
  <si>
    <t>1 2 4 1 9 12 31111 6 M78 00000 002 001 001 00020</t>
  </si>
  <si>
    <t>1 2 4 1 9 12 31111 6 M78 00000 002 001 001 00021</t>
  </si>
  <si>
    <t>1 2 4 1 9 12 31111 6 M78 00000 002 001 001 00022</t>
  </si>
  <si>
    <t>1 2 4 1 9 12 31111 6 M78 00000 002 001 001 00023</t>
  </si>
  <si>
    <t>1 2 4 1 9 12 31111 6 M78 00000 002 001 001 00024</t>
  </si>
  <si>
    <t>1 2 4 1 9 12 31111 6 M78 00000 002 001 001 00025</t>
  </si>
  <si>
    <t>1 2 4 1 9 12 31111 6 M78 00000 002 001 001 00026</t>
  </si>
  <si>
    <t>COMPUTADORA DE ESCRITORIO PROCESADOR INTEL CORE I3 MEMORIA RAM DE 4CG DD 500GB MONITOR LED 19" TECLADO Y MOUSE CCA</t>
  </si>
  <si>
    <t>1 2 4 1 9 12 31111 6 M78 00000 002 001 001 00027</t>
  </si>
  <si>
    <t>1 2 4 1 9 12 31111 6 M78 00000 002 001 001 00028</t>
  </si>
  <si>
    <t>1 2 4 1 9 12 31111 6 M78 00000 002 001 001 00029</t>
  </si>
  <si>
    <t>1 2 4 1 9 12 31111 6 M78 00000 002 001 001 00030</t>
  </si>
  <si>
    <t>5 ESCRITORIOS C/FALDON Y CAJONERAS 1200X600MMX750MM DE ALTURA</t>
  </si>
  <si>
    <t>1 2 4 1 9 12 31111 6 M78 00000 002 001 001 00031</t>
  </si>
  <si>
    <t>10 SILLÓN EJEC GIRAT DE 600X710X1130 MM C/ BRAZOS. RECLINABLE</t>
  </si>
  <si>
    <t>1 2 4 1 9 12 31111 6 M78 00000 002 001 001 00032</t>
  </si>
  <si>
    <t>6 IMPRESORA BROTHER T800 C/SISTEMA DE TINTA CONTINUA INALAMBRICA MULTIFULCIONAL</t>
  </si>
  <si>
    <t>1 2 4 1 9 12 31111 6 M78 00000 002 001 001 00033</t>
  </si>
  <si>
    <t>5 MINITOR AOC ULTRASUM 24" S/N</t>
  </si>
  <si>
    <t>1 2 4 1 9 12 31111 6 M78 00000 002 001 001 00034</t>
  </si>
  <si>
    <t>4 EQUIPOS DE COMPUTADORAS INTEL INSIDE CORE</t>
  </si>
  <si>
    <t>1 2 4 1 9 12 31111 6 M78 00000 003</t>
  </si>
  <si>
    <t>1 2 4 1 9 12 31111 6 M78 00000 003 001</t>
  </si>
  <si>
    <t>1 2 4 1 9 12 31111 6 M78 00000 003 001 001</t>
  </si>
  <si>
    <t>1 2 4 1 9 12 31111 6 M78 00000 003 001 001 00001</t>
  </si>
  <si>
    <t>ENFRIADOR DE DOS TEMPERATURAS</t>
  </si>
  <si>
    <t>1 2 4 1 9 12 31111 6 M78 07000</t>
  </si>
  <si>
    <t>1 2 4 1 9 12 31111 6 M78 07000 151</t>
  </si>
  <si>
    <t>1 2 4 1 9 12 31111 6 M78 07000 151 00C</t>
  </si>
  <si>
    <t>1 2 4 1 9 12 31111 6 M78 07000 151 00C 002</t>
  </si>
  <si>
    <t>1 2 4 1 9 12 31111 6 M78 07000 151 00C 002 51901</t>
  </si>
  <si>
    <t>EQUIPO DE ADMINISTRACION.</t>
  </si>
  <si>
    <t>1 2 4 1 9 12 31111 6 M78 07000 151 00C 002 51901 015</t>
  </si>
  <si>
    <t>1 2 4 1 9 12 31111 6 M78 07000 151 00C 002 51901 015 2112000</t>
  </si>
  <si>
    <t>1 2 4 1 9 12 31111 6 M78 07000 151 00C 002 51901 015 2112000 2019</t>
  </si>
  <si>
    <t>1 2 4 1 9 12 31111 6 M78 07000 151 00C 002 51901 015 2112000 2019 00000000</t>
  </si>
  <si>
    <t>1 2 4 1 9 12 31111 6 M78 07000 151 00C 002 51901 015 2112000 2019 00000000 001</t>
  </si>
  <si>
    <t>1 2 4 1 9 12 31111 6 M78 07000 151 00C 002 51901 015 2112000 2019 00000000 001 001</t>
  </si>
  <si>
    <t>1 2 4 1 9 12 31111 6 M78 07000 151 00C 002 51901 015 2112000 2019 00000000 001 001 001</t>
  </si>
  <si>
    <t>DESPACHADOR DE AGUA PARA PISO WHIRPOOL</t>
  </si>
  <si>
    <t>1 2 4 1 9 12 31111 6 M78 07000 151 00C 002 51901 015 2112000 2019 00000000 001 002</t>
  </si>
  <si>
    <t>1 2 4 1 9 12 31111 6 M78 07000 151 00C 002 51901 015 2112000 2019 00000000 001 002 001</t>
  </si>
  <si>
    <t>1 2 4 1 9 12 31111 6 M78 07000 151 00C 002 51901 015 2112000 2019 00000000 001 007</t>
  </si>
  <si>
    <t>AREA DE TESORERIA</t>
  </si>
  <si>
    <t>1 2 4 1 9 12 31111 6 M78 07000 151 00C 002 51901 015 2112000 2019 00000000 001 007 001</t>
  </si>
  <si>
    <t>1 2 4 1 9 12 31111 6 M78 07000 151 00C 002 51901 015 2112000 2019 00000000 001 009</t>
  </si>
  <si>
    <t>AREA DE OBRAS PUBLICAS</t>
  </si>
  <si>
    <t>1 2 4 1 9 12 31111 6 M78 07000 151 00C 002 51901 015 2112000 2019 00000000 001 009 001</t>
  </si>
  <si>
    <t>1 2 4 1 9 12 31111 6 M78 07000 151 00C 002 51901 015 2112000 2024</t>
  </si>
  <si>
    <t>1 2 4 1 9 12 31111 6 M78 07000 151 00C 002 51901 015 2112000 2024 00000000</t>
  </si>
  <si>
    <t>1 2 4 1 9 12 31111 6 M78 07000 151 00C 002 51901 015 2112000 2024 00000000 001</t>
  </si>
  <si>
    <t>1 2 4 1 9 12 31111 6 M78 07000 151 00C 002 51901 015 2112000 2024 00000000 001 001</t>
  </si>
  <si>
    <t>1 2 4 1 9 12 31111 6 M78 07000 151 00C 002 51901 015 2112000 2024 00000000 001 001 002</t>
  </si>
  <si>
    <t>TEMPLETE ARMABLE CON DIMENSIONES DE LARGO 17.50 MTS, ANCHO 8.50 MTS, ALTURA 1 MT. RESPALDO ALTO 3.65 MTS POR 17.5 MTS, INCLUYE 49 PIEZAS DE TRIPLAY EN BASE HORIZONTAL (1.22 TS X 2.44 MTS) 16 PIEZAS DE ESTRUCTURA METALICA AJUSTABLE, 14 PIEZAS DE RESPALDO VERTICAL (3.05 MTS X 1.22MTS) 14 PIEZAS DE SOPORTE RESPALDO A BASE DE PTR DE 2 PULGADAS</t>
  </si>
  <si>
    <t>1 2 4 1 9 12 31111 6 M78 07000 151 00C 002 51901 015 2112000 2024 00000000 001 009</t>
  </si>
  <si>
    <t>1 2 4 1 9 12 31111 6 M78 07000 151 00C 002 51901 015 2112000 2024 00000000 001 009 001</t>
  </si>
  <si>
    <t>1 2 4 2</t>
  </si>
  <si>
    <t>MOBILIARIO Y EQUIPO EDUCACIONAL Y RECREATIVO</t>
  </si>
  <si>
    <t>1 2 4 2 1</t>
  </si>
  <si>
    <t>EQUIPOS Y APARATOS AUDIOVISUALES</t>
  </si>
  <si>
    <t>1 2 4 2 1 12</t>
  </si>
  <si>
    <t>1 2 4 2 1 12 31111</t>
  </si>
  <si>
    <t>1 2 4 2 1 12 31111 6</t>
  </si>
  <si>
    <t>1 2 4 2 1 12 31111 6 M78</t>
  </si>
  <si>
    <t>xxx CUENTA FALTANTE xxx</t>
  </si>
  <si>
    <t>1 2 4 2 1 12 31111 6 M78 07000</t>
  </si>
  <si>
    <t>TESORERÍA MUNICIPAL</t>
  </si>
  <si>
    <t>1 2 4 2 1 12 31111 6 M78 07000 151</t>
  </si>
  <si>
    <t>1 2 4 2 1 12 31111 6 M78 07000 151 00E</t>
  </si>
  <si>
    <t>1 2 4 2 1 12 31111 6 M78 07000 151 00E 002</t>
  </si>
  <si>
    <t>1 2 4 2 1 12 31111 6 M78 07000 151 00E 002 52101</t>
  </si>
  <si>
    <t>EQUIPOS Y APARATOS AUDIOVISUALES.</t>
  </si>
  <si>
    <t>1 2 4 2 1 12 31111 6 M78 07000 151 00E 002 52101 011</t>
  </si>
  <si>
    <t>1 2 4 2 1 12 31111 6 M78 07000 151 00E 002 52101 011 2112000</t>
  </si>
  <si>
    <t>1 2 4 2 1 12 31111 6 M78 07000 151 00E 002 52101 011 2112000 2019</t>
  </si>
  <si>
    <t>1 2 4 2 1 12 31111 6 M78 07000 151 00E 002 52101 011 2112000 2019 00000000</t>
  </si>
  <si>
    <t>SIN PROYECTO</t>
  </si>
  <si>
    <t>1 2 4 2 1 12 31111 6 M78 07000 151 00E 002 52101 011 2112000 2019 00000000 005</t>
  </si>
  <si>
    <t>1 2 4 2 1 12 31111 6 M78 07000 151 00E 002 52101 011 2112000 2019 00000000 005 007</t>
  </si>
  <si>
    <t>1 2 4 2 1 12 31111 6 M78 07000 151 00E 002 52101 011 2112000 2019 00000000 005 007 001</t>
  </si>
  <si>
    <t>JUEGO DE MICROFONOS INALAMBRICOS LENNON MOD. LN302U</t>
  </si>
  <si>
    <t>1 2 4 4</t>
  </si>
  <si>
    <t>VEHÍCULOS Y EQUIPO DE TRANSPORTE</t>
  </si>
  <si>
    <t>1 2 4 4 1</t>
  </si>
  <si>
    <t>AUTOMÓVILES Y EQUIPO TERRESTRE</t>
  </si>
  <si>
    <t>1 2 4 4 1 12</t>
  </si>
  <si>
    <t>1 2 4 4 1 12 31111</t>
  </si>
  <si>
    <t>1 2 4 4 1 12 31111 6</t>
  </si>
  <si>
    <t>1 2 4 4 1 12 31111 6 M78</t>
  </si>
  <si>
    <t>1 2 4 4 1 12 31111 6 M78 00000</t>
  </si>
  <si>
    <t>1 2 4 4 1 12 31111 6 M78 00000 001</t>
  </si>
  <si>
    <t>1 2 4 4 1 12 31111 6 M78 00000 001 001</t>
  </si>
  <si>
    <t>1 2 4 4 1 12 31111 6 M78 00000 001 001 001</t>
  </si>
  <si>
    <t>DE PERSONAL</t>
  </si>
  <si>
    <t>1 2 4 4 1 12 31111 6 M78 00000 001 001 001 00001</t>
  </si>
  <si>
    <t>1 2 4 4 1 12 31111 6 M78 00000 001 001 001 00001 001</t>
  </si>
  <si>
    <t>NISSAN NP300 DE LUJO BLANCA 2014</t>
  </si>
  <si>
    <t>1 2 4 4 1 12 31111 6 M78 00000 001 001 001 00002</t>
  </si>
  <si>
    <t>1 2 4 4 1 12 31111 6 M78 00000 001 001 001 00002 001</t>
  </si>
  <si>
    <t>CAMIONETA NISSAN EQUIPADA CON RECOLECTOR DE 3MTS</t>
  </si>
  <si>
    <t>1 2 4 4 1 12 31111 6 M78 00000 001 001 001 00003</t>
  </si>
  <si>
    <t>1 2 4 4 1 12 31111 6 M78 00000 001 001 001 00003 001</t>
  </si>
  <si>
    <t>CAMIONETA RANGER</t>
  </si>
  <si>
    <t>1 2 4 4 1 12 31111 6 M78 00000 002</t>
  </si>
  <si>
    <t>VEHICULOS Y EQUIPO TERRESTRE</t>
  </si>
  <si>
    <t>1 2 4 4 1 12 31111 6 M78 00000 002 002</t>
  </si>
  <si>
    <t>1 2 4 4 1 12 31111 6 M78 00000 002 002 001</t>
  </si>
  <si>
    <t>OBRAS PUBLICAS</t>
  </si>
  <si>
    <t>1 2 4 4 1 12 31111 6 M78 00000 002 002 001 00001</t>
  </si>
  <si>
    <t>CAMIONETA DOBLE CABINA COLOR PLATA 2014</t>
  </si>
  <si>
    <t>1 2 4 4 1 12 31111 6 M78 00000 002 002 001 00002</t>
  </si>
  <si>
    <t>CAMIONETA LOBO XLT4X4</t>
  </si>
  <si>
    <t>1 2 4 4 1 12 31111 6 M78 00000 003</t>
  </si>
  <si>
    <t>1 2 4 4 1 12 31111 6 M78 00000 003 001</t>
  </si>
  <si>
    <t>1 2 4 4 1 12 31111 6 M78 00000 003 001 001</t>
  </si>
  <si>
    <t>1 2 4 4 1 12 31111 6 M78 00000 003 001 001 00001</t>
  </si>
  <si>
    <t>CAMIONETA F-150XLXA BLANCA 2013</t>
  </si>
  <si>
    <t>1 2 4 4 1 12 31111 6 M78 00000 003 001 001 00002</t>
  </si>
  <si>
    <t>MOTOCICLETA AMARILLA ITALIKA 2014</t>
  </si>
  <si>
    <t>1 2 4 4 1 12 31111 6 M78 00000 003 001 001 00003</t>
  </si>
  <si>
    <t>1 2 4 4 1 12 31111 6 M78 00000 003 001 001 00004</t>
  </si>
  <si>
    <t>CAMIONETA HILUX DC 4X2 TOYOTA GRIS</t>
  </si>
  <si>
    <t>1 2 4 4 1 12 31111 6 M78 00000 003 001 001 00006</t>
  </si>
  <si>
    <t>1 2 4 4 1 12 31111 6 M78 00000 003 001 001 00007</t>
  </si>
  <si>
    <t>MOTOCICLETA AMARILLA/NEGRO ITALIKA 2014</t>
  </si>
  <si>
    <t>1 2 4 4 1 12 31111 6 M78 00000 003 001 001 00008</t>
  </si>
  <si>
    <t>MOTOCICLETA NUEVA SERIE LZSK4FKK0NF051368, CILINDRAJE 250CC, MARCA ITALIKA MODELO DM250, AÑO 2022, COLOR NARANJA-NEGRO, NO. MOTOR  ZS167FMM5N123662</t>
  </si>
  <si>
    <t>1 2 4 4 1 12 31111 6 M78 00000 003 001 001 00009</t>
  </si>
  <si>
    <t>MOTOCICLETA NUEVA SERIE 35CKZAER3P1002870, CILINDRAJE 150CC, MARCA ITALIKA MODELO FT150, AÑO 2023, COLOR GRIS-NEGRO, NO. MOTOR  LC162FMJVQ194108</t>
  </si>
  <si>
    <t>1 2 4 4 1 12 31111 6 M78 00000 003 001 001 00010</t>
  </si>
  <si>
    <t>MOTOCICLETA NUEVA SERIE 35CK2DEU1N1014213, CILINDRAJE 180CC, MARCA ITALIKA MODELO FT180, AÑO 2023, COLOR NEGRO-AZUL, NO. MOTOR  RW162FMK2200015088</t>
  </si>
  <si>
    <t>1 2 4 4 1 12 31111 6 M78 00000 003 001 002</t>
  </si>
  <si>
    <t>PATRULLAS</t>
  </si>
  <si>
    <t>1 2 4 4 1 12 31111 6 M78 00000 003 001 002 00001</t>
  </si>
  <si>
    <t>FORD F-150 XL REG CAB 4X2 3 7L V6 BLANCA 2013</t>
  </si>
  <si>
    <t>1 2 4 4 1 12 31111 6 M78 00000 003 001 002 00002</t>
  </si>
  <si>
    <t>CAMIONETA RAM 1500 DODGE BLANCA 2013</t>
  </si>
  <si>
    <t>1 2 4 4 1 12 31111 6 M78 00000 003 001 002 00003</t>
  </si>
  <si>
    <t>TOYOTA MODELO 2017 HILUX BLANCA</t>
  </si>
  <si>
    <t>1 2 4 4 1 12 31111 6 M78 00000 003 002</t>
  </si>
  <si>
    <t>1 2 4 4 1 12 31111 6 M78 00000 003 002 001</t>
  </si>
  <si>
    <t>PROTECCION CIVIL</t>
  </si>
  <si>
    <t>1 2 4 4 1 12 31111 6 M78 00000 003 002 001 00001</t>
  </si>
  <si>
    <t>AMBULANCIA CHEVROLET BLANCA 2009</t>
  </si>
  <si>
    <t>1 2 4 4 1 12 31111 6 M78 07000</t>
  </si>
  <si>
    <t>1 2 4 4 1 12 31111 6 M78 07000 151</t>
  </si>
  <si>
    <t>1 2 4 4 1 12 31111 6 M78 07000 151 00C</t>
  </si>
  <si>
    <t>1 2 4 4 1 12 31111 6 M78 07000 151 00C 002</t>
  </si>
  <si>
    <t>1 2 4 4 1 12 31111 6 M78 07000 151 00C 002 54105</t>
  </si>
  <si>
    <t>VEHICULOS Y EQUIPOS TERRESTRES</t>
  </si>
  <si>
    <t>1 2 4 4 1 12 31111 6 M78 07000 151 00C 002 54105 015</t>
  </si>
  <si>
    <t>15.- RECURSOS FEDERALES</t>
  </si>
  <si>
    <t>1 2 4 4 1 12 31111 6 M78 07000 151 00C 002 54105 015 2222100</t>
  </si>
  <si>
    <t>EQUIPO DE TRANSPORTE</t>
  </si>
  <si>
    <t>1 2 4 4 1 12 31111 6 M78 07000 151 00C 002 54105 015 2222100 2022</t>
  </si>
  <si>
    <t>1 2 4 4 1 12 31111 6 M78 07000 151 00C 002 54105 015 2222100 2022 00000000</t>
  </si>
  <si>
    <t>CAMIONETA TOYOTA, MODELO 2022, HILUX, DOBLE CABINA, SR4X2, COLOR ESTERIOR BLANCO, TRANSMISIÓN, No. PUERTAS 4, No. MOTOR 2TR-A914997, SERIE MR0CX3DDXN1327578</t>
  </si>
  <si>
    <t>1 2 4 4 1 12 31111 6 M78 15000</t>
  </si>
  <si>
    <t>1 2 4 4 1 12 31111 6 M78 15000 171</t>
  </si>
  <si>
    <t>1 2 4 4 1 12 31111 6 M78 15000 171 00I</t>
  </si>
  <si>
    <t>1 2 4 4 1 12 31111 6 M78 15000 171 00I 002</t>
  </si>
  <si>
    <t>1 2 4 4 1 12 31111 6 M78 15000 171 00I 002 54105</t>
  </si>
  <si>
    <t>VEHICULOS Y EQUIPO TERRESTRES DESTINADOS A SERVIDORES PUBLICOS.</t>
  </si>
  <si>
    <t>1 2 4 4 1 12 31111 6 M78 15000 171 00I 002 54105 025</t>
  </si>
  <si>
    <t>1 2 4 4 1 12 31111 6 M78 15000 171 00I 002 54105 025 2222100</t>
  </si>
  <si>
    <t>1 2 4 4 1 12 31111 6 M78 15000 171 00I 002 54105 025 2222100 2020</t>
  </si>
  <si>
    <t>1 2 4 4 1 12 31111 6 M78 15000 171 00I 002 54105 025 2222100 2020 00000000</t>
  </si>
  <si>
    <t>1 2 4 4 1 12 31111 6 M78 15000 171 00I 002 54105 025 2222100 2020 00000000 003</t>
  </si>
  <si>
    <t>1 2 4 4 1 12 31111 6 M78 15000 171 00I 002 54105 025 2222100 2020 00000000 003 002</t>
  </si>
  <si>
    <t>SINDICATURA</t>
  </si>
  <si>
    <t>1 2 4 4 1 12 31111 6 M78 15000 171 00I 002 54105 025 2222100 2020 00000000 003 002 001</t>
  </si>
  <si>
    <t>VEHICULO NUEVO MARCA TOYOTA MODELO 2020 HILUX DC BASE 4X2. COLOR EXTERIOR PLATA METALICO, TRANSMISION, No. PUERTAS 4 No. MOTOR 2TR-A33543. No. SERIE MR0EX3DD7L0005881.</t>
  </si>
  <si>
    <t>1 2 4 4 1 12 31111 6 M78 15000 171 00I 002 54105 025 2222100 2021</t>
  </si>
  <si>
    <t>1 2 4 4 1 12 31111 6 M78 15000 171 00I 002 54105 025 2222100 2021 00000000</t>
  </si>
  <si>
    <t>1 2 4 4 1 12 31111 6 M78 15000 171 00I 002 54105 025 2222100 2021 00000000 003</t>
  </si>
  <si>
    <t>1 2 4 4 1 12 31111 6 M78 15000 171 00I 002 54105 025 2222100 2021 00000000 003 002</t>
  </si>
  <si>
    <t>1 2 4 4 1 12 31111 6 M78 15000 171 00I 002 54105 025 2222100 2021 00000000 003 002 001</t>
  </si>
  <si>
    <t>VEHICULO NUEVO MARCA TOYOTA MODELO 2020 HILUX DC BASE 4X2. COLOR EXTERIOR BLANCO, TRANSMISION, No. PUERTAS 4 No. MOTOR 2TR-A733161. No. SERIE MR0EX3DD7L0005884.</t>
  </si>
  <si>
    <t>1 2 4 4 1 12 31111 6 M78 15000 171 00I 002 54105 025 2222100 2022</t>
  </si>
  <si>
    <t>1 2 4 4 1 12 31111 6 M78 15000 171 00I 002 54105 025 2222100 2022 00000000</t>
  </si>
  <si>
    <t>1 2 4 4 1 12 31111 6 M78 15000 171 00I 002 54105 025 2222100 2022 00000000 003</t>
  </si>
  <si>
    <t>1 2 4 4 1 12 31111 6 M78 15000 171 00I 002 54105 025 2222100 2022 00000000 003 002</t>
  </si>
  <si>
    <t>1 2 4 4 1 12 31111 6 M78 15000 171 00I 002 54105 025 2222100 2022 00000000 003 002 003</t>
  </si>
  <si>
    <t>VEHICULO NUEVO MARCA TOYOTA MODELO 2022</t>
  </si>
  <si>
    <t>1 2 4 4 1 12 31111 6 M78 15000 171 00I 002 54105 025 2222100 2023</t>
  </si>
  <si>
    <t>1 2 4 4 1 12 31111 6 M78 15000 171 00I 002 54105 025 2222100 2023 00000000</t>
  </si>
  <si>
    <t>1 2 4 4 1 12 31111 6 M78 15000 171 00I 002 54105 025 2222100 2023 00000000 003</t>
  </si>
  <si>
    <t>1 2 4 4 1 12 31111 6 M78 15000 171 00I 002 54105 025 2222100 2023 00000000 003 002</t>
  </si>
  <si>
    <t>1 2 4 4 1 12 31111 6 M78 15000 171 00I 002 54105 025 2222100 2023 00000000 003 002 003</t>
  </si>
  <si>
    <t>1 2 4 4 1 12 31111 6 M78 15000 171 00I 002 54105 025 2222100 2024</t>
  </si>
  <si>
    <t>1 2 4 4 1 12 31111 6 M78 15000 171 00I 002 54105 025 2222100 2024 00000000</t>
  </si>
  <si>
    <t>1 2 4 4 1 12 31111 6 M78 15000 171 00I 002 54105 025 2222100 2024 00000000 003</t>
  </si>
  <si>
    <t>1 2 4 4 1 12 31111 6 M78 15000 171 00I 002 54105 025 2222100 2024 00000000 003 002</t>
  </si>
  <si>
    <t>1 2 4 4 1 12 31111 6 M78 15000 171 00I 002 54105 025 2222100 2024 00000000 003 002 004</t>
  </si>
  <si>
    <t>VEHICULO NUEVO MARCA DODGE RAM 700 LARAMIE CREW CAB, TRASNMISION MANUAL, COLOR  ROJO COLORADO MODELO 2023 }, SERIE 9BD281H72PYY72683, 4 PUERTAS</t>
  </si>
  <si>
    <t>1 2 4 6</t>
  </si>
  <si>
    <t>MAQUINARIA, OTROS EQUIPOS Y HERRAMIENTAS</t>
  </si>
  <si>
    <t>1 2 4 6 5</t>
  </si>
  <si>
    <t>EQUIPO DE COMUNICACIÓN Y TELECOMUNICACIÓN</t>
  </si>
  <si>
    <t>1 2 4 6 5 12</t>
  </si>
  <si>
    <t>1 2 4 6 5 12 31111</t>
  </si>
  <si>
    <t>1 2 4 6 5 12 31111 6</t>
  </si>
  <si>
    <t>1 2 4 6 5 12 31111 6 M78</t>
  </si>
  <si>
    <t>1 2 4 6 5 12 31111 6 M78 00000</t>
  </si>
  <si>
    <t>1 2 4 6 5 12 31111 6 M78 00000 003</t>
  </si>
  <si>
    <t>1 2 4 6 5 12 31111 6 M78 00000 003 001</t>
  </si>
  <si>
    <t>1 2 4 6 5 12 31111 6 M78 00000 003 001 001</t>
  </si>
  <si>
    <t>1 2 4 6 5 12 31111 6 M78 00000 003 001 001 00001</t>
  </si>
  <si>
    <t>RADIO TRANCEPTOR PORTATIL EN BANDA VHF 16 CANALES</t>
  </si>
  <si>
    <t>1 2 4 6 5 12 31111 6 M78 00000 003 001 001 00002</t>
  </si>
  <si>
    <t>5 RADIOS PORTATIL KEWWOOD16 CANALES</t>
  </si>
  <si>
    <t>1 2 4 6 5 12 31111 6 M78 00000 003 001 001 00003</t>
  </si>
  <si>
    <t>6 RADIOS PORTATIL ICOM16 CANALES</t>
  </si>
  <si>
    <t>1 2 4 6 5 12 31111 6 M78 00000 003 001 001 00004</t>
  </si>
  <si>
    <t>REPETIDOR KEWWOD</t>
  </si>
  <si>
    <t>1 2 4 6 5 12 31111 6 M78 00000 003 001 001 00005</t>
  </si>
  <si>
    <t>2 RADIOS PORTATIL KEWWOOD</t>
  </si>
  <si>
    <t>1 2 4 6 5 12 31111 6 M78 15000</t>
  </si>
  <si>
    <t>1 2 4 6 5 12 31111 6 M78 15000 171</t>
  </si>
  <si>
    <t>1 2 4 6 5 12 31111 6 M78 15000 171 00I</t>
  </si>
  <si>
    <t>1 2 4 6 5 12 31111 6 M78 15000 171 00I 002</t>
  </si>
  <si>
    <t>1 2 4 6 5 12 31111 6 M78 15000 171 00I 002 56501</t>
  </si>
  <si>
    <t>EQUIPOS Y APARATOS DE COMUNICACIONES Y TELECOMUNICACIONES.</t>
  </si>
  <si>
    <t>1 2 4 6 5 12 31111 6 M78 15000 171 00I 002 56501 025</t>
  </si>
  <si>
    <t>1 2 4 6 5 12 31111 6 M78 15000 171 00I 002 56501 025 2112000</t>
  </si>
  <si>
    <t>1 2 4 6 5 12 31111 6 M78 15000 171 00I 002 56501 025 2112000 2019</t>
  </si>
  <si>
    <t>1 2 4 6 5 12 31111 6 M78 15000 171 00I 002 56501 025 2112000 2019 00000000</t>
  </si>
  <si>
    <t>1 2 4 6 5 12 31111 6 M78 15000 171 00I 002 56501 025 2112000 2019 00000000 003</t>
  </si>
  <si>
    <t>1 2 4 6 5 12 31111 6 M78 15000 171 00I 002 56501 025 2112000 2019 00000000 003 015</t>
  </si>
  <si>
    <t>DIRECION SEGURIDAD PUBLICA</t>
  </si>
  <si>
    <t>1 2 4 6 5 12 31111 6 M78 15000 171 00I 002 56501 025 2112000 2019 00000000 003 015 001</t>
  </si>
  <si>
    <t>10 RADIOS PORTATIL ICOM, ANTENA,BATERIA Y CARGADOR.</t>
  </si>
  <si>
    <t>1 2 4 6 5 12 31111 6 M78 15000 171 00I 002 56501 025 2112000 2024</t>
  </si>
  <si>
    <t>1 2 4 6 5 12 31111 6 M78 15000 171 00I 002 56501 025 2112000 2024 00000000</t>
  </si>
  <si>
    <t>1 2 4 6 5 12 31111 6 M78 15000 171 00I 002 56501 025 2112000 2024 00000000 003</t>
  </si>
  <si>
    <t>1 2 4 6 5 12 31111 6 M78 15000 171 00I 002 56501 025 2112000 2024 00000000 003 015</t>
  </si>
  <si>
    <t>1 2 4 6 5 12 31111 6 M78 15000 171 00I 002 56501 025 2112000 2024 00000000 003 015 002</t>
  </si>
  <si>
    <t>2 RADIOS PORTATIL ICOM, ICF 3003 5 WATTS, 16 CANALES, SERIE58019761 58020042</t>
  </si>
  <si>
    <t>1 2 4 6 5 12 31111 6 M78 15000 171 00I 002 56501 025 2112000 2024 00000000 003 015 003</t>
  </si>
  <si>
    <t>1 RADIOS PORTATIL ICOM, MODELO ICF 30215 S 5 WATTS, 126 CANALES, SERIE 4120654</t>
  </si>
  <si>
    <t>1 2 4 6 5 12 31111 6 M78 15000 171 00I 002 56501 025 2112000 2024 00000000 003 015 004</t>
  </si>
  <si>
    <t>1 RADIOS PORTATIL ICOM, MODELO ICF 3103D DIGITAL 5 WATTS, 16 CANALES, SERIE 13004960-1</t>
  </si>
  <si>
    <t>1 2 5</t>
  </si>
  <si>
    <t>ACTIVOS INTANGIBLES</t>
  </si>
  <si>
    <t>1 2 5 1</t>
  </si>
  <si>
    <t>SOFTWARE</t>
  </si>
  <si>
    <t>1 2 5 1 1</t>
  </si>
  <si>
    <t>1 2 5 1 1 12</t>
  </si>
  <si>
    <t>1 2 5 1 1 12 31111</t>
  </si>
  <si>
    <t>1 2 5 1 1 12 31111 6</t>
  </si>
  <si>
    <t>1 2 5 1 1 12 31111 6 M78</t>
  </si>
  <si>
    <t>1 2 5 1 1 12 31111 6 M78 07000</t>
  </si>
  <si>
    <t>1 2 5 1 1 12 31111 6 M78 07000 151</t>
  </si>
  <si>
    <t>1 2 5 1 1 12 31111 6 M78 07000 151 00C</t>
  </si>
  <si>
    <t>1 2 5 1 1 12 31111 6 M78 07000 151 00C 002</t>
  </si>
  <si>
    <t>1 2 5 1 1 12 31111 6 M78 07000 151 00C 002 59101</t>
  </si>
  <si>
    <t>SOFTWARE.</t>
  </si>
  <si>
    <t>1 2 5 1 1 12 31111 6 M78 07000 151 00C 002 59101 015</t>
  </si>
  <si>
    <t>1 2 5 1 1 12 31111 6 M78 07000 151 00C 002 59101 015 2225300</t>
  </si>
  <si>
    <t>PROGRAMAS DE INFORMÁTICA Y BASE DE DATOS</t>
  </si>
  <si>
    <t>1 2 5 1 1 12 31111 6 M78 07000 151 00C 002 59101 015 2225300 2019</t>
  </si>
  <si>
    <t>1 2 5 1 1 12 31111 6 M78 07000 151 00C 002 59101 015 2225300 2019 00000000</t>
  </si>
  <si>
    <t>1 2 5 1 1 12 31111 6 M78 07000 151 00C 002 59101 015 2225300 2019 00000000 001</t>
  </si>
  <si>
    <t>1 2 5 1 1 12 31111 6 M78 07000 151 00C 002 59101 015 2225300 2019 00000000 001 009</t>
  </si>
  <si>
    <t>1 2 5 1 1 12 31111 6 M78 07000 151 00C 002 59101 015 2225300 2019 00000000 001 009 001</t>
  </si>
  <si>
    <t>LICENCIA DE USO POR ESCRITO DEL SISTEMA, 1 SENTINEL (LLAVE DE PROTECCION).</t>
  </si>
  <si>
    <t>1 2 6</t>
  </si>
  <si>
    <t>DEPRECIACIÓN, DETERIORO Y AMORTIZACIÓN ACUMULADA DE BIENES</t>
  </si>
  <si>
    <t>1 2 7</t>
  </si>
  <si>
    <t>ACTIVOS DIFERIDOS</t>
  </si>
  <si>
    <t>1 2 8</t>
  </si>
  <si>
    <t>ESTIMACIÓN POR PÉRDIDA O DETERIORO DE ACTIVOS NO CIRCULANTES</t>
  </si>
  <si>
    <t>1 2 9</t>
  </si>
  <si>
    <t>OTROS ACTIVOS NO CIRCULANTES</t>
  </si>
  <si>
    <t>2</t>
  </si>
  <si>
    <t>PASIVO</t>
  </si>
  <si>
    <t>2 1</t>
  </si>
  <si>
    <t>PASIVO CIRCULANTE</t>
  </si>
  <si>
    <t>2 1 1</t>
  </si>
  <si>
    <t>CUENTAS POR PAGAR A CORTO PLAZO</t>
  </si>
  <si>
    <t>2 1 1 1</t>
  </si>
  <si>
    <t>SERVICIOS PERSONALES POR PAGAR A CORTO PLAZO</t>
  </si>
  <si>
    <t>2 1 1 1 1</t>
  </si>
  <si>
    <t>REMUNERACIÓN POR PAGAR AL PERSONAL DE CARÁCTER PERMANENTE A CP</t>
  </si>
  <si>
    <t>2 1 1 1 1 12</t>
  </si>
  <si>
    <t>2 1 1 1 1 12 31111</t>
  </si>
  <si>
    <t>2 1 1 1 1 12 31111 6</t>
  </si>
  <si>
    <t>2 1 1 1 1 12 31111 6 M78</t>
  </si>
  <si>
    <t>2 1 1 1 1 12 31111 6 M78 00001</t>
  </si>
  <si>
    <t>2 1 1 1 1 12 31111 6 M78 00001 007</t>
  </si>
  <si>
    <t>SUELDOS POR PAGAR</t>
  </si>
  <si>
    <t>2 1 1 1 1 12 31111 6 M78 00003</t>
  </si>
  <si>
    <t>FONDO PARA EL FORTALECIMIENTO DE LOS MUNICIPIOS</t>
  </si>
  <si>
    <t>2 1 1 1 1 12 31111 6 M78 00003 002</t>
  </si>
  <si>
    <t>COMISARIOS MUNICIPALES</t>
  </si>
  <si>
    <t>2 1 1 1 1 12 31111 6 M78 00003 006</t>
  </si>
  <si>
    <t>2 1 1 2</t>
  </si>
  <si>
    <t>PROVEEDORES POR PAGAR A CORTO PLAZO</t>
  </si>
  <si>
    <t>2 1 1 2 1</t>
  </si>
  <si>
    <t>DEUDAS POR ADQUISICIÓN DE BIENES Y CONTRATACIÓN DE SERVICIOS POR PAGAR A CP</t>
  </si>
  <si>
    <t>2 1 1 2 1 12</t>
  </si>
  <si>
    <t>2 1 1 2 1 12 31111</t>
  </si>
  <si>
    <t>2 1 1 2 1 12 31111 6</t>
  </si>
  <si>
    <t>2 1 1 2 1 12 31111 6 M78</t>
  </si>
  <si>
    <t>2 1 1 2 1 12 31111 6 M78 00001</t>
  </si>
  <si>
    <t>2 1 1 2 1 12 31111 6 M78 00001 001</t>
  </si>
  <si>
    <t>2 1 1 2 1 12 31111 6 M78 00001 003</t>
  </si>
  <si>
    <t>JUAN JESÚS PLATA SÁNCHEZ</t>
  </si>
  <si>
    <t>2 1 1 2 1 12 31111 6 M78 00001 006</t>
  </si>
  <si>
    <t>2 1 1 2 1 12 31111 6 M78 00001 008</t>
  </si>
  <si>
    <t>SECRETARIA DE FINANZAS Y ADMINISTRACIÓN DEL ESTADO DE GUERRERO</t>
  </si>
  <si>
    <t>2 1 1 2 1 12 31111 6 M78 00001 010</t>
  </si>
  <si>
    <t>2 1 1 2 1 12 31111 6 M78 00001 015</t>
  </si>
  <si>
    <t>SERVICIO MONTAÑAS DEL SUR S.A DE C.V</t>
  </si>
  <si>
    <t>2 1 1 2 1 12 31111 6 M78 00001 022</t>
  </si>
  <si>
    <t>HECTOR RICARDO ARRIAGA TAPIA</t>
  </si>
  <si>
    <t>2 1 1 2 1 12 31111 6 M78 00001 024</t>
  </si>
  <si>
    <t>ENRRIQUE GONZALEZ GUERRERO</t>
  </si>
  <si>
    <t>2 1 1 2 1 12 31111 6 M78 00001 026</t>
  </si>
  <si>
    <t>BERTA BARRERA GUTIERREZ</t>
  </si>
  <si>
    <t>2 1 1 2 1 12 31111 6 M78 00001 030</t>
  </si>
  <si>
    <t>ELEUTERIO HERNANDEZ RAMIREZ</t>
  </si>
  <si>
    <t>2 1 1 2 1 12 31111 6 M78 00001 042</t>
  </si>
  <si>
    <t>ANA SHASHENKA RUIZ HERNANDEZ</t>
  </si>
  <si>
    <t>2 1 1 2 1 12 31111 6 M78 00001 067</t>
  </si>
  <si>
    <t>JOSE MIGUEL DIAZ HERNANDEZ</t>
  </si>
  <si>
    <t>2 1 1 2 1 12 31111 6 M78 00001 087</t>
  </si>
  <si>
    <t>JOSE CARLOS BELLO SILVA</t>
  </si>
  <si>
    <t>2 1 1 2 1 12 31111 6 M78 00001 091</t>
  </si>
  <si>
    <t>JOSE ALBERTO SANCHEZ CRESPO</t>
  </si>
  <si>
    <t>2 1 1 2 1 12 31111 6 M78 00001 093</t>
  </si>
  <si>
    <t>JESUS SAIDT HERNANDEZ RIVERA</t>
  </si>
  <si>
    <t>2 1 1 2 1 12 31111 6 M78 00001 094</t>
  </si>
  <si>
    <t>2 1 1 2 1 12 31111 6 M78 00001 115</t>
  </si>
  <si>
    <t>AUTOMOTRIZ TOY, S.A. DE C.V.</t>
  </si>
  <si>
    <t>2 1 1 2 1 12 31111 6 M78 00001 118</t>
  </si>
  <si>
    <t>LUZ SELENA BOLAÑOS GUZMAN</t>
  </si>
  <si>
    <t>2 1 1 2 1 12 31111 6 M78 00001 123</t>
  </si>
  <si>
    <t>COMERCIALIZADORA BEROM, S.A. DE C.V.</t>
  </si>
  <si>
    <t>2 1 1 2 1 12 31111 6 M78 00001 124</t>
  </si>
  <si>
    <t>JONATHAN RICARDO GONZALEZ GARDUÑO</t>
  </si>
  <si>
    <t>2 1 1 2 1 12 31111 6 M78 00001 128</t>
  </si>
  <si>
    <t>ESTEBAN REY RAMOS HOLANDA</t>
  </si>
  <si>
    <t>2 1 1 2 1 12 31111 6 M78 00001 130</t>
  </si>
  <si>
    <t>DIEGO CASTRO MARTINEZ</t>
  </si>
  <si>
    <t>2 1 1 2 1 12 31111 6 M78 00001 131</t>
  </si>
  <si>
    <t>MIGUEL ANGEL SALMERON GARCIA</t>
  </si>
  <si>
    <t>2 1 1 2 1 12 31111 6 M78 00001 132</t>
  </si>
  <si>
    <t>IVAN ROMERO GUEVARA</t>
  </si>
  <si>
    <t>2 1 1 2 1 12 31111 6 M78 00001 136</t>
  </si>
  <si>
    <t>VIOLETA ADAME FERNAN</t>
  </si>
  <si>
    <t>2 1 1 2 1 12 31111 6 M78 00001 139</t>
  </si>
  <si>
    <t>CHRISTIAN GRE ADAME TEOFILO</t>
  </si>
  <si>
    <t>2 1 1 2 1 12 31111 6 M78 00001 141</t>
  </si>
  <si>
    <t>ULISES HERNANDEZ TEPEC</t>
  </si>
  <si>
    <t>2 1 1 2 1 12 31111 6 M78 00001 142</t>
  </si>
  <si>
    <t>MONICA MOTA TENORIO</t>
  </si>
  <si>
    <t>2 1 1 2 1 12 31111 6 M78 00001 143</t>
  </si>
  <si>
    <t>CINTHYA GUADALUPE SANCHEZ CARRILLO</t>
  </si>
  <si>
    <t>2 1 1 2 1 12 31111 6 M78 00001 144</t>
  </si>
  <si>
    <t>DULCE BELEN GOMEZ GERVACIO</t>
  </si>
  <si>
    <t>2 1 1 2 1 12 31111 6 M78 00001 145</t>
  </si>
  <si>
    <t>LUIS GERARDO CARMONA DELGADO</t>
  </si>
  <si>
    <t>2 1 1 2 1 12 31111 6 M78 00001 146</t>
  </si>
  <si>
    <t>ABIGAIL SALGADO SANDOVAL</t>
  </si>
  <si>
    <t>2 1 1 2 1 12 31111 6 M78 00002</t>
  </si>
  <si>
    <t>OBRA PÚBLICA</t>
  </si>
  <si>
    <t>2 1 1 2 1 12 31111 6 M78 00002 004</t>
  </si>
  <si>
    <t>2 1 1 2 1 12 31111 6 M78 00002 023</t>
  </si>
  <si>
    <t>ESMERALDA GARCIA PINEDA</t>
  </si>
  <si>
    <t>2 1 1 2 1 12 31111 6 M78 00002 024</t>
  </si>
  <si>
    <t>RAUL ALEMAN JARAMILLO</t>
  </si>
  <si>
    <t>2 1 1 2 1 12 31111 6 M78 00002 025</t>
  </si>
  <si>
    <t>CHRISTIAN GREGORIO ADAME TEOFILO</t>
  </si>
  <si>
    <t>2 1 1 2 1 12 31111 6 M78 00003</t>
  </si>
  <si>
    <t>2 1 1 2 1 12 31111 6 M78 00003 001</t>
  </si>
  <si>
    <t>2 1 1 2 1 12 31111 6 M78 00003 002</t>
  </si>
  <si>
    <t>C.F.E SUMINISTRADOR DE SERVICOS BASICOS.</t>
  </si>
  <si>
    <t>2 1 1 2 1 12 31111 6 M78 00003 003</t>
  </si>
  <si>
    <t>SERVICIOS MONTAÑAS DEL SUR S.A. DE C.V.</t>
  </si>
  <si>
    <t>2 1 1 2 1 12 31111 6 M78 00003 038</t>
  </si>
  <si>
    <t>2 1 1 2 1 12 31111 6 M78 00003 048</t>
  </si>
  <si>
    <t>2 1 1 2 1 12 31111 6 M78 00003 053</t>
  </si>
  <si>
    <t>2 1 1 2 1 12 31111 6 M78 00003 054</t>
  </si>
  <si>
    <t>2 1 1 2 1 12 31111 6 M78 00003 056</t>
  </si>
  <si>
    <t>2 1 1 2 1 12 31111 6 M78 00003 062</t>
  </si>
  <si>
    <t>DISEÑO RENTA Y CONSTRUCCION S.A. DE C.V.</t>
  </si>
  <si>
    <t>2 1 1 2 1 12 31111 6 M78 00003 063</t>
  </si>
  <si>
    <t>2 1 1 2 1 12 31111 6 M78 00003 066</t>
  </si>
  <si>
    <t>2 1 1 2 1 12 31111 6 M78 00003 073</t>
  </si>
  <si>
    <t>ULISES HERNÁNDEZ TEPEC</t>
  </si>
  <si>
    <t>2 1 1 2 1 12 31111 6 M78 00003 074</t>
  </si>
  <si>
    <t>GRUPO EMPRESARIAL LA LOMA DE GUERRERO</t>
  </si>
  <si>
    <t>2 1 1 2 1 12 31111 6 M78 00003 075</t>
  </si>
  <si>
    <t>SANDRA IVETTEVILLALVA BARCA</t>
  </si>
  <si>
    <t>2 1 1 2 1 12 31111 6 M78 00003 076</t>
  </si>
  <si>
    <t>2 1 1 2 1 12 31111 6 M78 00003 077</t>
  </si>
  <si>
    <t>2 1 1 2 1 12 31111 6 M78 00003 078</t>
  </si>
  <si>
    <t>2 1 1 2 1 12 31111 6 M78 00003 079</t>
  </si>
  <si>
    <t>ALEJANDRO SOTO SANCHEZ</t>
  </si>
  <si>
    <t>2 1 1 2 1 12 31111 6 M78 00005</t>
  </si>
  <si>
    <t>RECURSOS FISCALES</t>
  </si>
  <si>
    <t>2 1 1 2 1 12 31111 6 M78 00005 002</t>
  </si>
  <si>
    <t>2 1 1 2 1 12 31111 6 M78 00005 048</t>
  </si>
  <si>
    <t>2 1 1 2 1 12 31111 6 M78 00005 049</t>
  </si>
  <si>
    <t>SERVICIO MONTAÑAS DEL SUR</t>
  </si>
  <si>
    <t>2 1 1 2 1 12 31111 6 M78 00005 051</t>
  </si>
  <si>
    <t>2 1 1 2 1 12 31111 6 M78 00005 053</t>
  </si>
  <si>
    <t>NICOLAS MERINO MATEO</t>
  </si>
  <si>
    <t>2 1 1 2 1 12 31111 6 M78 00005 054</t>
  </si>
  <si>
    <t>2 1 1 3</t>
  </si>
  <si>
    <t>CONTRATISTAS POR OBRAS PÚBLICAS POR PAGAR A CORTO PLAZO</t>
  </si>
  <si>
    <t>2 1 1 3 1</t>
  </si>
  <si>
    <t>CONTRATISTAS POR OBRAS PÚBLICAS EN BIENES DE DOMINIO PÚBLICO POR PAGAR A CP</t>
  </si>
  <si>
    <t>2 1 1 3 1 01</t>
  </si>
  <si>
    <t>F1 CONSTRUCCIONES</t>
  </si>
  <si>
    <t>2 1 1 3 1 12</t>
  </si>
  <si>
    <t>2 1 1 3 1 12 31111</t>
  </si>
  <si>
    <t>2 1 1 3 1 12 31111 6</t>
  </si>
  <si>
    <t>2 1 1 3 1 12 31111 6 M78</t>
  </si>
  <si>
    <t>2 1 1 3 1 12 31111 6 M78 00002</t>
  </si>
  <si>
    <t>FONDO DE APORTACIONES PARA INFRAESTRUCTURA SOCIAL MUNICIPAL</t>
  </si>
  <si>
    <t>2 1 1 3 1 12 31111 6 M78 00002 003</t>
  </si>
  <si>
    <t>INGENIERIA RESPONSABLE S.A. DE C.V.</t>
  </si>
  <si>
    <t>2 1 1 3 1 12 31111 6 M78 00002 004</t>
  </si>
  <si>
    <t>FI CONSTRUCCIONES S.A. DE C.V.</t>
  </si>
  <si>
    <t>2 1 1 3 1 12 31111 6 M78 00002 008</t>
  </si>
  <si>
    <t>LUZAJO DISEÑO Y CONSTRUCCION SA DE CV</t>
  </si>
  <si>
    <t>2 1 1 3 1 12 31111 6 M78 00002 009</t>
  </si>
  <si>
    <t>PROYECCIONES GEOMETRICAS Y CONSTRUCCIONES GAR HER SA CV</t>
  </si>
  <si>
    <t>2 1 1 3 1 12 31111 6 M78 00002 010</t>
  </si>
  <si>
    <t>INPRO MATCO SA DE CV</t>
  </si>
  <si>
    <t>2 1 1 3 1 12 31111 6 M78 00002 013</t>
  </si>
  <si>
    <t>LUIS  ALBERTO MARTINEZ VAZQUEZ</t>
  </si>
  <si>
    <t>2 1 1 3 1 12 31111 6 M78 00002 015</t>
  </si>
  <si>
    <t>CAMINOS Y CONSTRUCCIONES JHODAR, S.A. DE C.V.</t>
  </si>
  <si>
    <t>2 1 1 3 1 12 31111 6 M78 00002 018</t>
  </si>
  <si>
    <t>JORGE NERI MARTINEZ VAZQUEZ</t>
  </si>
  <si>
    <t>2 1 1 5</t>
  </si>
  <si>
    <t>TRANSFERENCIAS OTORGADAS POR PAGAR A CORTO PLAZO</t>
  </si>
  <si>
    <t>2 1 1 5 6</t>
  </si>
  <si>
    <t>AYUDAS SOCIALES</t>
  </si>
  <si>
    <t>2 1 1 5 6 12</t>
  </si>
  <si>
    <t>2 1 1 5 6 12 31111</t>
  </si>
  <si>
    <t>2 1 1 5 6 12 31111 6</t>
  </si>
  <si>
    <t>2 1 1 5 6 12 31111 6 M78</t>
  </si>
  <si>
    <t>2 1 1 5 6 12 31111 6 M78 00001</t>
  </si>
  <si>
    <t>2 1 1 5 6 12 31111 6 M78 00001 002</t>
  </si>
  <si>
    <t>2 1 1 5 6 12 31111 6 M78 00001 007</t>
  </si>
  <si>
    <t>VICENTE MORALES CARBALLO</t>
  </si>
  <si>
    <t>2 1 1 5 6 12 31111 6 M78 00001 008</t>
  </si>
  <si>
    <t>JUAN GUITIERREZ CERENO</t>
  </si>
  <si>
    <t>2 1 1 5 6 12 31111 6 M78 00001 013</t>
  </si>
  <si>
    <t>ERNESTO RAMOS BERNAL</t>
  </si>
  <si>
    <t>2 1 1 5 6 12 31111 6 M78 00001 014</t>
  </si>
  <si>
    <t>LUCIA CARBALLO RODRIGUEZ</t>
  </si>
  <si>
    <t>2 1 1 5 6 12 31111 6 M78 00001 015</t>
  </si>
  <si>
    <t>REYNA HERNANDEZ RIOS</t>
  </si>
  <si>
    <t>2 1 1 5 6 12 31111 6 M78 00001 016</t>
  </si>
  <si>
    <t>2 1 1 5 6 12 31111 6 M78 00001 017</t>
  </si>
  <si>
    <t>MARBELLA ORTEGA BAUTISTA</t>
  </si>
  <si>
    <t>2 1 1 5 6 12 31111 6 M78 00001 018</t>
  </si>
  <si>
    <t>BLANCA ISABEL GUERRERO SANATAN</t>
  </si>
  <si>
    <t>2 1 1 5 6 12 31111 6 M78 00001 019</t>
  </si>
  <si>
    <t>2 1 1 5 6 12 31111 6 M78 00001 020</t>
  </si>
  <si>
    <t>JOSE ALBERTO CAMPOS CRESPO</t>
  </si>
  <si>
    <t>2 1 1 5 6 12 31111 6 M78 00001 021</t>
  </si>
  <si>
    <t>2 1 1 5 6 12 31111 6 M78 00001 022</t>
  </si>
  <si>
    <t>2 1 1 5 6 12 31111 6 M78 00001 023</t>
  </si>
  <si>
    <t>2 1 1 5 6 12 31111 6 M78 00001 024</t>
  </si>
  <si>
    <t>EUGENIO HERNANDEZ JAIMES</t>
  </si>
  <si>
    <t>2 1 1 5 6 12 31111 6 M78 00003</t>
  </si>
  <si>
    <t>FONDO DE APORTACIONES PARA LOS MUNICIPIOS</t>
  </si>
  <si>
    <t>2 1 1 5 6 12 31111 6 M78 00003 001</t>
  </si>
  <si>
    <t>AYUDAS SOCIALES A PERSONAS</t>
  </si>
  <si>
    <t>2 1 1 7</t>
  </si>
  <si>
    <t>RETENCIONES Y CONTRIBUCIONES POR PAGAR A CORTO PLAZO</t>
  </si>
  <si>
    <t>2 1 1 7 1</t>
  </si>
  <si>
    <t>RETENCIONES DE IMPUESTOS POR PAGAR A CP</t>
  </si>
  <si>
    <t>2 1 1 7 1 12</t>
  </si>
  <si>
    <t>2 1 1 7 1 12 31111</t>
  </si>
  <si>
    <t>2 1 1 7 1 12 31111 6</t>
  </si>
  <si>
    <t>2 1 1 7 1 12 31111 6 M78</t>
  </si>
  <si>
    <t>2 1 1 7 1 12 31111 6 M78 00001</t>
  </si>
  <si>
    <t>2 1 1 7 1 12 31111 6 M78 00001 001</t>
  </si>
  <si>
    <t>ISR GASTO CORRIENTE 2018</t>
  </si>
  <si>
    <t>2 1 1 7 1 12 31111 6 M78 00001 002</t>
  </si>
  <si>
    <t>ISR GASTO CORRIENTE 2019</t>
  </si>
  <si>
    <t>2 1 1 7 1 12 31111 6 M78 00001 003</t>
  </si>
  <si>
    <t>ISR GASTO CORRIENTE 2020</t>
  </si>
  <si>
    <t>2 1 1 7 1 12 31111 6 M78 00001 008</t>
  </si>
  <si>
    <t>ISR OTROS FONDOS (FORTAMUN, OBRA PUBLICA Y CONVENIOS)</t>
  </si>
  <si>
    <t>2 1 1 7 1 12 31111 6 M78 00001 009</t>
  </si>
  <si>
    <t>ISR GASTO CORRIENTE 2022</t>
  </si>
  <si>
    <t>2 1 1 7 1 12 31111 6 M78 00001 009 011</t>
  </si>
  <si>
    <t>GASTO CORRIENTE ISR 2023</t>
  </si>
  <si>
    <t>2 1 1 7 1 12 31111 6 M78 00001 009 012</t>
  </si>
  <si>
    <t>GASTO CORRIENTE ISR 2024</t>
  </si>
  <si>
    <t>2 1 1 7 1 12 31111 6 M78 00001 012</t>
  </si>
  <si>
    <t>ISR FORTAMUN2024</t>
  </si>
  <si>
    <t>2 1 1 7 1 12 31111 6 M78 00003</t>
  </si>
  <si>
    <t>2 1 1 7 1 12 31111 6 M78 00003 003</t>
  </si>
  <si>
    <t>ISR 2020</t>
  </si>
  <si>
    <t>2 1 1 7 1 12 31111 6 M78 00003 004</t>
  </si>
  <si>
    <t>ISR 2021</t>
  </si>
  <si>
    <t>2 1 1 7 1 12 31111 6 M78 00003 005</t>
  </si>
  <si>
    <t>ISR 2022</t>
  </si>
  <si>
    <t>2 1 1 7 1 12 31111 6 M78 00003 006</t>
  </si>
  <si>
    <t>ISR 2023</t>
  </si>
  <si>
    <t>2 1 1 7 1 12 31111 6 M78 00003 007</t>
  </si>
  <si>
    <t>ISR 2024</t>
  </si>
  <si>
    <t>2 1 1 7 3</t>
  </si>
  <si>
    <t>IMPUESTO Y DERECHOS POR PAGAR A CP</t>
  </si>
  <si>
    <t>2 1 1 7 3 12</t>
  </si>
  <si>
    <t>2 1 1 7 3 12 31111</t>
  </si>
  <si>
    <t>2 1 1 7 3 12 31111 6</t>
  </si>
  <si>
    <t>2 1 1 7 3 12 31111 6 M78</t>
  </si>
  <si>
    <t>2 1 1 7 3 12 31111 6 M78 00005</t>
  </si>
  <si>
    <t>2 1 1 7 3 12 31111 6 M78 00005 001</t>
  </si>
  <si>
    <t>10% POR ADMINISTRACION DEL REGISTRO CIVIL</t>
  </si>
  <si>
    <t>2 1 1 7 3 12 31111 6 M78 00005 002</t>
  </si>
  <si>
    <t>15 % DE CONTRIBUCION ESTATAL</t>
  </si>
  <si>
    <t>2 1 1 7 5</t>
  </si>
  <si>
    <t>IMPUESTOS SOBRE NÓMINA Y OTROS QUE DERIVEN DE UNA RELACIÓN LABORAL POR PAGAR A CP</t>
  </si>
  <si>
    <t>2 1 1 7 5 12</t>
  </si>
  <si>
    <t>2 1 1 7 5 12 31111</t>
  </si>
  <si>
    <t>2 1 1 7 5 12 31111 6</t>
  </si>
  <si>
    <t>2 1 1 7 5 12 31111 6 M78</t>
  </si>
  <si>
    <t>2 1 1 7 5 12 31111 6 M78 00002</t>
  </si>
  <si>
    <t>FONDO DE APORTACIONES PARA LA INFRAESRUCTURA SOCIAL MUNICIPAL</t>
  </si>
  <si>
    <t>2 1 1 7 5 12 31111 6 M78 00002 003</t>
  </si>
  <si>
    <t>5% AL MILLAR 2020</t>
  </si>
  <si>
    <t>2 1 1 7 5 12 31111 6 M78 00002 004</t>
  </si>
  <si>
    <t>5% AL MILLAR 2021</t>
  </si>
  <si>
    <t>2 1 1 7 5 12 31111 6 M78 00002 005</t>
  </si>
  <si>
    <t>5% AL MILLAR 2022</t>
  </si>
  <si>
    <t>2 1 1 7 5 12 31111 6 M78 00002 006</t>
  </si>
  <si>
    <t>5% AL MILLAR 2023</t>
  </si>
  <si>
    <t>2 1 1 7 5 12 31111 6 M78 00002 007</t>
  </si>
  <si>
    <t>5% AL MILLAR 2024</t>
  </si>
  <si>
    <t>2 1 1 7 9</t>
  </si>
  <si>
    <t>OTRAS RETENCIONES Y CONTRIBUCIONES POR PAGAR A CP</t>
  </si>
  <si>
    <t>2 1 1 9</t>
  </si>
  <si>
    <t>OTRAS CUENTAS POR PAGAR A CORTO PLAZO</t>
  </si>
  <si>
    <t>2 1 1 9 5</t>
  </si>
  <si>
    <t>PRÉSTAMOS RECIBIDOS A CP</t>
  </si>
  <si>
    <t>2 1 1 9 5 12</t>
  </si>
  <si>
    <t>2 1 1 9 5 12 31111</t>
  </si>
  <si>
    <t>2 1 1 9 5 12 31111 6</t>
  </si>
  <si>
    <t>2 1 1 9 5 12 31111 6 M78</t>
  </si>
  <si>
    <t>2 1 1 9 5 12 31111 6 M78 00008</t>
  </si>
  <si>
    <t>FORTAMUN 2023 POR PRESTAMOS A INGRESOS FISCALES</t>
  </si>
  <si>
    <t>2 1 1 9 9</t>
  </si>
  <si>
    <t>OTRAS CUENTAS POR PAGAR A CP</t>
  </si>
  <si>
    <t>2 1 1 9 9 12</t>
  </si>
  <si>
    <t>2 1 1 9 9 12 31111</t>
  </si>
  <si>
    <t>2 1 1 9 9 12 31111 6</t>
  </si>
  <si>
    <t>2 1 1 9 9 12 31111 6 M78</t>
  </si>
  <si>
    <t>2 1 1 9 9 12 31111 6 M78 00001</t>
  </si>
  <si>
    <t>2 1 1 9 9 12 31111 6 M78 00001 001</t>
  </si>
  <si>
    <t>2 1 1 9 9 12 31111 6 M78 00001 001 003</t>
  </si>
  <si>
    <t>FORTAMUN POR PRESTAMOS</t>
  </si>
  <si>
    <t>2 1 1 9 9 12 31111 6 M78 00001 001 004</t>
  </si>
  <si>
    <t>TRASPASO DE FONDOS DEL FORTAMUN PARA PAGO ISR 2022</t>
  </si>
  <si>
    <t>2 1 1 9 9 12 31111 6 M78 00001 001 005</t>
  </si>
  <si>
    <t>TRASPASO DE FONDOS DE INGRESOS FISCALES</t>
  </si>
  <si>
    <t>2 1 1 9 9 12 31111 6 M78 00003</t>
  </si>
  <si>
    <t>FORTAMUN</t>
  </si>
  <si>
    <t>2 1 1 9 9 12 31111 6 M78 00003 001</t>
  </si>
  <si>
    <t>2 1 1 9 9 12 31111 6 M78 00003 001 002</t>
  </si>
  <si>
    <t>GASTO CORRIENTRE 2022</t>
  </si>
  <si>
    <t>2 1 1 9 9 12 31111 6 M78 00003 001 004</t>
  </si>
  <si>
    <t>GASTO CORRIENTRE 2024</t>
  </si>
  <si>
    <t>2 1 2</t>
  </si>
  <si>
    <t>DOCUMENTOS POR PAGAR A CORTO PLAZO</t>
  </si>
  <si>
    <t>2 1 3</t>
  </si>
  <si>
    <t>PORCIÓN A CORTO PLAZO DE LA DEUDA PÚBLICA A LARGO PLAZO</t>
  </si>
  <si>
    <t>2 1 4</t>
  </si>
  <si>
    <t>TÍTULOS Y VALORES A CORTO PLAZO</t>
  </si>
  <si>
    <t>2 1 5</t>
  </si>
  <si>
    <t>PASIVOS DIFERIDOS A CORTO PLAZO</t>
  </si>
  <si>
    <t>2 1 6</t>
  </si>
  <si>
    <t>FONDOS Y BIENES DE TERCEROS EN GARANTÍA Y/O ADMINISTRACIÓN A CORTO PLAZO</t>
  </si>
  <si>
    <t>2 1 7</t>
  </si>
  <si>
    <t>PROVISIONES A CORTO PLAZO</t>
  </si>
  <si>
    <t>2 1 9</t>
  </si>
  <si>
    <t>OTROS PASIVOS A CORTO PLAZO</t>
  </si>
  <si>
    <t>2 1 9 2</t>
  </si>
  <si>
    <t>RECAUDACIÓN POR PARTICIPAR</t>
  </si>
  <si>
    <t>2 1 9 2 1</t>
  </si>
  <si>
    <t>INGRESOS COORDINADOS DERIVADOS DE LA COLABOACIÓN FISCAL</t>
  </si>
  <si>
    <t>2 1 9 2 1 12</t>
  </si>
  <si>
    <t>2 1 9 2 1 12 31111</t>
  </si>
  <si>
    <t>2 1 9 2 1 12 31111 6</t>
  </si>
  <si>
    <t>2 1 9 2 1 12 31111 6 M78</t>
  </si>
  <si>
    <t>2 1 9 2 1 12 31111 6 M78 00001</t>
  </si>
  <si>
    <t>2 1 9 2 1 12 31111 6 M78 00001 002</t>
  </si>
  <si>
    <t>2 1 9 2 1 12 31111 6 M78 00001 002 001</t>
  </si>
  <si>
    <t>FONDO DE RECAUDACION DEL IMPUESTO SOBRE LA RENTA</t>
  </si>
  <si>
    <t>2 2</t>
  </si>
  <si>
    <t>PASIVO NO CIRCULANTE</t>
  </si>
  <si>
    <t>2 2 1</t>
  </si>
  <si>
    <t>CUENTAS POR PAGAR A LARGO PLAZO</t>
  </si>
  <si>
    <t>2 2 2</t>
  </si>
  <si>
    <t>DOCUMENTOS POR PAGAR A LARGO PLAZO</t>
  </si>
  <si>
    <t>2 2 3</t>
  </si>
  <si>
    <t>DEUDA PÚBLICA A LARGO PLAZO</t>
  </si>
  <si>
    <t>2 2 4</t>
  </si>
  <si>
    <t>PASIVOS DIFERIDOS A LARGO PLAZO</t>
  </si>
  <si>
    <t>2 2 5</t>
  </si>
  <si>
    <t>FONDOS Y BIENES DE TERCEROS EN GARANTÍA Y/O EN ADMINISTRACIÓN A LARGO PLAZO</t>
  </si>
  <si>
    <t>2 2 6</t>
  </si>
  <si>
    <t>PROVISIONES A LARGO PLAZO</t>
  </si>
  <si>
    <t>3</t>
  </si>
  <si>
    <t>HACIENDA PÚBLICA/ PATRIMONIO</t>
  </si>
  <si>
    <t>3 1</t>
  </si>
  <si>
    <t>HACIENDA PÚBLICA/PATRIMONIO CONTRIBUIDO</t>
  </si>
  <si>
    <t>3 1 1</t>
  </si>
  <si>
    <t>APORTACIONES</t>
  </si>
  <si>
    <t>3 1 1 1</t>
  </si>
  <si>
    <t>3 1 1 1 1</t>
  </si>
  <si>
    <t>3 1 1 1 1 12</t>
  </si>
  <si>
    <t>3 1 1 1 1 12 31111</t>
  </si>
  <si>
    <t>3 1 1 1 1 12 31111 6</t>
  </si>
  <si>
    <t>3 1 1 1 1 12 31111 6 M78</t>
  </si>
  <si>
    <t>3 1 1 1 1 12 31111 6 M78 00001</t>
  </si>
  <si>
    <t>3 1 1 1 1 12 31111 6 M78 00002</t>
  </si>
  <si>
    <t>3 1 1 1 1 12 31111 6 M78 00003</t>
  </si>
  <si>
    <t>3 1 2</t>
  </si>
  <si>
    <t>DONACIONES DE CAPITAL</t>
  </si>
  <si>
    <t>3 1 3</t>
  </si>
  <si>
    <t>ACTUALIZACIÓN DE LA HACIENDA PÚBLICA/PATRIMONIO</t>
  </si>
  <si>
    <t>3 2</t>
  </si>
  <si>
    <t>HACIENDA PÚBLICA /PATRIMONIO GENERADO</t>
  </si>
  <si>
    <t>3 2 1</t>
  </si>
  <si>
    <t>RESULTADOS DEL EJERCICIO (AHORRO/ DESAHORRO)</t>
  </si>
  <si>
    <t>3 2 2</t>
  </si>
  <si>
    <t>RESULTADOS DE EJERCICIOS ANTERIORES</t>
  </si>
  <si>
    <t>3 2 2 1</t>
  </si>
  <si>
    <t>3 2 2 1 1</t>
  </si>
  <si>
    <t>RESULTADOS DEL EJERCICIO ANTERIOR</t>
  </si>
  <si>
    <t>3 2 2 1 1 12</t>
  </si>
  <si>
    <t>3 2 2 1 1 12 31111</t>
  </si>
  <si>
    <t>3 2 2 1 1 12 31111 6</t>
  </si>
  <si>
    <t>3 2 2 1 1 12 31111 6 M78</t>
  </si>
  <si>
    <t>3 2 2 1 1 12 31111 6 M78 00000</t>
  </si>
  <si>
    <t>3 2 2 1 1 12 31111 6 M78 00000 001</t>
  </si>
  <si>
    <t>3 2 2 1 1 12 31111 6 M78 00000 005</t>
  </si>
  <si>
    <t>3 2 2 1 1 12 31111 6 M78 00002</t>
  </si>
  <si>
    <t>3 2 2 1 1 12 31111 6 M78 00003</t>
  </si>
  <si>
    <t>3 2 3</t>
  </si>
  <si>
    <t>REVALÚOS</t>
  </si>
  <si>
    <t>3 2 4</t>
  </si>
  <si>
    <t>RESERVAS</t>
  </si>
  <si>
    <t>3 2 5</t>
  </si>
  <si>
    <t>RECTIFICACIONES DE RESULTADOS DE EJERCICIOS ANTERIORES</t>
  </si>
  <si>
    <t>3 3</t>
  </si>
  <si>
    <t>EXCESO O INSUFICIENCIA EN LA ACTUALIZACIÓN DE LA HACIENDA PÚBLICA/</t>
  </si>
  <si>
    <t>3 3 1</t>
  </si>
  <si>
    <t>RESULTADO POR POSICIÓN MONETARIA</t>
  </si>
  <si>
    <t>3 3 2</t>
  </si>
  <si>
    <t>RESULTADO POR TENENCIA DE ACTIVOS NO MONETARIOS</t>
  </si>
  <si>
    <t>4</t>
  </si>
  <si>
    <t>INGRESOS Y OTROS BENEFICIOS</t>
  </si>
  <si>
    <t>4 1</t>
  </si>
  <si>
    <t>INGRESOS DE GESTIÓN</t>
  </si>
  <si>
    <t>4 1 1</t>
  </si>
  <si>
    <t>IMPUESTOS</t>
  </si>
  <si>
    <t>4 1 2</t>
  </si>
  <si>
    <t>CUOTAS Y APORTACIONES DE SEGURIDAD SOCIAL</t>
  </si>
  <si>
    <t>4 1 3</t>
  </si>
  <si>
    <t>CONTRIBUCIONES DE MEJORAS</t>
  </si>
  <si>
    <t>4 1 4</t>
  </si>
  <si>
    <t>DERECHOS</t>
  </si>
  <si>
    <t>4 1 4 3</t>
  </si>
  <si>
    <t>DERECHOS POR PRESTACIÓN DE SERVICIOS</t>
  </si>
  <si>
    <t>4 1 4 3 1</t>
  </si>
  <si>
    <t>DERECHOS POR PRESTACION DE SERVICIOS</t>
  </si>
  <si>
    <t>4 1 4 3 1 12</t>
  </si>
  <si>
    <t>4 1 4 3 1 12 31111</t>
  </si>
  <si>
    <t>4 1 4 3 1 12 31111 6</t>
  </si>
  <si>
    <t>4 1 4 3 1 12 31111 6 M78</t>
  </si>
  <si>
    <t>XXX CAMBIO DE ETIQUETA PRESUPUESTAL XXX</t>
  </si>
  <si>
    <t>4 1 4 3 1 12 31111 6 M78 07000</t>
  </si>
  <si>
    <t>4 1 4 3 1 12 31111 6 M78 07000 151</t>
  </si>
  <si>
    <t>4 1 4 3 1 12 31111 6 M78 07000 151 00E</t>
  </si>
  <si>
    <t>4 1 4 3 1 12 31111 6 M78 07000 151 00E 001</t>
  </si>
  <si>
    <t>4 1 4 3 1 12 31111 6 M78 07000 151 00E 001 00043</t>
  </si>
  <si>
    <t>4 1 4 3 1 12 31111 6 M78 07000 151 00E 001 00043 011</t>
  </si>
  <si>
    <t>4 1 4 3 1 12 31111 6 M78 07000 151 00E 001 00043 011 1141000</t>
  </si>
  <si>
    <t>DERECHOS NO INCLUIDOS EN OTROS CONCEPTOS</t>
  </si>
  <si>
    <t>4 1 4 3 1 12 31111 6 M78 07000 151 00E 001 00043 011 1141000 2024</t>
  </si>
  <si>
    <t>4 1 4 3 1 12 31111 6 M78 07000 151 00E 001 00043 011 1141000 2024 00000000</t>
  </si>
  <si>
    <t>4 1 4 3 1 12 31111 6 M78 07000 151 00E 001 00043 011 1141000 2024 00000000 005</t>
  </si>
  <si>
    <t>INGRESOS PROPIOS</t>
  </si>
  <si>
    <t>4 1 4 3 1 12 31111 6 M78 07000 151 00E 001 00043 011 1141000 2024 00000000 005 001</t>
  </si>
  <si>
    <t>LICENCIAS PARA EJECUTAR RUPTURAS EN LA VIA PUBLICA.</t>
  </si>
  <si>
    <t>4 1 4 3 1 12 31111 6 M78 07000 151 00E 001 00043 011 1141000 2024 00000000 005 002</t>
  </si>
  <si>
    <t>POR CONCEPTO DE CONSTRUCCION DE BARDAS</t>
  </si>
  <si>
    <t>4 1 4 3 1 12 31111 6 M78 07000 151 00E 001 00043 011 1141000 2024 00000000 005 009</t>
  </si>
  <si>
    <t>CONEXION A LA RED DE AGUA POTABLE</t>
  </si>
  <si>
    <t>4 1 4 3 1 12 31111 6 M78 07000 151 00E 001 00043 011 1141000 2024 00000000 005 010</t>
  </si>
  <si>
    <t>POR LA CONEXION A LA RED DE DRENAJE</t>
  </si>
  <si>
    <t>4 1 4 3 1 12 31111 6 M78 07000 151 00E 001 00043 011 1141000 2024 00000000 005 020</t>
  </si>
  <si>
    <t>POR EXPEDICION INICIAL O REFRENDO DE LICENCIAS COMERCIALES EN LOCALES UBICADOS FUERA DEL MERCADO.</t>
  </si>
  <si>
    <t>4 1 4 3 1 12 31111 6 M78 07000 151 00E 001 00043 011 1141000 2024 00000000 005 022</t>
  </si>
  <si>
    <t>NACIMIENTOS, MATRIMONIOS Y OTROS REGISTROS.</t>
  </si>
  <si>
    <t>4 1 5</t>
  </si>
  <si>
    <t>4 1 5 1</t>
  </si>
  <si>
    <t>4 1 5 1 1</t>
  </si>
  <si>
    <t>PRODUCTOS DERIVADOS DEL USO Y APROVACHAMIENTO DE BIENES NO SUJETOS A REGIMEN DE DOMINIO PUBLICO</t>
  </si>
  <si>
    <t>4 1 5 1 1 12</t>
  </si>
  <si>
    <t>4 1 5 1 1 12 31111</t>
  </si>
  <si>
    <t>4 1 5 1 1 12 31111 6</t>
  </si>
  <si>
    <t>4 1 5 1 1 12 31111 6 M78</t>
  </si>
  <si>
    <t>4 1 5 1 1 12 31111 6 M78 07000</t>
  </si>
  <si>
    <t>4 1 5 1 1 12 31111 6 M78 07000 151</t>
  </si>
  <si>
    <t>4 1 5 1 1 12 31111 6 M78 07000 151 00C</t>
  </si>
  <si>
    <t>4 1 5 1 1 12 31111 6 M78 07000 151 00C 001</t>
  </si>
  <si>
    <t>4 1 5 1 1 12 31111 6 M78 07000 151 00C 001 00051</t>
  </si>
  <si>
    <t>4 1 5 1 1 12 31111 6 M78 07000 151 00C 001 00051 015</t>
  </si>
  <si>
    <t>4 1 5 1 1 12 31111 6 M78 07000 151 00C 001 00051 015 1151100</t>
  </si>
  <si>
    <t>INTERNOS</t>
  </si>
  <si>
    <t>4 1 5 1 1 12 31111 6 M78 07000 151 00C 001 00051 015 1151100 2024</t>
  </si>
  <si>
    <t>4 1 5 1 1 12 31111 6 M78 07000 151 00C 001 00051 015 1151100 2024 00000000</t>
  </si>
  <si>
    <t>4 1 5 1 1 12 31111 6 M78 07000 151 00C 001 00051 015 1151100 2024 00000000 001</t>
  </si>
  <si>
    <t>4 1 5 1 1 12 31111 6 M78 07000 151 00C 001 00051 015 1151100 2024 00000000 001 001</t>
  </si>
  <si>
    <t>INTERESES POR PRODUCTOS FINANCIEROS</t>
  </si>
  <si>
    <t>4 1 5 1 1 12 31111 6 M78 07000 151 00E</t>
  </si>
  <si>
    <t>4 1 5 1 1 12 31111 6 M78 07000 151 00E 001</t>
  </si>
  <si>
    <t>4 1 5 1 1 12 31111 6 M78 07000 151 00E 001 00051</t>
  </si>
  <si>
    <t>4 1 5 1 1 12 31111 6 M78 07000 151 00E 001 00051 011</t>
  </si>
  <si>
    <t>4 1 5 1 1 12 31111 6 M78 07000 151 00E 001 00051 011 1142000</t>
  </si>
  <si>
    <t>PRODUCTOS CORRIENTES NO INCLUIDOS EN OTROS CONCEPTOS</t>
  </si>
  <si>
    <t>4 1 5 1 1 12 31111 6 M78 07000 151 00E 001 00051 011 1142000 2024</t>
  </si>
  <si>
    <t>4 1 5 1 1 12 31111 6 M78 07000 151 00E 001 00051 011 1142000 2024 00000000</t>
  </si>
  <si>
    <t>4 1 5 1 1 12 31111 6 M78 07000 151 00E 001 00051 011 1142000 2024 00000000 005</t>
  </si>
  <si>
    <t>4 1 5 1 1 12 31111 6 M78 07000 151 00E 001 00051 011 1142000 2024 00000000 005 005</t>
  </si>
  <si>
    <t>FORMAS DEL REGISTRO CIVIL</t>
  </si>
  <si>
    <t>4 1 5 1 1 12 31111 6 M78 10000</t>
  </si>
  <si>
    <t>4 1 5 1 1 12 31111 6 M78 10000 222</t>
  </si>
  <si>
    <t>4 1 5 1 1 12 31111 6 M78 10000 222 00I</t>
  </si>
  <si>
    <t>4 1 5 1 1 12 31111 6 M78 10000 222 00I 001</t>
  </si>
  <si>
    <t>4 1 5 1 1 12 31111 6 M78 10000 222 00I 001 00051</t>
  </si>
  <si>
    <t>4 1 5 1 1 12 31111 6 M78 10000 222 00I 001 00051 025</t>
  </si>
  <si>
    <t>4 1 5 1 1 12 31111 6 M78 10000 222 00I 001 00051 025 1151100</t>
  </si>
  <si>
    <t>4 1 5 1 1 12 31111 6 M78 10000 222 00I 001 00051 025 1151100 2024</t>
  </si>
  <si>
    <t>4 1 5 1 1 12 31111 6 M78 10000 222 00I 001 00051 025 1151100 2024 00000000</t>
  </si>
  <si>
    <t>4 1 5 1 1 12 31111 6 M78 10000 222 00I 001 00051 025 1151100 2024 00000000 002</t>
  </si>
  <si>
    <t>4 1 5 1 1 12 31111 6 M78 10000 222 00I 001 00051 025 1151100 2024 00000000 002 001</t>
  </si>
  <si>
    <t>4 1 5 1 1 12 31111 6 M78 15000</t>
  </si>
  <si>
    <t>4 1 5 1 1 12 31111 6 M78 15000 171</t>
  </si>
  <si>
    <t>4 1 5 1 1 12 31111 6 M78 15000 171 00I</t>
  </si>
  <si>
    <t>4 1 5 1 1 12 31111 6 M78 15000 171 00I 001</t>
  </si>
  <si>
    <t>4 1 5 1 1 12 31111 6 M78 15000 171 00I 001 00051</t>
  </si>
  <si>
    <t>4 1 5 1 1 12 31111 6 M78 15000 171 00I 001 00051 025</t>
  </si>
  <si>
    <t>4 1 5 1 1 12 31111 6 M78 15000 171 00I 001 00051 025 1151100</t>
  </si>
  <si>
    <t>4 1 5 1 1 12 31111 6 M78 15000 171 00I 001 00051 025 1151100 2024</t>
  </si>
  <si>
    <t>4 1 5 1 1 12 31111 6 M78 15000 171 00I 001 00051 025 1151100 2024 00000000</t>
  </si>
  <si>
    <t>4 1 5 1 1 12 31111 6 M78 15000 171 00I 001 00051 025 1151100 2024 00000000 003</t>
  </si>
  <si>
    <t>4 1 5 1 1 12 31111 6 M78 15000 171 00I 001 00051 025 1151100 2024 00000000 003 001</t>
  </si>
  <si>
    <t>4 1 6</t>
  </si>
  <si>
    <t>APROVECHAMIENTOS</t>
  </si>
  <si>
    <t>4 1 6 9</t>
  </si>
  <si>
    <t>OTROS APROVECHAMIENTOS</t>
  </si>
  <si>
    <t>4 1 6 9 1</t>
  </si>
  <si>
    <t>4 1 6 9 1 12</t>
  </si>
  <si>
    <t>4 1 6 9 1 12 31111</t>
  </si>
  <si>
    <t>4 1 6 9 1 12 31111 6</t>
  </si>
  <si>
    <t>4 1 6 9 1 12 31111 6 M78</t>
  </si>
  <si>
    <t>4 1 6 9 1 12 31111 6 M78 07000</t>
  </si>
  <si>
    <t>4 1 6 9 1 12 31111 6 M78 07000 151</t>
  </si>
  <si>
    <t>4 1 6 9 1 12 31111 6 M78 07000 151 00E</t>
  </si>
  <si>
    <t>4 1 6 9 1 12 31111 6 M78 07000 151 00E 001</t>
  </si>
  <si>
    <t>4 1 6 9 1 12 31111 6 M78 07000 151 00E 001 00061</t>
  </si>
  <si>
    <t>4 1 6 9 1 12 31111 6 M78 07000 151 00E 001 00061 011</t>
  </si>
  <si>
    <t>4 1 6 9 1 12 31111 6 M78 07000 151 00E 001 00061 011 1143000</t>
  </si>
  <si>
    <t>APROVECHAMIENTOS CORRIENTES NO INCLUIDOS EN OTROS CONCEPTOS</t>
  </si>
  <si>
    <t>4 1 6 9 1 12 31111 6 M78 07000 151 00E 001 00061 011 1143000 2024</t>
  </si>
  <si>
    <t>4 1 6 9 1 12 31111 6 M78 07000 151 00E 001 00061 011 1143000 2024 00000000</t>
  </si>
  <si>
    <t>4 1 6 9 1 12 31111 6 M78 07000 151 00E 001 00061 011 1143000 2024 00000000 005</t>
  </si>
  <si>
    <t>4 1 6 9 1 12 31111 6 M78 07000 151 00E 001 00061 011 1143000 2024 00000000 005 005</t>
  </si>
  <si>
    <t>4 1 7</t>
  </si>
  <si>
    <t>INGRESOS POR VENTA DE BIENES Y PRESTACION DE SERVICIOS</t>
  </si>
  <si>
    <t>4 1 9</t>
  </si>
  <si>
    <t>PARTIDA DEROGADA (20180927) INGRESOS NO COMPRENDIDOS EN LAS FRACCIONES DE LA LEY DE INGRESOS CAUSADOS EN EJERCICIOS_x000D_FISCALES ANTERIORES PENDIENTES DE LIQUIDACIÓN O PAGO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</si>
  <si>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</si>
  <si>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</si>
  <si>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</si>
  <si>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</si>
  <si>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4 2 1 1</t>
  </si>
  <si>
    <t>PARTICIPACIONES</t>
  </si>
  <si>
    <t>4 2 1 1 1</t>
  </si>
  <si>
    <t>4 2 1 1 1 12</t>
  </si>
  <si>
    <t>4 2 1 1 1 12 31111</t>
  </si>
  <si>
    <t>4 2 1 1 1 12 31111 6</t>
  </si>
  <si>
    <t>4 2 1 1 1 12 31111 6 M78</t>
  </si>
  <si>
    <t>4 2 1 1 1 12 31111 6 M78 07000</t>
  </si>
  <si>
    <t>4 2 1 1 1 12 31111 6 M78 07000 151</t>
  </si>
  <si>
    <t>4 2 1 1 1 12 31111 6 M78 07000 151 00C</t>
  </si>
  <si>
    <t>4 2 1 1 1 12 31111 6 M78 07000 151 00C 001</t>
  </si>
  <si>
    <t>4 2 1 1 1 12 31111 6 M78 07000 151 00C 001 00081</t>
  </si>
  <si>
    <t>4 2 1 1 1 12 31111 6 M78 07000 151 00C 001 00081 015</t>
  </si>
  <si>
    <t>4 2 1 1 1 12 31111 6 M78 07000 151 00C 001 00081 015 1190000</t>
  </si>
  <si>
    <t>4 2 1 1 1 12 31111 6 M78 07000 151 00C 001 00081 015 1190000 2024</t>
  </si>
  <si>
    <t>4 2 1 1 1 12 31111 6 M78 07000 151 00C 001 00081 015 1190000 2024 00000000</t>
  </si>
  <si>
    <t>4 2 1 1 1 12 31111 6 M78 07000 151 00C 001 00081 015 1190000 2024 00000000 001</t>
  </si>
  <si>
    <t>4 2 1 1 1 12 31111 6 M78 07000 151 00C 001 00081 015 1190000 2024 00000000 001 001</t>
  </si>
  <si>
    <t>FONDO GENERAL</t>
  </si>
  <si>
    <t>4 2 1 1 1 12 31111 6 M78 07000 151 00C 001 00081 015 1190000 2024 00000000 001 002</t>
  </si>
  <si>
    <t>4 2 1 1 1 12 31111 6 M78 07000 151 00C 001 00081 015 1190000 2024 00000000 001 003</t>
  </si>
  <si>
    <t>FONDO DE INFRAESTRUCTURA A MUNICIPIOS</t>
  </si>
  <si>
    <t>4 2 1 1 1 12 31111 6 M78 07000 151 00C 001 00081 015 1190000 2024 00000000 001 004</t>
  </si>
  <si>
    <t>4 2 1 2</t>
  </si>
  <si>
    <t>4 2 1 2 1</t>
  </si>
  <si>
    <t>4 2 1 2 1 12</t>
  </si>
  <si>
    <t>4 2 1 2 1 12 31111</t>
  </si>
  <si>
    <t>4 2 1 2 1 12 31111 6</t>
  </si>
  <si>
    <t>4 2 1 2 1 12 31111 6 M78</t>
  </si>
  <si>
    <t>4 2 1 2 1 12 31111 6 M78 10000</t>
  </si>
  <si>
    <t>4 2 1 2 1 12 31111 6 M78 10000 222</t>
  </si>
  <si>
    <t>4 2 1 2 1 12 31111 6 M78 10000 222 00I</t>
  </si>
  <si>
    <t>4 2 1 2 1 12 31111 6 M78 10000 222 00I 001</t>
  </si>
  <si>
    <t>4 2 1 2 1 12 31111 6 M78 10000 222 00I 001 00082</t>
  </si>
  <si>
    <t>4 2 1 2 1 12 31111 6 M78 10000 222 00I 001 00082 025</t>
  </si>
  <si>
    <t>4 2 1 2 1 12 31111 6 M78 10000 222 00I 001 00082 025 1182200</t>
  </si>
  <si>
    <t>DE ENTIDADES FEDERATIVAS</t>
  </si>
  <si>
    <t>4 2 1 2 1 12 31111 6 M78 10000 222 00I 001 00082 025 1182200 2024</t>
  </si>
  <si>
    <t>4 2 1 2 1 12 31111 6 M78 10000 222 00I 001 00082 025 1182200 2024 00000000</t>
  </si>
  <si>
    <t>XXX ACTIVIDAD INSTITUCIONAL XXX</t>
  </si>
  <si>
    <t>4 2 1 2 1 12 31111 6 M78 10000 222 00I 001 00082 025 1182200 2024 00000000 002</t>
  </si>
  <si>
    <t>OBRAPUBLICA</t>
  </si>
  <si>
    <t>4 2 1 2 1 12 31111 6 M78 10000 222 00I 001 00082 025 1182200 2024 00000000 002 001</t>
  </si>
  <si>
    <t>APORTACIONES P/INFRA SOC MPAL</t>
  </si>
  <si>
    <t>4 2 1 2 1 12 31111 6 M78 15000</t>
  </si>
  <si>
    <t>4 2 1 2 1 12 31111 6 M78 15000 171</t>
  </si>
  <si>
    <t>4 2 1 2 1 12 31111 6 M78 15000 171 00I</t>
  </si>
  <si>
    <t>4 2 1 2 1 12 31111 6 M78 15000 171 00I 001</t>
  </si>
  <si>
    <t>4 2 1 2 1 12 31111 6 M78 15000 171 00I 001 00082</t>
  </si>
  <si>
    <t>4 2 1 2 1 12 31111 6 M78 15000 171 00I 001 00082 025</t>
  </si>
  <si>
    <t>4 2 1 2 1 12 31111 6 M78 15000 171 00I 001 00082 025 1182200</t>
  </si>
  <si>
    <t>4 2 1 2 1 12 31111 6 M78 15000 171 00I 001 00082 025 1182200 2024</t>
  </si>
  <si>
    <t>4 2 1 2 1 12 31111 6 M78 15000 171 00I 001 00082 025 1182200 2024 00000000</t>
  </si>
  <si>
    <t>4 2 1 2 1 12 31111 6 M78 15000 171 00I 001 00082 025 1182200 2024 00000000 003</t>
  </si>
  <si>
    <t>4 2 1 2 1 12 31111 6 M78 15000 171 00I 001 00082 025 1182200 2024 00000000 003 001</t>
  </si>
  <si>
    <t>APORTACIONES P/FORT DE LOS MPIOS</t>
  </si>
  <si>
    <t>4 2 1 4</t>
  </si>
  <si>
    <t>INCENTIVOS DERIVADOS DE LA COLABORACIÓN FISCAL</t>
  </si>
  <si>
    <t>4 2 1 4 1</t>
  </si>
  <si>
    <t>4 2 1 4 1 12</t>
  </si>
  <si>
    <t>4 2 1 4 1 12 31111</t>
  </si>
  <si>
    <t>4 2 1 4 1 12 31111 6</t>
  </si>
  <si>
    <t>4 2 1 4 1 12 31111 6 M78</t>
  </si>
  <si>
    <t>4 2 1 4 1 12 31111 6 M78 07000</t>
  </si>
  <si>
    <t>4 2 1 4 1 12 31111 6 M78 07000 151</t>
  </si>
  <si>
    <t>4 2 1 4 1 12 31111 6 M78 07000 151 00C</t>
  </si>
  <si>
    <t>4 2 1 4 1 12 31111 6 M78 07000 151 00C 001</t>
  </si>
  <si>
    <t>4 2 1 4 1 12 31111 6 M78 07000 151 00C 001 00084</t>
  </si>
  <si>
    <t>4 2 1 4 1 12 31111 6 M78 07000 151 00C 001 00084 015</t>
  </si>
  <si>
    <t>4 2 1 4 1 12 31111 6 M78 07000 151 00C 001 00084 015 1190000</t>
  </si>
  <si>
    <t>4 2 1 4 1 12 31111 6 M78 07000 151 00C 001 00084 015 1190000 2024</t>
  </si>
  <si>
    <t>4 2 1 4 1 12 31111 6 M78 07000 151 00C 001 00084 015 1190000 2024 00000000</t>
  </si>
  <si>
    <t>4 2 1 4 1 12 31111 6 M78 07000 151 00C 001 00084 015 1190000 2024 00000000 001</t>
  </si>
  <si>
    <t>4 2 1 4 1 12 31111 6 M78 07000 151 00C 001 00084 015 1190000 2024 00000000 001 001</t>
  </si>
  <si>
    <t>4 2 1 4 1 12 31111 6 M78 07000 151 00C 001 00084 015 1190000 2024 00000000 001 002</t>
  </si>
  <si>
    <t>FONDO DE RECAUDACION DEL IMPUESTO SOBRE LA RENTA, SOBRE BIENES INMUEBLES</t>
  </si>
  <si>
    <t>4 2 2</t>
  </si>
  <si>
    <t>TRANSFERENCIAS, ASIGNACIONES, SUBSIDIOS Y SUBVENCIONES, Y PENSIONES Y JUBILACIONES</t>
  </si>
  <si>
    <t>4 2 2 3</t>
  </si>
  <si>
    <t>SUBSIDIOS Y SUBVENCIONES</t>
  </si>
  <si>
    <t>4 2 2 3 1</t>
  </si>
  <si>
    <t>4 2 2 3 1 12</t>
  </si>
  <si>
    <t>4 2 2 3 1 12 31111</t>
  </si>
  <si>
    <t>4 2 2 3 1 12 31111 6</t>
  </si>
  <si>
    <t>4 2 2 3 1 12 31111 6 M78</t>
  </si>
  <si>
    <t>4 2 2 3 1 12 31111 6 M78 07000</t>
  </si>
  <si>
    <t>4 2 2 3 1 12 31111 6 M78 07000 151</t>
  </si>
  <si>
    <t>4 2 2 3 1 12 31111 6 M78 07000 151 00C</t>
  </si>
  <si>
    <t>4 2 2 3 1 12 31111 6 M78 07000 151 00C 001</t>
  </si>
  <si>
    <t>4 2 2 3 1 12 31111 6 M78 07000 151 00C 001 00093</t>
  </si>
  <si>
    <t>4 2 2 3 1 12 31111 6 M78 07000 151 00C 001 00093 016</t>
  </si>
  <si>
    <t>16 - RECURSOS ESTATALES</t>
  </si>
  <si>
    <t>4 2 2 3 1 12 31111 6 M78 07000 151 00C 001 00093 016 1171000</t>
  </si>
  <si>
    <t>SUBSIDIOS Y SUBVENCIONES RECIBIDOS POR ENTIDADES EMPRESARIALES PÚBLICAS NO FINANCIERAS</t>
  </si>
  <si>
    <t>4 2 2 3 1 12 31111 6 M78 07000 151 00C 001 00093 016 1171000 2024</t>
  </si>
  <si>
    <t>4 2 2 3 1 12 31111 6 M78 07000 151 00C 001 00093 016 1171000 2024 00000000</t>
  </si>
  <si>
    <t>4 2 2 3 1 12 31111 6 M78 07000 151 00C 001 00093 016 1171000 2024 00000000 001</t>
  </si>
  <si>
    <t>4 2 2 3 1 12 31111 6 M78 07000 151 00C 001 00093 016 1171000 2024 00000000 001 002</t>
  </si>
  <si>
    <t>APORTACION ESTATAL EXTRAORDINARIA 2021</t>
  </si>
  <si>
    <t>4 3</t>
  </si>
  <si>
    <t>OTROS INGRESOS  Y BENEFICIOS</t>
  </si>
  <si>
    <t>4 3 1</t>
  </si>
  <si>
    <t>INGRESOS FINANCIEROS</t>
  </si>
  <si>
    <t>4 3 2</t>
  </si>
  <si>
    <t>INCREMENTO POR VARIACIÓN DE INVENTARIOS</t>
  </si>
  <si>
    <t>4 3 3</t>
  </si>
  <si>
    <t>DISMINUCIÓN DEL EXCESO DE ESTIMACIONES POR PÉRDIDA O DETERIORO U OBSOLESCENCIA</t>
  </si>
  <si>
    <t>4 3 4</t>
  </si>
  <si>
    <t>DISMINUCIÓN DEL EXCESO DE PROVISIONES</t>
  </si>
  <si>
    <t>4 3 9</t>
  </si>
  <si>
    <t>OTROS INGRESOS Y BENEFICIOS VARIOS</t>
  </si>
  <si>
    <t>5</t>
  </si>
  <si>
    <t>GASTOS Y OTRAS PÉRDIDAS</t>
  </si>
  <si>
    <t>5 0</t>
  </si>
  <si>
    <t>XXX CAMBIO DE ETIQUETA (CONAC) XXX</t>
  </si>
  <si>
    <t>5 0 1</t>
  </si>
  <si>
    <t>5 1</t>
  </si>
  <si>
    <t>GASTOS DE FUNCIONAMIENTO</t>
  </si>
  <si>
    <t>5 1 1</t>
  </si>
  <si>
    <t>SERVICIOS PERSONALES</t>
  </si>
  <si>
    <t>5 1 1 1</t>
  </si>
  <si>
    <t>REMUNERACIONES AL PERSONAL DE CARÁCTER PERMANENTE</t>
  </si>
  <si>
    <t>5 1 1 1 3</t>
  </si>
  <si>
    <t>SUELDOS BASE AL PERSONAL PERMANENTE</t>
  </si>
  <si>
    <t>5 1 1 1 3 12</t>
  </si>
  <si>
    <t>5 1 1 1 3 12 31111</t>
  </si>
  <si>
    <t>5 1 1 1 3 12 31111 6</t>
  </si>
  <si>
    <t>5 1 1 1 3 12 31111 6 M78</t>
  </si>
  <si>
    <t>5 1 1 1 3 12 31111 6 M78 01000</t>
  </si>
  <si>
    <t>PRESIDENCIA MUNICIPAL</t>
  </si>
  <si>
    <t>5 1 1 1 3 12 31111 6 M78 01000 131</t>
  </si>
  <si>
    <t>PRESIDENCIA / GUBERNATURA</t>
  </si>
  <si>
    <t>5 1 1 1 3 12 31111 6 M78 01000 131 00C</t>
  </si>
  <si>
    <t>5 1 1 1 3 12 31111 6 M78 01000 131 00C 001</t>
  </si>
  <si>
    <t>5 1 1 1 3 12 31111 6 M78 01000 131 00C 001 11301</t>
  </si>
  <si>
    <t>SUELDOS BASE.</t>
  </si>
  <si>
    <t>5 1 1 1 3 12 31111 6 M78 01000 131 00C 001 11301 015</t>
  </si>
  <si>
    <t>5 1 1 1 3 12 31111 6 M78 01000 131 00C 001 11301 015 2111100</t>
  </si>
  <si>
    <t>SUELDOS Y SALARIOS</t>
  </si>
  <si>
    <t>5 1 1 1 3 12 31111 6 M78 01000 131 00C 001 11301 015 2111100 2024</t>
  </si>
  <si>
    <t>5 1 1 1 3 12 31111 6 M78 01000 131 00C 001 11301 015 2111100 2024 00000000</t>
  </si>
  <si>
    <t>5 1 1 1 3 12 31111 6 M78 01000 131 00C 001 11301 015 2111100 2024 00000000 001</t>
  </si>
  <si>
    <t>5 1 1 1 3 12 31111 6 M78 01000 131 00C 001 11301 015 2111100 2024 00000000 001 001</t>
  </si>
  <si>
    <t>EMPLEADOS PRESIDENCIA</t>
  </si>
  <si>
    <t>5 1 1 1 3 12 31111 6 M78 01000 131 00C 001 11301 015 2111100 2024 00000000 001 001 001</t>
  </si>
  <si>
    <t>SUELDO BASE</t>
  </si>
  <si>
    <t>5 1 1 1 3 12 31111 6 M78 02000</t>
  </si>
  <si>
    <t>SINDICATURA MUNICIPAL</t>
  </si>
  <si>
    <t>5 1 1 1 3 12 31111 6 M78 02000 122</t>
  </si>
  <si>
    <t>PROCURACIÓN DE JUSTICIA</t>
  </si>
  <si>
    <t>5 1 1 1 3 12 31111 6 M78 02000 122 00C</t>
  </si>
  <si>
    <t>5 1 1 1 3 12 31111 6 M78 02000 122 00C 001</t>
  </si>
  <si>
    <t>5 1 1 1 3 12 31111 6 M78 02000 122 00C 001 11301</t>
  </si>
  <si>
    <t>5 1 1 1 3 12 31111 6 M78 02000 122 00C 001 11301 015</t>
  </si>
  <si>
    <t>5 1 1 1 3 12 31111 6 M78 02000 122 00C 001 11301 015 2111100</t>
  </si>
  <si>
    <t>5 1 1 1 3 12 31111 6 M78 02000 122 00C 001 11301 015 2111100 2024</t>
  </si>
  <si>
    <t>5 1 1 1 3 12 31111 6 M78 02000 122 00C 001 11301 015 2111100 2024 00000000</t>
  </si>
  <si>
    <t>5 1 1 1 3 12 31111 6 M78 02000 122 00C 001 11301 015 2111100 2024 00000000 001</t>
  </si>
  <si>
    <t>5 1 1 1 3 12 31111 6 M78 02000 122 00C 001 11301 015 2111100 2024 00000000 001 001</t>
  </si>
  <si>
    <t>EMPLEADOS SINDICATURA</t>
  </si>
  <si>
    <t>5 1 1 1 3 12 31111 6 M78 02000 122 00C 001 11301 015 2111100 2024 00000000 001 001 002</t>
  </si>
  <si>
    <t>5 1 1 1 3 12 31111 6 M78 03000</t>
  </si>
  <si>
    <t>COORDINACION JURIDICA</t>
  </si>
  <si>
    <t>5 1 1 1 3 12 31111 6 M78 03000 135</t>
  </si>
  <si>
    <t>ASUNTOS JURÍDICOS</t>
  </si>
  <si>
    <t>5 1 1 1 3 12 31111 6 M78 03000 135 00I</t>
  </si>
  <si>
    <t>5 1 1 1 3 12 31111 6 M78 03000 135 00I 001</t>
  </si>
  <si>
    <t>5 1 1 1 3 12 31111 6 M78 03000 135 00I 001 11301</t>
  </si>
  <si>
    <t>5 1 1 1 3 12 31111 6 M78 03000 135 00I 001 11301 025</t>
  </si>
  <si>
    <t>5 1 1 1 3 12 31111 6 M78 03000 135 00I 001 11301 025 2111100</t>
  </si>
  <si>
    <t>5 1 1 1 3 12 31111 6 M78 03000 135 00I 001 11301 025 2111100 2024</t>
  </si>
  <si>
    <t>5 1 1 1 3 12 31111 6 M78 03000 135 00I 001 11301 025 2111100 2024 00000000</t>
  </si>
  <si>
    <t>5 1 1 1 3 12 31111 6 M78 03000 135 00I 001 11301 025 2111100 2024 00000000 003</t>
  </si>
  <si>
    <t>5 1 1 1 3 12 31111 6 M78 03000 135 00I 001 11301 025 2111100 2024 00000000 003 001</t>
  </si>
  <si>
    <t>EMPLEADOS DE COORDINACION JURIDICA</t>
  </si>
  <si>
    <t>5 1 1 1 3 12 31111 6 M78 03000 135 00I 001 11301 025 2111100 2024 00000000 003 001 003</t>
  </si>
  <si>
    <t>5 1 1 1 3 12 31111 6 M78 04000</t>
  </si>
  <si>
    <t>COORDINACION DE GOBERNACION, REGLAMENTOS Y ESPETACULOS</t>
  </si>
  <si>
    <t>5 1 1 1 3 12 31111 6 M78 04000 152</t>
  </si>
  <si>
    <t>5 1 1 1 3 12 31111 6 M78 04000 152 00I</t>
  </si>
  <si>
    <t>5 1 1 1 3 12 31111 6 M78 04000 152 00I 001</t>
  </si>
  <si>
    <t>5 1 1 1 3 12 31111 6 M78 04000 152 00I 001 11301</t>
  </si>
  <si>
    <t>5 1 1 1 3 12 31111 6 M78 04000 152 00I 001 11301 025</t>
  </si>
  <si>
    <t>5 1 1 1 3 12 31111 6 M78 04000 152 00I 001 11301 025 2111100</t>
  </si>
  <si>
    <t>5 1 1 1 3 12 31111 6 M78 04000 152 00I 001 11301 025 2111100 2024</t>
  </si>
  <si>
    <t>5 1 1 1 3 12 31111 6 M78 04000 152 00I 001 11301 025 2111100 2024 00000000</t>
  </si>
  <si>
    <t>5 1 1 1 3 12 31111 6 M78 04000 152 00I 001 11301 025 2111100 2024 00000000 003</t>
  </si>
  <si>
    <t>5 1 1 1 3 12 31111 6 M78 04000 152 00I 001 11301 025 2111100 2024 00000000 003 001</t>
  </si>
  <si>
    <t>EMPLEADOS DE GOBERNACION, REGLAMENTOS Y ESPETACULOS</t>
  </si>
  <si>
    <t>5 1 1 1 3 12 31111 6 M78 04000 152 00I 001 11301 025 2111100 2024 00000000 003 001 004</t>
  </si>
  <si>
    <t>SUELDOS BASE</t>
  </si>
  <si>
    <t>5 1 1 1 3 12 31111 6 M78 05000</t>
  </si>
  <si>
    <t>REGIDURIAS</t>
  </si>
  <si>
    <t>5 1 1 1 3 12 31111 6 M78 05000 111</t>
  </si>
  <si>
    <t>LEGISLACIÓN</t>
  </si>
  <si>
    <t>5 1 1 1 3 12 31111 6 M78 05000 111 00C</t>
  </si>
  <si>
    <t>5 1 1 1 3 12 31111 6 M78 05000 111 00C 001</t>
  </si>
  <si>
    <t>5 1 1 1 3 12 31111 6 M78 05000 111 00C 001 11301</t>
  </si>
  <si>
    <t>5 1 1 1 3 12 31111 6 M78 05000 111 00C 001 11301 015</t>
  </si>
  <si>
    <t>5 1 1 1 3 12 31111 6 M78 05000 111 00C 001 11301 015 2111100</t>
  </si>
  <si>
    <t>5 1 1 1 3 12 31111 6 M78 05000 111 00C 001 11301 015 2111100 2024</t>
  </si>
  <si>
    <t>5 1 1 1 3 12 31111 6 M78 05000 111 00C 001 11301 015 2111100 2024 00000000</t>
  </si>
  <si>
    <t>5 1 1 1 3 12 31111 6 M78 05000 111 00C 001 11301 015 2111100 2024 00000000 001</t>
  </si>
  <si>
    <t>5 1 1 1 3 12 31111 6 M78 05000 111 00C 001 11301 015 2111100 2024 00000000 001 001</t>
  </si>
  <si>
    <t>EMPLEADOS REGIDURIAS</t>
  </si>
  <si>
    <t>5 1 1 1 3 12 31111 6 M78 05000 111 00C 001 11301 015 2111100 2024 00000000 001 001 005</t>
  </si>
  <si>
    <t>5 1 1 1 3 12 31111 6 M78 06000</t>
  </si>
  <si>
    <t>SECRETARIA GENERAL</t>
  </si>
  <si>
    <t>5 1 1 1 3 12 31111 6 M78 06000 132</t>
  </si>
  <si>
    <t>POLÍTICA INTERIOR</t>
  </si>
  <si>
    <t>5 1 1 1 3 12 31111 6 M78 06000 132 00C</t>
  </si>
  <si>
    <t>5 1 1 1 3 12 31111 6 M78 06000 132 00C 001</t>
  </si>
  <si>
    <t>5 1 1 1 3 12 31111 6 M78 06000 132 00C 001 11301</t>
  </si>
  <si>
    <t>5 1 1 1 3 12 31111 6 M78 06000 132 00C 001 11301 015</t>
  </si>
  <si>
    <t>5 1 1 1 3 12 31111 6 M78 06000 132 00C 001 11301 015 2111100</t>
  </si>
  <si>
    <t>5 1 1 1 3 12 31111 6 M78 06000 132 00C 001 11301 015 2111100 2024</t>
  </si>
  <si>
    <t>5 1 1 1 3 12 31111 6 M78 06000 132 00C 001 11301 015 2111100 2024 00000000</t>
  </si>
  <si>
    <t>5 1 1 1 3 12 31111 6 M78 06000 132 00C 001 11301 015 2111100 2024 00000000 001</t>
  </si>
  <si>
    <t>5 1 1 1 3 12 31111 6 M78 06000 132 00C 001 11301 015 2111100 2024 00000000 001 001</t>
  </si>
  <si>
    <t>EMPLEADOS SECRETARIA GENERAL</t>
  </si>
  <si>
    <t>5 1 1 1 3 12 31111 6 M78 06000 132 00C 001 11301 015 2111100 2024 00000000 001 001 006</t>
  </si>
  <si>
    <t>5 1 1 1 3 12 31111 6 M78 06000 132 00C 001 13403</t>
  </si>
  <si>
    <t>COMPENSACIONES POR SEDRVICIOS ESPECIALESD</t>
  </si>
  <si>
    <t>5 1 1 1 3 12 31111 6 M78 06000 132 00C 001 13403 015</t>
  </si>
  <si>
    <t>5 1 1 1 3 12 31111 6 M78 06000 132 00C 001 13403 015 2111100</t>
  </si>
  <si>
    <t>5 1 1 1 3 12 31111 6 M78 06000 132 00C 001 13403 015 2111100 2024</t>
  </si>
  <si>
    <t>5 1 1 1 3 12 31111 6 M78 06000 132 00C 001 13403 015 2111100 2024 00000000</t>
  </si>
  <si>
    <t>5 1 1 1 3 12 31111 6 M78 07000</t>
  </si>
  <si>
    <t>5 1 1 1 3 12 31111 6 M78 07000 151</t>
  </si>
  <si>
    <t>5 1 1 1 3 12 31111 6 M78 07000 151 00C</t>
  </si>
  <si>
    <t>5 1 1 1 3 12 31111 6 M78 07000 151 00C 001</t>
  </si>
  <si>
    <t>5 1 1 1 3 12 31111 6 M78 07000 151 00C 001 11301</t>
  </si>
  <si>
    <t>5 1 1 1 3 12 31111 6 M78 07000 151 00C 001 11301 015</t>
  </si>
  <si>
    <t>5 1 1 1 3 12 31111 6 M78 07000 151 00C 001 11301 015 2111100</t>
  </si>
  <si>
    <t>5 1 1 1 3 12 31111 6 M78 07000 151 00C 001 11301 015 2111100 2024</t>
  </si>
  <si>
    <t>5 1 1 1 3 12 31111 6 M78 07000 151 00C 001 11301 015 2111100 2024 00000000</t>
  </si>
  <si>
    <t>5 1 1 1 3 12 31111 6 M78 07000 151 00C 001 11301 015 2111100 2024 00000000 001</t>
  </si>
  <si>
    <t>5 1 1 1 3 12 31111 6 M78 07000 151 00C 001 11301 015 2111100 2024 00000000 001 001</t>
  </si>
  <si>
    <t>EMPLEADOS TESORERIA</t>
  </si>
  <si>
    <t>5 1 1 1 3 12 31111 6 M78 07000 151 00C 001 11301 015 2111100 2024 00000000 001 001 007</t>
  </si>
  <si>
    <t>5 1 1 1 3 12 31111 6 M78 08000</t>
  </si>
  <si>
    <t>ORGANO DE CONTROL INTERNO MUNICIPAL</t>
  </si>
  <si>
    <t>5 1 1 1 3 12 31111 6 M78 08000 134</t>
  </si>
  <si>
    <t>5 1 1 1 3 12 31111 6 M78 08000 134 00C</t>
  </si>
  <si>
    <t>5 1 1 1 3 12 31111 6 M78 08000 134 00C 001</t>
  </si>
  <si>
    <t>5 1 1 1 3 12 31111 6 M78 08000 134 00C 001 11301</t>
  </si>
  <si>
    <t>5 1 1 1 3 12 31111 6 M78 08000 134 00C 001 11301 015</t>
  </si>
  <si>
    <t>5 1 1 1 3 12 31111 6 M78 08000 134 00C 001 11301 015 2111100</t>
  </si>
  <si>
    <t>5 1 1 1 3 12 31111 6 M78 08000 134 00C 001 11301 015 2111100 2024</t>
  </si>
  <si>
    <t>5 1 1 1 3 12 31111 6 M78 08000 134 00C 001 11301 015 2111100 2024 00000000</t>
  </si>
  <si>
    <t>5 1 1 1 3 12 31111 6 M78 08000 134 00C 001 11301 015 2111100 2024 00000000 001</t>
  </si>
  <si>
    <t>5 1 1 1 3 12 31111 6 M78 08000 134 00C 001 11301 015 2111100 2024 00000000 001 001</t>
  </si>
  <si>
    <t>EMPLEADOS CONTRALORIA</t>
  </si>
  <si>
    <t>5 1 1 1 3 12 31111 6 M78 08000 134 00C 001 11301 015 2111100 2024 00000000 001 001 008</t>
  </si>
  <si>
    <t>5 1 1 1 3 12 31111 6 M78 09000</t>
  </si>
  <si>
    <t>5 1 1 1 3 12 31111 6 M78 09000 134</t>
  </si>
  <si>
    <t>5 1 1 1 3 12 31111 6 M78 09000 134 00C</t>
  </si>
  <si>
    <t>5 1 1 1 3 12 31111 6 M78 09000 134 00C 001</t>
  </si>
  <si>
    <t>5 1 1 1 3 12 31111 6 M78 09000 134 00C 001 11301</t>
  </si>
  <si>
    <t>5 1 1 1 3 12 31111 6 M78 09000 134 00C 001 11301 015</t>
  </si>
  <si>
    <t>5 1 1 1 3 12 31111 6 M78 09000 134 00C 001 11301 015 2111100</t>
  </si>
  <si>
    <t>5 1 1 1 3 12 31111 6 M78 09000 134 00C 001 11301 015 2111100 2024</t>
  </si>
  <si>
    <t>5 1 1 1 3 12 31111 6 M78 09000 134 00C 001 11301 015 2111100 2024 00000000</t>
  </si>
  <si>
    <t>5 1 1 1 3 12 31111 6 M78 09000 134 00C 001 11301 015 2111100 2024 00000000 001</t>
  </si>
  <si>
    <t>5 1 1 1 3 12 31111 6 M78 09000 134 00C 001 11301 015 2111100 2024 00000000 001 001</t>
  </si>
  <si>
    <t>EMPLEADOS OBRAS PUBLICAS</t>
  </si>
  <si>
    <t>5 1 1 1 3 12 31111 6 M78 09000 134 00C 001 11301 015 2111100 2024 00000000 001 001 008</t>
  </si>
  <si>
    <t>5 1 1 1 3 12 31111 6 M78 11000</t>
  </si>
  <si>
    <t>DIRECCION DE DESARROLLO SOCIAL</t>
  </si>
  <si>
    <t>5 1 1 1 3 12 31111 6 M78 11000 263</t>
  </si>
  <si>
    <t>FAMILIA E HIJOS</t>
  </si>
  <si>
    <t>5 1 1 1 3 12 31111 6 M78 11000 263 00C</t>
  </si>
  <si>
    <t>5 1 1 1 3 12 31111 6 M78 11000 263 00C 001</t>
  </si>
  <si>
    <t>5 1 1 1 3 12 31111 6 M78 11000 263 00C 001 11301</t>
  </si>
  <si>
    <t>5 1 1 1 3 12 31111 6 M78 11000 263 00C 001 11301 015</t>
  </si>
  <si>
    <t>5 1 1 1 3 12 31111 6 M78 11000 263 00C 001 11301 015 2111100</t>
  </si>
  <si>
    <t>5 1 1 1 3 12 31111 6 M78 11000 263 00C 001 11301 015 2111100 2024</t>
  </si>
  <si>
    <t>5 1 1 1 3 12 31111 6 M78 11000 263 00C 001 11301 015 2111100 2024 00000000</t>
  </si>
  <si>
    <t>5 1 1 1 3 12 31111 6 M78 11000 263 00C 001 11301 015 2111100 2024 00000000 001</t>
  </si>
  <si>
    <t>5 1 1 1 3 12 31111 6 M78 11000 263 00C 001 11301 015 2111100 2024 00000000 001 001</t>
  </si>
  <si>
    <t>EMPLEADOS DESARROLLO SOCIAL</t>
  </si>
  <si>
    <t>5 1 1 1 3 12 31111 6 M78 11000 263 00C 001 11301 015 2111100 2024 00000000 001 001 011</t>
  </si>
  <si>
    <t>5 1 1 1 3 12 31111 6 M78 12000</t>
  </si>
  <si>
    <t>DIRECCION DEL DIF MUNICIPAL</t>
  </si>
  <si>
    <t>5 1 1 1 3 12 31111 6 M78 12000 265</t>
  </si>
  <si>
    <t>ALIMENTACIÓN Y NUTRICIÓN</t>
  </si>
  <si>
    <t>5 1 1 1 3 12 31111 6 M78 12000 265 00C</t>
  </si>
  <si>
    <t>5 1 1 1 3 12 31111 6 M78 12000 265 00C 001</t>
  </si>
  <si>
    <t>5 1 1 1 3 12 31111 6 M78 12000 265 00C 001 11301</t>
  </si>
  <si>
    <t>5 1 1 1 3 12 31111 6 M78 12000 265 00C 001 11301 015</t>
  </si>
  <si>
    <t>5 1 1 1 3 12 31111 6 M78 12000 265 00C 001 11301 015 2111100</t>
  </si>
  <si>
    <t>5 1 1 1 3 12 31111 6 M78 12000 265 00C 001 11301 015 2111100 2024</t>
  </si>
  <si>
    <t>5 1 1 1 3 12 31111 6 M78 12000 265 00C 001 11301 015 2111100 2024 00000000</t>
  </si>
  <si>
    <t>5 1 1 1 3 12 31111 6 M78 12000 265 00C 001 11301 015 2111100 2024 00000000 001</t>
  </si>
  <si>
    <t>5 1 1 1 3 12 31111 6 M78 12000 265 00C 001 11301 015 2111100 2024 00000000 001 001</t>
  </si>
  <si>
    <t>EMPLEADOS DIF MUNICIPAL</t>
  </si>
  <si>
    <t>5 1 1 1 3 12 31111 6 M78 12000 265 00C 001 11301 015 2111100 2024 00000000 001 001 012</t>
  </si>
  <si>
    <t>5 1 1 1 3 12 31111 6 M78 13000</t>
  </si>
  <si>
    <t>JEFATURA DE ADMINISTRACION</t>
  </si>
  <si>
    <t>5 1 1 1 3 12 31111 6 M78 13000 151</t>
  </si>
  <si>
    <t>5 1 1 1 3 12 31111 6 M78 13000 151 00C</t>
  </si>
  <si>
    <t>5 1 1 1 3 12 31111 6 M78 13000 151 00C 001</t>
  </si>
  <si>
    <t>5 1 1 1 3 12 31111 6 M78 13000 151 00C 001 11301</t>
  </si>
  <si>
    <t>5 1 1 1 3 12 31111 6 M78 13000 151 00C 001 11301 015</t>
  </si>
  <si>
    <t>5 1 1 1 3 12 31111 6 M78 13000 151 00C 001 11301 015 2111100</t>
  </si>
  <si>
    <t>5 1 1 1 3 12 31111 6 M78 13000 151 00C 001 11301 015 2111100 2024</t>
  </si>
  <si>
    <t>5 1 1 1 3 12 31111 6 M78 13000 151 00C 001 11301 015 2111100 2024 00000000</t>
  </si>
  <si>
    <t>5 1 1 1 3 12 31111 6 M78 13000 151 00C 001 11301 015 2111100 2024 00000000 001</t>
  </si>
  <si>
    <t>5 1 1 1 3 12 31111 6 M78 13000 151 00C 001 11301 015 2111100 2024 00000000 001 001</t>
  </si>
  <si>
    <t>EMPLEADOS JEFATURA DE ADMINISTRACION</t>
  </si>
  <si>
    <t>5 1 1 1 3 12 31111 6 M78 13000 151 00C 001 11301 015 2111100 2024 00000000 001 001 013</t>
  </si>
  <si>
    <t>5 1 1 1 3 12 31111 6 M78 14000</t>
  </si>
  <si>
    <t>DIRECCION DE SERVICIOS PUBLICOS</t>
  </si>
  <si>
    <t>5 1 1 1 3 12 31111 6 M78 14000 211</t>
  </si>
  <si>
    <t>ORDENACIÓN DE DESECHOS</t>
  </si>
  <si>
    <t>5 1 1 1 3 12 31111 6 M78 14000 211 00C</t>
  </si>
  <si>
    <t>5 1 1 1 3 12 31111 6 M78 14000 211 00C 001</t>
  </si>
  <si>
    <t>5 1 1 1 3 12 31111 6 M78 14000 211 00C 001 11301</t>
  </si>
  <si>
    <t>5 1 1 1 3 12 31111 6 M78 14000 211 00C 001 11301 015</t>
  </si>
  <si>
    <t>5 1 1 1 3 12 31111 6 M78 14000 211 00C 001 11301 015 2111100</t>
  </si>
  <si>
    <t>5 1 1 1 3 12 31111 6 M78 14000 211 00C 001 11301 015 2111100 2024</t>
  </si>
  <si>
    <t>5 1 1 1 3 12 31111 6 M78 14000 211 00C 001 11301 015 2111100 2024 00000000</t>
  </si>
  <si>
    <t>5 1 1 1 3 12 31111 6 M78 14000 211 00C 001 11301 015 2111100 2024 00000000 001</t>
  </si>
  <si>
    <t>5 1 1 1 3 12 31111 6 M78 14000 211 00C 001 11301 015 2111100 2024 00000000 001 001</t>
  </si>
  <si>
    <t>EMPLEADOS SERVICIOS PUBLICOS</t>
  </si>
  <si>
    <t>5 1 1 1 3 12 31111 6 M78 14000 211 00C 001 11301 015 2111100 2024 00000000 001 001 014</t>
  </si>
  <si>
    <t>5 1 1 1 3 12 31111 6 M78 15000</t>
  </si>
  <si>
    <t>5 1 1 1 3 12 31111 6 M78 15000 171</t>
  </si>
  <si>
    <t>5 1 1 1 3 12 31111 6 M78 15000 171 00I</t>
  </si>
  <si>
    <t>5 1 1 1 3 12 31111 6 M78 15000 171 00I 001</t>
  </si>
  <si>
    <t>5 1 1 1 3 12 31111 6 M78 15000 171 00I 001 11301</t>
  </si>
  <si>
    <t>5 1 1 1 3 12 31111 6 M78 15000 171 00I 001 11301 025</t>
  </si>
  <si>
    <t>5 1 1 1 3 12 31111 6 M78 15000 171 00I 001 11301 025 2111100</t>
  </si>
  <si>
    <t>5 1 1 1 3 12 31111 6 M78 15000 171 00I 001 11301 025 2111100 2024</t>
  </si>
  <si>
    <t>5 1 1 1 3 12 31111 6 M78 15000 171 00I 001 11301 025 2111100 2024 00000000</t>
  </si>
  <si>
    <t>5 1 1 1 3 12 31111 6 M78 15000 171 00I 001 11301 025 2111100 2024 00000000 003</t>
  </si>
  <si>
    <t>5 1 1 1 3 12 31111 6 M78 15000 171 00I 001 11301 025 2111100 2024 00000000 003 001</t>
  </si>
  <si>
    <t>EMPLEADOS DE SEGURIDAD PUBLICA</t>
  </si>
  <si>
    <t>5 1 1 1 3 12 31111 6 M78 15000 171 00I 001 11301 025 2111100 2024 00000000 003 001 015</t>
  </si>
  <si>
    <t>5 1 1 1 3 12 31111 6 M78 16000</t>
  </si>
  <si>
    <t>DIRECCION DE TRANSITO MUNICIPAL</t>
  </si>
  <si>
    <t>5 1 1 1 3 12 31111 6 M78 16000 173</t>
  </si>
  <si>
    <t>OTROS ASUNTOS DE ORDEN PÚBLICO Y SEGURIDAD</t>
  </si>
  <si>
    <t>5 1 1 1 3 12 31111 6 M78 16000 173 00I</t>
  </si>
  <si>
    <t>5 1 1 1 3 12 31111 6 M78 16000 173 00I 001</t>
  </si>
  <si>
    <t>5 1 1 1 3 12 31111 6 M78 16000 173 00I 001 11301</t>
  </si>
  <si>
    <t>5 1 1 1 3 12 31111 6 M78 16000 173 00I 001 11301 025</t>
  </si>
  <si>
    <t>5 1 1 1 3 12 31111 6 M78 16000 173 00I 001 11301 025 2111100</t>
  </si>
  <si>
    <t>5 1 1 1 3 12 31111 6 M78 16000 173 00I 001 11301 025 2111100 2024</t>
  </si>
  <si>
    <t>5 1 1 1 3 12 31111 6 M78 16000 173 00I 001 11301 025 2111100 2024 00000000</t>
  </si>
  <si>
    <t>5 1 1 1 3 12 31111 6 M78 16000 173 00I 001 11301 025 2111100 2024 00000000 003</t>
  </si>
  <si>
    <t>5 1 1 1 3 12 31111 6 M78 16000 173 00I 001 11301 025 2111100 2024 00000000 003 001</t>
  </si>
  <si>
    <t>EMPLEADOS DE TRANSITO MUNICIPAL</t>
  </si>
  <si>
    <t>5 1 1 1 3 12 31111 6 M78 16000 173 00I 001 11301 025 2111100 2024 00000000 003 001 016</t>
  </si>
  <si>
    <t>5 1 1 1 3 12 31111 6 M78 17000</t>
  </si>
  <si>
    <t>DIRECCION DE PROTECCION CIVIL</t>
  </si>
  <si>
    <t>5 1 1 1 3 12 31111 6 M78 17000 172</t>
  </si>
  <si>
    <t>PROTECCIÓN CIVIL</t>
  </si>
  <si>
    <t>5 1 1 1 3 12 31111 6 M78 17000 172 00I</t>
  </si>
  <si>
    <t>5 1 1 1 3 12 31111 6 M78 17000 172 00I 001</t>
  </si>
  <si>
    <t>5 1 1 1 3 12 31111 6 M78 17000 172 00I 001 11301</t>
  </si>
  <si>
    <t>5 1 1 1 3 12 31111 6 M78 17000 172 00I 001 11301 025</t>
  </si>
  <si>
    <t>5 1 1 1 3 12 31111 6 M78 17000 172 00I 001 11301 025 2111100</t>
  </si>
  <si>
    <t>5 1 1 1 3 12 31111 6 M78 17000 172 00I 001 11301 025 2111100 2024</t>
  </si>
  <si>
    <t>5 1 1 1 3 12 31111 6 M78 17000 172 00I 001 11301 025 2111100 2024 00000000</t>
  </si>
  <si>
    <t>5 1 1 1 3 12 31111 6 M78 17000 172 00I 001 11301 025 2111100 2024 00000000 003</t>
  </si>
  <si>
    <t>5 1 1 1 3 12 31111 6 M78 17000 172 00I 001 11301 025 2111100 2024 00000000 003 001</t>
  </si>
  <si>
    <t>EMPLEADOS DE PROTECCIÓN CIVIL</t>
  </si>
  <si>
    <t>5 1 1 1 3 12 31111 6 M78 17000 172 00I 001 11301 025 2111100 2024 00000000 003 001 017</t>
  </si>
  <si>
    <t>5 1 1 1 3 12 31111 6 M78 19000</t>
  </si>
  <si>
    <t>5 1 1 1 3 12 31111 6 M78 19000 321</t>
  </si>
  <si>
    <t>AGROPECUARIA</t>
  </si>
  <si>
    <t>5 1 1 1 3 12 31111 6 M78 19000 321 00C</t>
  </si>
  <si>
    <t>5 1 1 1 3 12 31111 6 M78 19000 321 00C 001</t>
  </si>
  <si>
    <t>5 1 1 1 3 12 31111 6 M78 19000 321 00C 001 11301</t>
  </si>
  <si>
    <t>5 1 1 1 3 12 31111 6 M78 19000 321 00C 001 11301 015</t>
  </si>
  <si>
    <t>5 1 1 1 3 12 31111 6 M78 19000 321 00C 001 11301 015 2111100</t>
  </si>
  <si>
    <t>5 1 1 1 3 12 31111 6 M78 19000 321 00C 001 11301 015 2111100 2024</t>
  </si>
  <si>
    <t>5 1 1 1 3 12 31111 6 M78 19000 321 00C 001 11301 015 2111100 2024 00000000</t>
  </si>
  <si>
    <t>5 1 1 1 3 12 31111 6 M78 19000 321 00C 001 11301 015 2111100 2024 00000000 001</t>
  </si>
  <si>
    <t>5 1 1 1 3 12 31111 6 M78 19000 321 00C 001 11301 015 2111100 2024 00000000 001 001</t>
  </si>
  <si>
    <t>EMPLEADOS DESARROLLO RURAL</t>
  </si>
  <si>
    <t>5 1 1 1 3 12 31111 6 M78 19000 321 00C 001 11301 015 2111100 2024 00000000 001 001 019</t>
  </si>
  <si>
    <t>5 1 1 1 3 12 31111 6 M78 20000</t>
  </si>
  <si>
    <t>DIRECCION DE REGISTRO CIVIL</t>
  </si>
  <si>
    <t>5 1 1 1 3 12 31111 6 M78 20000 181</t>
  </si>
  <si>
    <t>SERVICIOS REGISTRALES, ADMINISTRATIVOS Y PATRIMONIALES</t>
  </si>
  <si>
    <t>5 1 1 1 3 12 31111 6 M78 20000 181 00C</t>
  </si>
  <si>
    <t>5 1 1 1 3 12 31111 6 M78 20000 181 00C 001</t>
  </si>
  <si>
    <t>5 1 1 1 3 12 31111 6 M78 20000 181 00C 001 11301</t>
  </si>
  <si>
    <t>5 1 1 1 3 12 31111 6 M78 20000 181 00C 001 11301 015</t>
  </si>
  <si>
    <t>5 1 1 1 3 12 31111 6 M78 20000 181 00C 001 11301 015 2111100</t>
  </si>
  <si>
    <t>5 1 1 1 3 12 31111 6 M78 20000 181 00C 001 11301 015 2111100 2024</t>
  </si>
  <si>
    <t>5 1 1 1 3 12 31111 6 M78 20000 181 00C 001 11301 015 2111100 2024 00000000</t>
  </si>
  <si>
    <t>5 1 1 1 3 12 31111 6 M78 20000 181 00C 001 11301 015 2111100 2024 00000000 001</t>
  </si>
  <si>
    <t>5 1 1 1 3 12 31111 6 M78 20000 181 00C 001 11301 015 2111100 2024 00000000 001 001</t>
  </si>
  <si>
    <t>EMPLEADOS REGISTRO CIVIL</t>
  </si>
  <si>
    <t>5 1 1 1 3 12 31111 6 M78 20000 181 00C 001 11301 015 2111100 2024 00000000 001 001 020</t>
  </si>
  <si>
    <t>5 1 1 1 3 12 31111 6 M78 21000</t>
  </si>
  <si>
    <t>DIRECCION DE EDUCACION Y CULTURA</t>
  </si>
  <si>
    <t>5 1 1 1 3 12 31111 6 M78 21000 242</t>
  </si>
  <si>
    <t>CULTURA</t>
  </si>
  <si>
    <t>5 1 1 1 3 12 31111 6 M78 21000 242 00C</t>
  </si>
  <si>
    <t>5 1 1 1 3 12 31111 6 M78 21000 242 00C 001</t>
  </si>
  <si>
    <t>5 1 1 1 3 12 31111 6 M78 21000 242 00C 001 11301</t>
  </si>
  <si>
    <t>5 1 1 1 3 12 31111 6 M78 21000 242 00C 001 11301 015</t>
  </si>
  <si>
    <t>5 1 1 1 3 12 31111 6 M78 21000 242 00C 001 11301 015 2111100</t>
  </si>
  <si>
    <t>5 1 1 1 3 12 31111 6 M78 21000 242 00C 001 11301 015 2111100 2024</t>
  </si>
  <si>
    <t>5 1 1 1 3 12 31111 6 M78 21000 242 00C 001 11301 015 2111100 2024 00000000</t>
  </si>
  <si>
    <t>5 1 1 1 3 12 31111 6 M78 21000 242 00C 001 11301 015 2111100 2024 00000000 001</t>
  </si>
  <si>
    <t>GASTO CORIENTE</t>
  </si>
  <si>
    <t>5 1 1 1 3 12 31111 6 M78 21000 242 00C 001 11301 015 2111100 2024 00000000 001 001</t>
  </si>
  <si>
    <t>EMPLEADOS DE EDUCACION Y CULTURA</t>
  </si>
  <si>
    <t>5 1 1 1 3 12 31111 6 M78 21000 242 00C 001 11301 015 2111100 2024 00000000 001 001 021</t>
  </si>
  <si>
    <t>5 1 1 1 3 12 31111 6 M78 22000</t>
  </si>
  <si>
    <t>COORDINACION SECRETARIA DE LA MUJER</t>
  </si>
  <si>
    <t>5 1 1 1 3 12 31111 6 M78 22000 271</t>
  </si>
  <si>
    <t>OTROS ASUNTOS SOCIALES</t>
  </si>
  <si>
    <t>5 1 1 1 3 12 31111 6 M78 22000 271 00C</t>
  </si>
  <si>
    <t>5 1 1 1 3 12 31111 6 M78 22000 271 00C 001</t>
  </si>
  <si>
    <t>5 1 1 1 3 12 31111 6 M78 22000 271 00C 001 11301</t>
  </si>
  <si>
    <t>5 1 1 1 3 12 31111 6 M78 22000 271 00C 001 11301 015</t>
  </si>
  <si>
    <t>5 1 1 1 3 12 31111 6 M78 22000 271 00C 001 11301 015 2111100</t>
  </si>
  <si>
    <t>5 1 1 1 3 12 31111 6 M78 22000 271 00C 001 11301 015 2111100 2024</t>
  </si>
  <si>
    <t>5 1 1 1 3 12 31111 6 M78 22000 271 00C 001 11301 015 2111100 2024 00000000</t>
  </si>
  <si>
    <t>5 1 1 1 3 12 31111 6 M78 22000 271 00C 001 11301 015 2111100 2024 00000000 001</t>
  </si>
  <si>
    <t>5 1 1 1 3 12 31111 6 M78 22000 271 00C 001 11301 015 2111100 2024 00000000 001 001</t>
  </si>
  <si>
    <t>EMPLEADOS SECRETARIA DE LA MUJER</t>
  </si>
  <si>
    <t>5 1 1 1 3 12 31111 6 M78 22000 271 00C 001 11301 015 2111100 2024 00000000 001 001 022</t>
  </si>
  <si>
    <t>5 1 1 1 3 12 31111 6 M78 26000</t>
  </si>
  <si>
    <t>COORDINACION DE COMUNICACION SOCIAL</t>
  </si>
  <si>
    <t>5 1 1 1 3 12 31111 6 M78 26000 183</t>
  </si>
  <si>
    <t>SERVICIOS DE COMUNICACIÓN Y MEDIOS</t>
  </si>
  <si>
    <t>5 1 1 1 3 12 31111 6 M78 26000 183 00C</t>
  </si>
  <si>
    <t>5 1 1 1 3 12 31111 6 M78 26000 183 00C 001</t>
  </si>
  <si>
    <t>5 1 1 1 3 12 31111 6 M78 26000 183 00C 001 11301</t>
  </si>
  <si>
    <t>5 1 1 1 3 12 31111 6 M78 26000 183 00C 001 11301 015</t>
  </si>
  <si>
    <t>5 1 1 1 3 12 31111 6 M78 26000 183 00C 001 11301 015 2111100</t>
  </si>
  <si>
    <t>5 1 1 1 3 12 31111 6 M78 26000 183 00C 001 11301 015 2111100 2024</t>
  </si>
  <si>
    <t>5 1 1 1 3 12 31111 6 M78 26000 183 00C 001 11301 015 2111100 2024 00000000</t>
  </si>
  <si>
    <t>5 1 1 1 3 12 31111 6 M78 26000 183 00C 001 11301 015 2111100 2024 00000000 001</t>
  </si>
  <si>
    <t>5 1 1 1 3 12 31111 6 M78 26000 183 00C 001 11301 015 2111100 2024 00000000 001 001</t>
  </si>
  <si>
    <t>EMPLEADOS DE COMUNICACION SOCIAL</t>
  </si>
  <si>
    <t>5 1 1 1 3 12 31111 6 M78 26000 183 00C 001 11301 015 2111100 2024 00000000 001 001 026</t>
  </si>
  <si>
    <t>5 1 1 1 3 12 31111 6 M78 27000</t>
  </si>
  <si>
    <t>UNIDAD DE TRASNPARENCIA</t>
  </si>
  <si>
    <t>5 1 1 1 3 12 31111 6 M78 27000 184</t>
  </si>
  <si>
    <t>ACCESO A LA INFORMACIÓN PÚBLICA GUBERNAMENTAL</t>
  </si>
  <si>
    <t>5 1 1 1 3 12 31111 6 M78 27000 184 00C</t>
  </si>
  <si>
    <t>5 1 1 1 3 12 31111 6 M78 27000 184 00C 001</t>
  </si>
  <si>
    <t>5 1 1 1 3 12 31111 6 M78 27000 184 00C 001 11301</t>
  </si>
  <si>
    <t>5 1 1 1 3 12 31111 6 M78 27000 184 00C 001 11301 015</t>
  </si>
  <si>
    <t>5 1 1 1 3 12 31111 6 M78 27000 184 00C 001 11301 015 2111100</t>
  </si>
  <si>
    <t>5 1 1 1 3 12 31111 6 M78 27000 184 00C 001 11301 015 2111100 2024</t>
  </si>
  <si>
    <t>5 1 1 1 3 12 31111 6 M78 27000 184 00C 001 11301 015 2111100 2024 00000000</t>
  </si>
  <si>
    <t>5 1 1 1 3 12 31111 6 M78 27000 184 00C 001 11301 015 2111100 2024 00000000 001</t>
  </si>
  <si>
    <t>5 1 1 1 3 12 31111 6 M78 27000 184 00C 001 11301 015 2111100 2024 00000000 001 001</t>
  </si>
  <si>
    <t>EMPLEADOS UNIDAD DE TRASNPARENCIA</t>
  </si>
  <si>
    <t>5 1 1 1 3 12 31111 6 M78 27000 184 00C 001 11301 015 2111100 2024 00000000 001 001 027</t>
  </si>
  <si>
    <t>5 1 1 3</t>
  </si>
  <si>
    <t>REMUNERACIONES ADICIONALES Y ESPECIALES</t>
  </si>
  <si>
    <t>5 1 1 3 2</t>
  </si>
  <si>
    <t>PRIMAS DE VACACIONES, DOMINICAL Y GRATIFICACIÓN DE FIN DE AÑO</t>
  </si>
  <si>
    <t>5 1 1 3 2 12</t>
  </si>
  <si>
    <t>5 1 1 3 2 12 31111</t>
  </si>
  <si>
    <t>5 1 1 3 2 12 31111 6</t>
  </si>
  <si>
    <t>5 1 1 3 2 12 31111 6 M78</t>
  </si>
  <si>
    <t>5 1 1 3 2 12 31111 6 M78 01000</t>
  </si>
  <si>
    <t>5 1 1 3 2 12 31111 6 M78 01000 131</t>
  </si>
  <si>
    <t>5 1 1 3 2 12 31111 6 M78 01000 131 00C</t>
  </si>
  <si>
    <t>5 1 1 3 2 12 31111 6 M78 01000 131 00C 001</t>
  </si>
  <si>
    <t>5 1 1 3 2 12 31111 6 M78 01000 131 00C 001 13202</t>
  </si>
  <si>
    <t>AGUINALDO O GRATIFICACION DE FIN DE AÑO.</t>
  </si>
  <si>
    <t>5 1 1 3 2 12 31111 6 M78 01000 131 00C 001 13202 015</t>
  </si>
  <si>
    <t>5 1 1 3 2 12 31111 6 M78 01000 131 00C 001 13202 015 2111100</t>
  </si>
  <si>
    <t>5 1 1 3 2 12 31111 6 M78 01000 131 00C 001 13202 015 2111100 2024</t>
  </si>
  <si>
    <t>5 1 1 3 2 12 31111 6 M78 01000 131 00C 001 13202 015 2111100 2024 00000000</t>
  </si>
  <si>
    <t>5 1 1 3 2 12 31111 6 M78 01000 131 00C 001 13202 015 2111100 2024 00000000 001</t>
  </si>
  <si>
    <t>5 1 1 3 2 12 31111 6 M78 01000 131 00C 001 13202 015 2111100 2024 00000000 001 001</t>
  </si>
  <si>
    <t>5 1 1 3 2 12 31111 6 M78 01000 131 00C 001 13202 015 2111100 2024 00000000 001 001 001</t>
  </si>
  <si>
    <t>AGUINALDO O GRATIFICACION DE FIN DE AÑO</t>
  </si>
  <si>
    <t>5 1 1 3 2 12 31111 6 M78 02000</t>
  </si>
  <si>
    <t>5 1 1 3 2 12 31111 6 M78 02000 122</t>
  </si>
  <si>
    <t>5 1 1 3 2 12 31111 6 M78 02000 122 00C</t>
  </si>
  <si>
    <t>5 1 1 3 2 12 31111 6 M78 02000 122 00C 001</t>
  </si>
  <si>
    <t>5 1 1 3 2 12 31111 6 M78 02000 122 00C 001 13202</t>
  </si>
  <si>
    <t>5 1 1 3 2 12 31111 6 M78 02000 122 00C 001 13202 015</t>
  </si>
  <si>
    <t>5 1 1 3 2 12 31111 6 M78 02000 122 00C 001 13202 015 2111100</t>
  </si>
  <si>
    <t>5 1 1 3 2 12 31111 6 M78 02000 122 00C 001 13202 015 2111100 2024</t>
  </si>
  <si>
    <t>5 1 1 3 2 12 31111 6 M78 02000 122 00C 001 13202 015 2111100 2024 00000000</t>
  </si>
  <si>
    <t>5 1 1 3 2 12 31111 6 M78 02000 122 00C 001 13202 015 2111100 2024 00000000 001</t>
  </si>
  <si>
    <t>5 1 1 3 2 12 31111 6 M78 02000 122 00C 001 13202 015 2111100 2024 00000000 001 001</t>
  </si>
  <si>
    <t>5 1 1 3 2 12 31111 6 M78 02000 122 00C 001 13202 015 2111100 2024 00000000 001 001 002</t>
  </si>
  <si>
    <t>5 1 1 3 2 12 31111 6 M78 03000</t>
  </si>
  <si>
    <t>5 1 1 3 2 12 31111 6 M78 03000 135</t>
  </si>
  <si>
    <t>5 1 1 3 2 12 31111 6 M78 03000 135 00I</t>
  </si>
  <si>
    <t>5 1 1 3 2 12 31111 6 M78 03000 135 00I 001</t>
  </si>
  <si>
    <t>5 1 1 3 2 12 31111 6 M78 03000 135 00I 001 13202</t>
  </si>
  <si>
    <t>5 1 1 3 2 12 31111 6 M78 03000 135 00I 001 13202 025</t>
  </si>
  <si>
    <t>5 1 1 3 2 12 31111 6 M78 03000 135 00I 001 13202 025 2111100</t>
  </si>
  <si>
    <t>5 1 1 3 2 12 31111 6 M78 03000 135 00I 001 13202 025 2111100 2024</t>
  </si>
  <si>
    <t>5 1 1 3 2 12 31111 6 M78 03000 135 00I 001 13202 025 2111100 2024 00000000</t>
  </si>
  <si>
    <t>5 1 1 3 2 12 31111 6 M78 03000 135 00I 001 13202 025 2111100 2024 00000000 003</t>
  </si>
  <si>
    <t>5 1 1 3 2 12 31111 6 M78 03000 135 00I 001 13202 025 2111100 2024 00000000 003 001</t>
  </si>
  <si>
    <t>5 1 1 3 2 12 31111 6 M78 03000 135 00I 001 13202 025 2111100 2024 00000000 003 001 003</t>
  </si>
  <si>
    <t>AGUINALDO</t>
  </si>
  <si>
    <t>5 1 1 3 2 12 31111 6 M78 04000</t>
  </si>
  <si>
    <t>5 1 1 3 2 12 31111 6 M78 04000 152</t>
  </si>
  <si>
    <t>5 1 1 3 2 12 31111 6 M78 04000 152 00I</t>
  </si>
  <si>
    <t>5 1 1 3 2 12 31111 6 M78 04000 152 00I 001</t>
  </si>
  <si>
    <t>5 1 1 3 2 12 31111 6 M78 04000 152 00I 001 13202</t>
  </si>
  <si>
    <t>5 1 1 3 2 12 31111 6 M78 04000 152 00I 001 13202 025</t>
  </si>
  <si>
    <t>5 1 1 3 2 12 31111 6 M78 04000 152 00I 001 13202 025 2111100</t>
  </si>
  <si>
    <t>5 1 1 3 2 12 31111 6 M78 04000 152 00I 001 13202 025 2111100 2024</t>
  </si>
  <si>
    <t>5 1 1 3 2 12 31111 6 M78 04000 152 00I 001 13202 025 2111100 2024 00000000</t>
  </si>
  <si>
    <t>5 1 1 3 2 12 31111 6 M78 04000 152 00I 001 13202 025 2111100 2024 00000000 003</t>
  </si>
  <si>
    <t>5 1 1 3 2 12 31111 6 M78 04000 152 00I 001 13202 025 2111100 2024 00000000 003 001</t>
  </si>
  <si>
    <t>5 1 1 3 2 12 31111 6 M78 04000 152 00I 001 13202 025 2111100 2024 00000000 003 001 004</t>
  </si>
  <si>
    <t>5 1 1 3 2 12 31111 6 M78 05000</t>
  </si>
  <si>
    <t>5 1 1 3 2 12 31111 6 M78 05000 111</t>
  </si>
  <si>
    <t>5 1 1 3 2 12 31111 6 M78 05000 111 00C</t>
  </si>
  <si>
    <t>5 1 1 3 2 12 31111 6 M78 05000 111 00C 001</t>
  </si>
  <si>
    <t>5 1 1 3 2 12 31111 6 M78 05000 111 00C 001 13202</t>
  </si>
  <si>
    <t>5 1 1 3 2 12 31111 6 M78 05000 111 00C 001 13202 015</t>
  </si>
  <si>
    <t>5 1 1 3 2 12 31111 6 M78 05000 111 00C 001 13202 015 2111100</t>
  </si>
  <si>
    <t>5 1 1 3 2 12 31111 6 M78 05000 111 00C 001 13202 015 2111100 2024</t>
  </si>
  <si>
    <t>5 1 1 3 2 12 31111 6 M78 05000 111 00C 001 13202 015 2111100 2024 00000000</t>
  </si>
  <si>
    <t>5 1 1 3 2 12 31111 6 M78 05000 111 00C 001 13202 015 2111100 2024 00000000 001</t>
  </si>
  <si>
    <t>5 1 1 3 2 12 31111 6 M78 05000 111 00C 001 13202 015 2111100 2024 00000000 001 001</t>
  </si>
  <si>
    <t>5 1 1 3 2 12 31111 6 M78 05000 111 00C 001 13202 015 2111100 2024 00000000 001 001 005</t>
  </si>
  <si>
    <t>5 1 1 3 2 12 31111 6 M78 06000</t>
  </si>
  <si>
    <t>5 1 1 3 2 12 31111 6 M78 06000 132</t>
  </si>
  <si>
    <t>5 1 1 3 2 12 31111 6 M78 06000 132 00C</t>
  </si>
  <si>
    <t>5 1 1 3 2 12 31111 6 M78 06000 132 00C 001</t>
  </si>
  <si>
    <t>5 1 1 3 2 12 31111 6 M78 06000 132 00C 001 13202</t>
  </si>
  <si>
    <t>5 1 1 3 2 12 31111 6 M78 06000 132 00C 001 13202 015</t>
  </si>
  <si>
    <t>5 1 1 3 2 12 31111 6 M78 06000 132 00C 001 13202 015 2111100</t>
  </si>
  <si>
    <t>5 1 1 3 2 12 31111 6 M78 06000 132 00C 001 13202 015 2111100 2024</t>
  </si>
  <si>
    <t>5 1 1 3 2 12 31111 6 M78 06000 132 00C 001 13202 015 2111100 2024 00000000</t>
  </si>
  <si>
    <t>5 1 1 3 2 12 31111 6 M78 06000 132 00C 001 13202 015 2111100 2024 00000000 001</t>
  </si>
  <si>
    <t>5 1 1 3 2 12 31111 6 M78 06000 132 00C 001 13202 015 2111100 2024 00000000 001 001</t>
  </si>
  <si>
    <t>5 1 1 3 2 12 31111 6 M78 06000 132 00C 001 13202 015 2111100 2024 00000000 001 001 006</t>
  </si>
  <si>
    <t>5 1 1 3 2 12 31111 6 M78 07000</t>
  </si>
  <si>
    <t>5 1 1 3 2 12 31111 6 M78 07000 151</t>
  </si>
  <si>
    <t>5 1 1 3 2 12 31111 6 M78 07000 151 00C</t>
  </si>
  <si>
    <t>5 1 1 3 2 12 31111 6 M78 07000 151 00C 001</t>
  </si>
  <si>
    <t>5 1 1 3 2 12 31111 6 M78 07000 151 00C 001 13202</t>
  </si>
  <si>
    <t>5 1 1 3 2 12 31111 6 M78 07000 151 00C 001 13202 015</t>
  </si>
  <si>
    <t>5 1 1 3 2 12 31111 6 M78 07000 151 00C 001 13202 015 2111100</t>
  </si>
  <si>
    <t>5 1 1 3 2 12 31111 6 M78 07000 151 00C 001 13202 015 2111100 2024</t>
  </si>
  <si>
    <t>5 1 1 3 2 12 31111 6 M78 07000 151 00C 001 13202 015 2111100 2024 00000000</t>
  </si>
  <si>
    <t>5 1 1 3 2 12 31111 6 M78 07000 151 00C 001 13202 015 2111100 2024 00000000 001</t>
  </si>
  <si>
    <t>5 1 1 3 2 12 31111 6 M78 07000 151 00C 001 13202 015 2111100 2024 00000000 001 001</t>
  </si>
  <si>
    <t>5 1 1 3 2 12 31111 6 M78 07000 151 00C 001 13202 015 2111100 2024 00000000 001 001 007</t>
  </si>
  <si>
    <t>5 1 1 3 2 12 31111 6 M78 08000</t>
  </si>
  <si>
    <t>5 1 1 3 2 12 31111 6 M78 08000 134</t>
  </si>
  <si>
    <t>5 1 1 3 2 12 31111 6 M78 08000 134 00C</t>
  </si>
  <si>
    <t>5 1 1 3 2 12 31111 6 M78 08000 134 00C 001</t>
  </si>
  <si>
    <t>5 1 1 3 2 12 31111 6 M78 08000 134 00C 001 13202</t>
  </si>
  <si>
    <t>5 1 1 3 2 12 31111 6 M78 08000 134 00C 001 13202 015</t>
  </si>
  <si>
    <t>5 1 1 3 2 12 31111 6 M78 08000 134 00C 001 13202 015 2111100</t>
  </si>
  <si>
    <t>5 1 1 3 2 12 31111 6 M78 08000 134 00C 001 13202 015 2111100 2024</t>
  </si>
  <si>
    <t>5 1 1 3 2 12 31111 6 M78 08000 134 00C 001 13202 015 2111100 2024 00000000</t>
  </si>
  <si>
    <t>5 1 1 3 2 12 31111 6 M78 08000 134 00C 001 13202 015 2111100 2024 00000000 001</t>
  </si>
  <si>
    <t>5 1 1 3 2 12 31111 6 M78 08000 134 00C 001 13202 015 2111100 2024 00000000 001 001</t>
  </si>
  <si>
    <t>5 1 1 3 2 12 31111 6 M78 08000 134 00C 001 13202 015 2111100 2024 00000000 001 001 008</t>
  </si>
  <si>
    <t>5 1 1 3 2 12 31111 6 M78 09000</t>
  </si>
  <si>
    <t>5 1 1 3 2 12 31111 6 M78 09000 134</t>
  </si>
  <si>
    <t>5 1 1 3 2 12 31111 6 M78 09000 134 00C</t>
  </si>
  <si>
    <t>5 1 1 3 2 12 31111 6 M78 09000 134 00C 001</t>
  </si>
  <si>
    <t>5 1 1 3 2 12 31111 6 M78 09000 134 00C 001 13202</t>
  </si>
  <si>
    <t>5 1 1 3 2 12 31111 6 M78 09000 134 00C 001 13202 015</t>
  </si>
  <si>
    <t>5 1 1 3 2 12 31111 6 M78 09000 134 00C 001 13202 015 2111100</t>
  </si>
  <si>
    <t>5 1 1 3 2 12 31111 6 M78 09000 134 00C 001 13202 015 2111100 2024</t>
  </si>
  <si>
    <t>5 1 1 3 2 12 31111 6 M78 09000 134 00C 001 13202 015 2111100 2024 00000000</t>
  </si>
  <si>
    <t>5 1 1 3 2 12 31111 6 M78 09000 134 00C 001 13202 015 2111100 2024 00000000 001</t>
  </si>
  <si>
    <t>5 1 1 3 2 12 31111 6 M78 09000 134 00C 001 13202 015 2111100 2024 00000000 001 001</t>
  </si>
  <si>
    <t>5 1 1 3 2 12 31111 6 M78 09000 134 00C 001 13202 015 2111100 2024 00000000 001 001 008</t>
  </si>
  <si>
    <t>5 1 1 3 2 12 31111 6 M78 11000</t>
  </si>
  <si>
    <t>5 1 1 3 2 12 31111 6 M78 11000 263</t>
  </si>
  <si>
    <t>5 1 1 3 2 12 31111 6 M78 11000 263 00C</t>
  </si>
  <si>
    <t>5 1 1 3 2 12 31111 6 M78 11000 263 00C 001</t>
  </si>
  <si>
    <t>5 1 1 3 2 12 31111 6 M78 11000 263 00C 001 13202</t>
  </si>
  <si>
    <t>5 1 1 3 2 12 31111 6 M78 11000 263 00C 001 13202 015</t>
  </si>
  <si>
    <t>5 1 1 3 2 12 31111 6 M78 11000 263 00C 001 13202 015 2111100</t>
  </si>
  <si>
    <t>5 1 1 3 2 12 31111 6 M78 11000 263 00C 001 13202 015 2111100 2024</t>
  </si>
  <si>
    <t>5 1 1 3 2 12 31111 6 M78 11000 263 00C 001 13202 015 2111100 2024 00000000</t>
  </si>
  <si>
    <t>5 1 1 3 2 12 31111 6 M78 11000 263 00C 001 13202 015 2111100 2024 00000000 001</t>
  </si>
  <si>
    <t>5 1 1 3 2 12 31111 6 M78 11000 263 00C 001 13202 015 2111100 2024 00000000 001 001</t>
  </si>
  <si>
    <t>5 1 1 3 2 12 31111 6 M78 11000 263 00C 001 13202 015 2111100 2024 00000000 001 001 011</t>
  </si>
  <si>
    <t>5 1 1 3 2 12 31111 6 M78 12000</t>
  </si>
  <si>
    <t>5 1 1 3 2 12 31111 6 M78 12000 265</t>
  </si>
  <si>
    <t>5 1 1 3 2 12 31111 6 M78 12000 265 00C</t>
  </si>
  <si>
    <t>5 1 1 3 2 12 31111 6 M78 12000 265 00C 001</t>
  </si>
  <si>
    <t>5 1 1 3 2 12 31111 6 M78 12000 265 00C 001 13202</t>
  </si>
  <si>
    <t>5 1 1 3 2 12 31111 6 M78 12000 265 00C 001 13202 015</t>
  </si>
  <si>
    <t>5 1 1 3 2 12 31111 6 M78 12000 265 00C 001 13202 015 2111100</t>
  </si>
  <si>
    <t>5 1 1 3 2 12 31111 6 M78 12000 265 00C 001 13202 015 2111100 2024</t>
  </si>
  <si>
    <t>5 1 1 3 2 12 31111 6 M78 12000 265 00C 001 13202 015 2111100 2024 00000000</t>
  </si>
  <si>
    <t>5 1 1 3 2 12 31111 6 M78 12000 265 00C 001 13202 015 2111100 2024 00000000 001</t>
  </si>
  <si>
    <t>5 1 1 3 2 12 31111 6 M78 12000 265 00C 001 13202 015 2111100 2024 00000000 001 001</t>
  </si>
  <si>
    <t>5 1 1 3 2 12 31111 6 M78 12000 265 00C 001 13202 015 2111100 2024 00000000 001 001 012</t>
  </si>
  <si>
    <t>5 1 1 3 2 12 31111 6 M78 13000</t>
  </si>
  <si>
    <t>5 1 1 3 2 12 31111 6 M78 13000 151</t>
  </si>
  <si>
    <t>5 1 1 3 2 12 31111 6 M78 13000 151 00C</t>
  </si>
  <si>
    <t>5 1 1 3 2 12 31111 6 M78 13000 151 00C 001</t>
  </si>
  <si>
    <t>5 1 1 3 2 12 31111 6 M78 13000 151 00C 001 13202</t>
  </si>
  <si>
    <t>5 1 1 3 2 12 31111 6 M78 13000 151 00C 001 13202 015</t>
  </si>
  <si>
    <t>5 1 1 3 2 12 31111 6 M78 13000 151 00C 001 13202 015 2111100</t>
  </si>
  <si>
    <t>5 1 1 3 2 12 31111 6 M78 13000 151 00C 001 13202 015 2111100 2024</t>
  </si>
  <si>
    <t>5 1 1 3 2 12 31111 6 M78 13000 151 00C 001 13202 015 2111100 2024 00000000</t>
  </si>
  <si>
    <t>5 1 1 3 2 12 31111 6 M78 13000 151 00C 001 13202 015 2111100 2024 00000000 001</t>
  </si>
  <si>
    <t>5 1 1 3 2 12 31111 6 M78 13000 151 00C 001 13202 015 2111100 2024 00000000 001 001</t>
  </si>
  <si>
    <t>5 1 1 3 2 12 31111 6 M78 13000 151 00C 001 13202 015 2111100 2024 00000000 001 001 013</t>
  </si>
  <si>
    <t>5 1 1 3 2 12 31111 6 M78 14000</t>
  </si>
  <si>
    <t>5 1 1 3 2 12 31111 6 M78 14000 211</t>
  </si>
  <si>
    <t>5 1 1 3 2 12 31111 6 M78 14000 211 00C</t>
  </si>
  <si>
    <t>5 1 1 3 2 12 31111 6 M78 14000 211 00C 001</t>
  </si>
  <si>
    <t>5 1 1 3 2 12 31111 6 M78 14000 211 00C 001 13202</t>
  </si>
  <si>
    <t>5 1 1 3 2 12 31111 6 M78 14000 211 00C 001 13202 015</t>
  </si>
  <si>
    <t>5 1 1 3 2 12 31111 6 M78 14000 211 00C 001 13202 015 2111100</t>
  </si>
  <si>
    <t>5 1 1 3 2 12 31111 6 M78 14000 211 00C 001 13202 015 2111100 2024</t>
  </si>
  <si>
    <t>5 1 1 3 2 12 31111 6 M78 14000 211 00C 001 13202 015 2111100 2024 00000000</t>
  </si>
  <si>
    <t>5 1 1 3 2 12 31111 6 M78 14000 211 00C 001 13202 015 2111100 2024 00000000 001</t>
  </si>
  <si>
    <t>5 1 1 3 2 12 31111 6 M78 14000 211 00C 001 13202 015 2111100 2024 00000000 001 001</t>
  </si>
  <si>
    <t>5 1 1 3 2 12 31111 6 M78 14000 211 00C 001 13202 015 2111100 2024 00000000 001 001 014</t>
  </si>
  <si>
    <t>5 1 1 3 2 12 31111 6 M78 15000</t>
  </si>
  <si>
    <t>5 1 1 3 2 12 31111 6 M78 15000 171</t>
  </si>
  <si>
    <t>5 1 1 3 2 12 31111 6 M78 15000 171 00I</t>
  </si>
  <si>
    <t>5 1 1 3 2 12 31111 6 M78 15000 171 00I 001</t>
  </si>
  <si>
    <t>5 1 1 3 2 12 31111 6 M78 15000 171 00I 001 13202</t>
  </si>
  <si>
    <t>5 1 1 3 2 12 31111 6 M78 15000 171 00I 001 13202 025</t>
  </si>
  <si>
    <t>5 1 1 3 2 12 31111 6 M78 15000 171 00I 001 13202 025 2111100</t>
  </si>
  <si>
    <t>5 1 1 3 2 12 31111 6 M78 15000 171 00I 001 13202 025 2111100 2024</t>
  </si>
  <si>
    <t>5 1 1 3 2 12 31111 6 M78 15000 171 00I 001 13202 025 2111100 2024 00000000</t>
  </si>
  <si>
    <t>5 1 1 3 2 12 31111 6 M78 15000 171 00I 001 13202 025 2111100 2024 00000000 003</t>
  </si>
  <si>
    <t>5 1 1 3 2 12 31111 6 M78 15000 171 00I 001 13202 025 2111100 2024 00000000 003 001</t>
  </si>
  <si>
    <t>5 1 1 3 2 12 31111 6 M78 15000 171 00I 001 13202 025 2111100 2024 00000000 003 001 015</t>
  </si>
  <si>
    <t>5 1 1 3 2 12 31111 6 M78 16000</t>
  </si>
  <si>
    <t>5 1 1 3 2 12 31111 6 M78 16000 173</t>
  </si>
  <si>
    <t>5 1 1 3 2 12 31111 6 M78 16000 173 00I</t>
  </si>
  <si>
    <t>5 1 1 3 2 12 31111 6 M78 16000 173 00I 001</t>
  </si>
  <si>
    <t>5 1 1 3 2 12 31111 6 M78 16000 173 00I 001 13202</t>
  </si>
  <si>
    <t>5 1 1 3 2 12 31111 6 M78 16000 173 00I 001 13202 025</t>
  </si>
  <si>
    <t>5 1 1 3 2 12 31111 6 M78 16000 173 00I 001 13202 025 2111100</t>
  </si>
  <si>
    <t>5 1 1 3 2 12 31111 6 M78 16000 173 00I 001 13202 025 2111100 2024</t>
  </si>
  <si>
    <t>5 1 1 3 2 12 31111 6 M78 16000 173 00I 001 13202 025 2111100 2024 00000000</t>
  </si>
  <si>
    <t>5 1 1 3 2 12 31111 6 M78 16000 173 00I 001 13202 025 2111100 2024 00000000 003</t>
  </si>
  <si>
    <t>5 1 1 3 2 12 31111 6 M78 16000 173 00I 001 13202 025 2111100 2024 00000000 003 001</t>
  </si>
  <si>
    <t>5 1 1 3 2 12 31111 6 M78 16000 173 00I 001 13202 025 2111100 2024 00000000 003 001 016</t>
  </si>
  <si>
    <t>5 1 1 3 2 12 31111 6 M78 17000</t>
  </si>
  <si>
    <t>5 1 1 3 2 12 31111 6 M78 17000 172</t>
  </si>
  <si>
    <t>5 1 1 3 2 12 31111 6 M78 17000 172 00I</t>
  </si>
  <si>
    <t>5 1 1 3 2 12 31111 6 M78 17000 172 00I 001</t>
  </si>
  <si>
    <t>5 1 1 3 2 12 31111 6 M78 17000 172 00I 001 13202</t>
  </si>
  <si>
    <t>5 1 1 3 2 12 31111 6 M78 17000 172 00I 001 13202 025</t>
  </si>
  <si>
    <t>5 1 1 3 2 12 31111 6 M78 17000 172 00I 001 13202 025 2111100</t>
  </si>
  <si>
    <t>5 1 1 3 2 12 31111 6 M78 17000 172 00I 001 13202 025 2111100 2024</t>
  </si>
  <si>
    <t>5 1 1 3 2 12 31111 6 M78 17000 172 00I 001 13202 025 2111100 2024 00000000</t>
  </si>
  <si>
    <t>5 1 1 3 2 12 31111 6 M78 17000 172 00I 001 13202 025 2111100 2024 00000000 003</t>
  </si>
  <si>
    <t>5 1 1 3 2 12 31111 6 M78 17000 172 00I 001 13202 025 2111100 2024 00000000 003 001</t>
  </si>
  <si>
    <t>5 1 1 3 2 12 31111 6 M78 17000 172 00I 001 13202 025 2111100 2024 00000000 003 001 017</t>
  </si>
  <si>
    <t>5 1 1 3 2 12 31111 6 M78 19000</t>
  </si>
  <si>
    <t>5 1 1 3 2 12 31111 6 M78 19000 321</t>
  </si>
  <si>
    <t>5 1 1 3 2 12 31111 6 M78 19000 321 00C</t>
  </si>
  <si>
    <t>5 1 1 3 2 12 31111 6 M78 19000 321 00C 001</t>
  </si>
  <si>
    <t>5 1 1 3 2 12 31111 6 M78 19000 321 00C 001 13202</t>
  </si>
  <si>
    <t>5 1 1 3 2 12 31111 6 M78 19000 321 00C 001 13202 015</t>
  </si>
  <si>
    <t>5 1 1 3 2 12 31111 6 M78 19000 321 00C 001 13202 015 2111100</t>
  </si>
  <si>
    <t>5 1 1 3 2 12 31111 6 M78 19000 321 00C 001 13202 015 2111100 2024</t>
  </si>
  <si>
    <t>5 1 1 3 2 12 31111 6 M78 19000 321 00C 001 13202 015 2111100 2024 00000000</t>
  </si>
  <si>
    <t>5 1 1 3 2 12 31111 6 M78 19000 321 00C 001 13202 015 2111100 2024 00000000 001</t>
  </si>
  <si>
    <t>5 1 1 3 2 12 31111 6 M78 19000 321 00C 001 13202 015 2111100 2024 00000000 001 001</t>
  </si>
  <si>
    <t>5 1 1 3 2 12 31111 6 M78 19000 321 00C 001 13202 015 2111100 2024 00000000 001 001 019</t>
  </si>
  <si>
    <t>5 1 1 3 2 12 31111 6 M78 20000</t>
  </si>
  <si>
    <t>5 1 1 3 2 12 31111 6 M78 20000 181</t>
  </si>
  <si>
    <t>5 1 1 3 2 12 31111 6 M78 20000 181 00C</t>
  </si>
  <si>
    <t>5 1 1 3 2 12 31111 6 M78 20000 181 00C 001</t>
  </si>
  <si>
    <t>5 1 1 3 2 12 31111 6 M78 20000 181 00C 001 13202</t>
  </si>
  <si>
    <t>5 1 1 3 2 12 31111 6 M78 20000 181 00C 001 13202 015</t>
  </si>
  <si>
    <t>5 1 1 3 2 12 31111 6 M78 20000 181 00C 001 13202 015 2111100</t>
  </si>
  <si>
    <t>5 1 1 3 2 12 31111 6 M78 20000 181 00C 001 13202 015 2111100 2024</t>
  </si>
  <si>
    <t>5 1 1 3 2 12 31111 6 M78 20000 181 00C 001 13202 015 2111100 2024 00000000</t>
  </si>
  <si>
    <t>5 1 1 3 2 12 31111 6 M78 20000 181 00C 001 13202 015 2111100 2024 00000000 001</t>
  </si>
  <si>
    <t>5 1 1 3 2 12 31111 6 M78 20000 181 00C 001 13202 015 2111100 2024 00000000 001 001</t>
  </si>
  <si>
    <t>5 1 1 3 2 12 31111 6 M78 20000 181 00C 001 13202 015 2111100 2024 00000000 001 001 020</t>
  </si>
  <si>
    <t>5 1 1 3 2 12 31111 6 M78 21000</t>
  </si>
  <si>
    <t>5 1 1 3 2 12 31111 6 M78 21000 242</t>
  </si>
  <si>
    <t>5 1 1 3 2 12 31111 6 M78 21000 242 00C</t>
  </si>
  <si>
    <t>5 1 1 3 2 12 31111 6 M78 21000 242 00C 001</t>
  </si>
  <si>
    <t>5 1 1 3 2 12 31111 6 M78 21000 242 00C 001 13202</t>
  </si>
  <si>
    <t>5 1 1 3 2 12 31111 6 M78 21000 242 00C 001 13202 015</t>
  </si>
  <si>
    <t>5 1 1 3 2 12 31111 6 M78 21000 242 00C 001 13202 015 2111100</t>
  </si>
  <si>
    <t>5 1 1 3 2 12 31111 6 M78 21000 242 00C 001 13202 015 2111100 2024</t>
  </si>
  <si>
    <t>5 1 1 3 2 12 31111 6 M78 21000 242 00C 001 13202 015 2111100 2024 00000000</t>
  </si>
  <si>
    <t>5 1 1 3 2 12 31111 6 M78 21000 242 00C 001 13202 015 2111100 2024 00000000 001</t>
  </si>
  <si>
    <t>5 1 1 3 2 12 31111 6 M78 21000 242 00C 001 13202 015 2111100 2024 00000000 001 001</t>
  </si>
  <si>
    <t>5 1 1 3 2 12 31111 6 M78 21000 242 00C 001 13202 015 2111100 2024 00000000 001 001 021</t>
  </si>
  <si>
    <t>5 1 1 3 2 12 31111 6 M78 22000</t>
  </si>
  <si>
    <t>5 1 1 3 2 12 31111 6 M78 22000 271</t>
  </si>
  <si>
    <t>5 1 1 3 2 12 31111 6 M78 22000 271 00C</t>
  </si>
  <si>
    <t>5 1 1 3 2 12 31111 6 M78 22000 271 00C 001</t>
  </si>
  <si>
    <t>5 1 1 3 2 12 31111 6 M78 22000 271 00C 001 13202</t>
  </si>
  <si>
    <t>5 1 1 3 2 12 31111 6 M78 22000 271 00C 001 13202 015</t>
  </si>
  <si>
    <t>5 1 1 3 2 12 31111 6 M78 22000 271 00C 001 13202 015 2111100</t>
  </si>
  <si>
    <t>5 1 1 3 2 12 31111 6 M78 22000 271 00C 001 13202 015 2111100 2024</t>
  </si>
  <si>
    <t>5 1 1 3 2 12 31111 6 M78 22000 271 00C 001 13202 015 2111100 2024 00000000</t>
  </si>
  <si>
    <t>5 1 1 3 2 12 31111 6 M78 22000 271 00C 001 13202 015 2111100 2024 00000000 001</t>
  </si>
  <si>
    <t>5 1 1 3 2 12 31111 6 M78 22000 271 00C 001 13202 015 2111100 2024 00000000 001 001</t>
  </si>
  <si>
    <t>5 1 1 3 2 12 31111 6 M78 22000 271 00C 001 13202 015 2111100 2024 00000000 001 001 022</t>
  </si>
  <si>
    <t>5 1 1 3 2 12 31111 6 M78 27000</t>
  </si>
  <si>
    <t>5 1 1 3 2 12 31111 6 M78 27000 184</t>
  </si>
  <si>
    <t>5 1 1 3 2 12 31111 6 M78 27000 184 00C</t>
  </si>
  <si>
    <t>5 1 1 3 2 12 31111 6 M78 27000 184 00C 001</t>
  </si>
  <si>
    <t>5 1 1 3 2 12 31111 6 M78 27000 184 00C 001 13202</t>
  </si>
  <si>
    <t>5 1 1 3 2 12 31111 6 M78 27000 184 00C 001 13202 015</t>
  </si>
  <si>
    <t>5 1 1 3 2 12 31111 6 M78 27000 184 00C 001 13202 015 2111100</t>
  </si>
  <si>
    <t>5 1 1 3 2 12 31111 6 M78 27000 184 00C 001 13202 015 2111100 2024</t>
  </si>
  <si>
    <t>5 1 1 3 2 12 31111 6 M78 27000 184 00C 001 13202 015 2111100 2024 00000000</t>
  </si>
  <si>
    <t>5 1 1 3 2 12 31111 6 M78 27000 184 00C 001 13202 015 2111100 2024 00000000 001</t>
  </si>
  <si>
    <t>5 1 1 3 2 12 31111 6 M78 27000 184 00C 001 13202 015 2111100 2024 00000000 001 001</t>
  </si>
  <si>
    <t>5 1 1 3 2 12 31111 6 M78 27000 184 00C 001 13202 015 2111100 2024 00000000 001 001 027</t>
  </si>
  <si>
    <t>5 1 1 3 4</t>
  </si>
  <si>
    <t>COMPENSACIONES</t>
  </si>
  <si>
    <t>5 1 1 3 4 12</t>
  </si>
  <si>
    <t>5 1 1 3 4 12 31111</t>
  </si>
  <si>
    <t>5 1 1 3 4 12 31111 6</t>
  </si>
  <si>
    <t>5 1 1 3 4 12 31111 6 M78</t>
  </si>
  <si>
    <t>5 1 1 3 4 12 31111 6 M78 01000</t>
  </si>
  <si>
    <t>5 1 1 3 4 12 31111 6 M78 01000 131</t>
  </si>
  <si>
    <t>5 1 1 3 4 12 31111 6 M78 01000 131 00C</t>
  </si>
  <si>
    <t>5 1 1 3 4 12 31111 6 M78 01000 131 00C 001</t>
  </si>
  <si>
    <t>5 1 1 3 4 12 31111 6 M78 01000 131 00C 001 13403</t>
  </si>
  <si>
    <t>COMPENSACIONES POR SERVICIOS ESPECIALES.</t>
  </si>
  <si>
    <t>5 1 1 3 4 12 31111 6 M78 01000 131 00C 001 13403 015</t>
  </si>
  <si>
    <t>5 1 1 3 4 12 31111 6 M78 01000 131 00C 001 13403 015 2111100</t>
  </si>
  <si>
    <t>5 1 1 3 4 12 31111 6 M78 01000 131 00C 001 13403 015 2111100 2024</t>
  </si>
  <si>
    <t>5 1 1 3 4 12 31111 6 M78 01000 131 00C 001 13403 015 2111100 2024 00000000</t>
  </si>
  <si>
    <t>5 1 1 3 4 12 31111 6 M78 01000 131 00C 001 13403 015 2111100 2024 00000000 001</t>
  </si>
  <si>
    <t>5 1 1 3 4 12 31111 6 M78 01000 131 00C 001 13403 015 2111100 2024 00000000 001 001</t>
  </si>
  <si>
    <t>5 1 1 3 4 12 31111 6 M78 01000 131 00C 001 13403 015 2111100 2024 00000000 001 001 001</t>
  </si>
  <si>
    <t>COMPENSACIONES POR SERVICIOS ESPECIALES</t>
  </si>
  <si>
    <t>5 1 1 3 4 12 31111 6 M78 01000 131 00C 001 13406</t>
  </si>
  <si>
    <t>COMPENSACIONES DE SERVICIOS.</t>
  </si>
  <si>
    <t>5 1 1 3 4 12 31111 6 M78 01000 131 00C 001 13406 015</t>
  </si>
  <si>
    <t>5 1 1 3 4 12 31111 6 M78 01000 131 00C 001 13406 015 2111100</t>
  </si>
  <si>
    <t>5 1 1 3 4 12 31111 6 M78 01000 131 00C 001 13406 015 2111100 2024</t>
  </si>
  <si>
    <t>5 1 1 3 4 12 31111 6 M78 01000 131 00C 001 13406 015 2111100 2024 00000000</t>
  </si>
  <si>
    <t>5 1 1 3 4 12 31111 6 M78 01000 131 00C 001 13406 015 2111100 2024 00000000 001</t>
  </si>
  <si>
    <t>5 1 1 3 4 12 31111 6 M78 01000 131 00C 001 13406 015 2111100 2024 00000000 001 001</t>
  </si>
  <si>
    <t>5 1 1 3 4 12 31111 6 M78 01000 131 00C 001 13406 015 2111100 2024 00000000 001 001 001</t>
  </si>
  <si>
    <t>COMPENSACIONES DE SERVICIOS</t>
  </si>
  <si>
    <t>5 1 1 3 4 12 31111 6 M78 02000</t>
  </si>
  <si>
    <t>5 1 1 3 4 12 31111 6 M78 02000 122</t>
  </si>
  <si>
    <t>5 1 1 3 4 12 31111 6 M78 02000 122 00C</t>
  </si>
  <si>
    <t>5 1 1 3 4 12 31111 6 M78 02000 122 00C 001</t>
  </si>
  <si>
    <t>5 1 1 3 4 12 31111 6 M78 02000 122 00C 001 13403</t>
  </si>
  <si>
    <t>5 1 1 3 4 12 31111 6 M78 02000 122 00C 001 13403 015</t>
  </si>
  <si>
    <t>5 1 1 3 4 12 31111 6 M78 02000 122 00C 001 13403 015 2111100</t>
  </si>
  <si>
    <t>5 1 1 3 4 12 31111 6 M78 02000 122 00C 001 13403 015 2111100 2024</t>
  </si>
  <si>
    <t>5 1 1 3 4 12 31111 6 M78 02000 122 00C 001 13403 015 2111100 2024 00000000</t>
  </si>
  <si>
    <t>5 1 1 3 4 12 31111 6 M78 02000 122 00C 001 13403 015 2111100 2024 00000000 001</t>
  </si>
  <si>
    <t>5 1 1 3 4 12 31111 6 M78 02000 122 00C 001 13403 015 2111100 2024 00000000 001 001</t>
  </si>
  <si>
    <t>5 1 1 3 4 12 31111 6 M78 02000 122 00C 001 13403 015 2111100 2024 00000000 001 001 002</t>
  </si>
  <si>
    <t>5 1 1 3 4 12 31111 6 M78 02000 122 00C 001 13406</t>
  </si>
  <si>
    <t>5 1 1 3 4 12 31111 6 M78 02000 122 00C 001 13406 015</t>
  </si>
  <si>
    <t>5 1 1 3 4 12 31111 6 M78 02000 122 00C 001 13406 015 2111100</t>
  </si>
  <si>
    <t>5 1 1 3 4 12 31111 6 M78 02000 122 00C 001 13406 015 2111100 2024</t>
  </si>
  <si>
    <t>5 1 1 3 4 12 31111 6 M78 02000 122 00C 001 13406 015 2111100 2024 00000000</t>
  </si>
  <si>
    <t>5 1 1 3 4 12 31111 6 M78 02000 122 00C 001 13406 015 2111100 2024 00000000 001</t>
  </si>
  <si>
    <t>5 1 1 3 4 12 31111 6 M78 02000 122 00C 001 13406 015 2111100 2024 00000000 001 001</t>
  </si>
  <si>
    <t>5 1 1 3 4 12 31111 6 M78 02000 122 00C 001 13406 015 2111100 2024 00000000 001 001 002</t>
  </si>
  <si>
    <t>5 1 1 3 4 12 31111 6 M78 03000</t>
  </si>
  <si>
    <t>5 1 1 3 4 12 31111 6 M78 03000 135</t>
  </si>
  <si>
    <t>5 1 1 3 4 12 31111 6 M78 03000 135 00I</t>
  </si>
  <si>
    <t>5 1 1 3 4 12 31111 6 M78 03000 135 00I 001</t>
  </si>
  <si>
    <t>5 1 1 3 4 12 31111 6 M78 03000 135 00I 001 13406</t>
  </si>
  <si>
    <t>5 1 1 3 4 12 31111 6 M78 03000 135 00I 001 13406 025</t>
  </si>
  <si>
    <t>5 1 1 3 4 12 31111 6 M78 03000 135 00I 001 13406 025 2111100</t>
  </si>
  <si>
    <t>5 1 1 3 4 12 31111 6 M78 03000 135 00I 001 13406 025 2111100 2024</t>
  </si>
  <si>
    <t>5 1 1 3 4 12 31111 6 M78 03000 135 00I 001 13406 025 2111100 2024 00000000</t>
  </si>
  <si>
    <t>5 1 1 3 4 12 31111 6 M78 03000 135 00I 001 13406 025 2111100 2024 00000000 003</t>
  </si>
  <si>
    <t>5 1 1 3 4 12 31111 6 M78 03000 135 00I 001 13406 025 2111100 2024 00000000 003 001</t>
  </si>
  <si>
    <t>5 1 1 3 4 12 31111 6 M78 03000 135 00I 001 13406 025 2111100 2024 00000000 003 001 003</t>
  </si>
  <si>
    <t>COMPENSACION DE SERVICIOS</t>
  </si>
  <si>
    <t>5 1 1 3 4 12 31111 6 M78 04000</t>
  </si>
  <si>
    <t>5 1 1 3 4 12 31111 6 M78 04000 152</t>
  </si>
  <si>
    <t>5 1 1 3 4 12 31111 6 M78 04000 152 00I</t>
  </si>
  <si>
    <t>5 1 1 3 4 12 31111 6 M78 04000 152 00I 001</t>
  </si>
  <si>
    <t>5 1 1 3 4 12 31111 6 M78 04000 152 00I 001 13406</t>
  </si>
  <si>
    <t>5 1 1 3 4 12 31111 6 M78 04000 152 00I 001 13406 025</t>
  </si>
  <si>
    <t>5 1 1 3 4 12 31111 6 M78 04000 152 00I 001 13406 025 2111100</t>
  </si>
  <si>
    <t>5 1 1 3 4 12 31111 6 M78 04000 152 00I 001 13406 025 2111100 2024</t>
  </si>
  <si>
    <t>5 1 1 3 4 12 31111 6 M78 04000 152 00I 001 13406 025 2111100 2024 00000000</t>
  </si>
  <si>
    <t>5 1 1 3 4 12 31111 6 M78 04000 152 00I 001 13406 025 2111100 2024 00000000 003</t>
  </si>
  <si>
    <t>5 1 1 3 4 12 31111 6 M78 04000 152 00I 001 13406 025 2111100 2024 00000000 003 001</t>
  </si>
  <si>
    <t>5 1 1 3 4 12 31111 6 M78 04000 152 00I 001 13406 025 2111100 2024 00000000 003 001 004</t>
  </si>
  <si>
    <t>5 1 1 3 4 12 31111 6 M78 05000</t>
  </si>
  <si>
    <t>5 1 1 3 4 12 31111 6 M78 05000 111</t>
  </si>
  <si>
    <t>5 1 1 3 4 12 31111 6 M78 05000 111 00C</t>
  </si>
  <si>
    <t>5 1 1 3 4 12 31111 6 M78 05000 111 00C 001</t>
  </si>
  <si>
    <t>5 1 1 3 4 12 31111 6 M78 05000 111 00C 001 13403</t>
  </si>
  <si>
    <t>5 1 1 3 4 12 31111 6 M78 05000 111 00C 001 13403 015</t>
  </si>
  <si>
    <t>5 1 1 3 4 12 31111 6 M78 05000 111 00C 001 13403 015 2111100</t>
  </si>
  <si>
    <t>5 1 1 3 4 12 31111 6 M78 05000 111 00C 001 13403 015 2111100 2024</t>
  </si>
  <si>
    <t>5 1 1 3 4 12 31111 6 M78 05000 111 00C 001 13403 015 2111100 2024 00000000</t>
  </si>
  <si>
    <t>5 1 1 3 4 12 31111 6 M78 05000 111 00C 001 13403 015 2111100 2024 00000000 001</t>
  </si>
  <si>
    <t>5 1 1 3 4 12 31111 6 M78 05000 111 00C 001 13403 015 2111100 2024 00000000 001 001</t>
  </si>
  <si>
    <t>5 1 1 3 4 12 31111 6 M78 05000 111 00C 001 13403 015 2111100 2024 00000000 001 001 005</t>
  </si>
  <si>
    <t>5 1 1 3 4 12 31111 6 M78 05000 111 00C 001 13406</t>
  </si>
  <si>
    <t>5 1 1 3 4 12 31111 6 M78 05000 111 00C 001 13406 015</t>
  </si>
  <si>
    <t>5 1 1 3 4 12 31111 6 M78 05000 111 00C 001 13406 015 2111100</t>
  </si>
  <si>
    <t>5 1 1 3 4 12 31111 6 M78 05000 111 00C 001 13406 015 2111100 2024</t>
  </si>
  <si>
    <t>5 1 1 3 4 12 31111 6 M78 05000 111 00C 001 13406 015 2111100 2024 00000000</t>
  </si>
  <si>
    <t>5 1 1 3 4 12 31111 6 M78 05000 111 00C 001 13406 015 2111100 2024 00000000 001</t>
  </si>
  <si>
    <t>5 1 1 3 4 12 31111 6 M78 05000 111 00C 001 13406 015 2111100 2024 00000000 001 001</t>
  </si>
  <si>
    <t>5 1 1 3 4 12 31111 6 M78 05000 111 00C 001 13406 015 2111100 2024 00000000 001 001 005</t>
  </si>
  <si>
    <t>5 1 1 3 4 12 31111 6 M78 06000</t>
  </si>
  <si>
    <t>5 1 1 3 4 12 31111 6 M78 06000 132</t>
  </si>
  <si>
    <t>5 1 1 3 4 12 31111 6 M78 06000 132 00C</t>
  </si>
  <si>
    <t>5 1 1 3 4 12 31111 6 M78 06000 132 00C 001</t>
  </si>
  <si>
    <t>5 1 1 3 4 12 31111 6 M78 06000 132 00C 001 13406</t>
  </si>
  <si>
    <t>5 1 1 3 4 12 31111 6 M78 06000 132 00C 001 13406 015</t>
  </si>
  <si>
    <t>5 1 1 3 4 12 31111 6 M78 06000 132 00C 001 13406 015 2111100</t>
  </si>
  <si>
    <t>5 1 1 3 4 12 31111 6 M78 06000 132 00C 001 13406 015 2111100 2024</t>
  </si>
  <si>
    <t>5 1 1 3 4 12 31111 6 M78 06000 132 00C 001 13406 015 2111100 2024 00000000</t>
  </si>
  <si>
    <t>5 1 1 3 4 12 31111 6 M78 06000 132 00C 001 13406 015 2111100 2024 00000000 001</t>
  </si>
  <si>
    <t>5 1 1 3 4 12 31111 6 M78 06000 132 00C 001 13406 015 2111100 2024 00000000 001 001</t>
  </si>
  <si>
    <t>5 1 1 3 4 12 31111 6 M78 06000 132 00C 001 13406 015 2111100 2024 00000000 001 001 006</t>
  </si>
  <si>
    <t>5 1 1 3 4 12 31111 6 M78 07000</t>
  </si>
  <si>
    <t>5 1 1 3 4 12 31111 6 M78 07000 151</t>
  </si>
  <si>
    <t>5 1 1 3 4 12 31111 6 M78 07000 151 00C</t>
  </si>
  <si>
    <t>5 1 1 3 4 12 31111 6 M78 07000 151 00C 001</t>
  </si>
  <si>
    <t>5 1 1 3 4 12 31111 6 M78 07000 151 00C 001 13403</t>
  </si>
  <si>
    <t>5 1 1 3 4 12 31111 6 M78 07000 151 00C 001 13403 015</t>
  </si>
  <si>
    <t>5 1 1 3 4 12 31111 6 M78 07000 151 00C 001 13403 015 2111100</t>
  </si>
  <si>
    <t>5 1 1 3 4 12 31111 6 M78 07000 151 00C 001 13403 015 2111100 2024</t>
  </si>
  <si>
    <t>5 1 1 3 4 12 31111 6 M78 07000 151 00C 001 13403 015 2111100 2024 00000000</t>
  </si>
  <si>
    <t>5 1 1 3 4 12 31111 6 M78 07000 151 00C 001 13403 015 2111100 2024 00000000 001</t>
  </si>
  <si>
    <t>5 1 1 3 4 12 31111 6 M78 07000 151 00C 001 13403 015 2111100 2024 00000000 001 001</t>
  </si>
  <si>
    <t>5 1 1 3 4 12 31111 6 M78 07000 151 00C 001 13403 015 2111100 2024 00000000 001 001 007</t>
  </si>
  <si>
    <t>5 1 1 3 4 12 31111 6 M78 07000 151 00C 001 13406</t>
  </si>
  <si>
    <t>5 1 1 3 4 12 31111 6 M78 07000 151 00C 001 13406 015</t>
  </si>
  <si>
    <t>5 1 1 3 4 12 31111 6 M78 07000 151 00C 001 13406 015 2111100</t>
  </si>
  <si>
    <t>5 1 1 3 4 12 31111 6 M78 07000 151 00C 001 13406 015 2111100 2024</t>
  </si>
  <si>
    <t>5 1 1 3 4 12 31111 6 M78 07000 151 00C 001 13406 015 2111100 2024 00000000</t>
  </si>
  <si>
    <t>5 1 1 3 4 12 31111 6 M78 07000 151 00C 001 13406 015 2111100 2024 00000000 001</t>
  </si>
  <si>
    <t>5 1 1 3 4 12 31111 6 M78 07000 151 00C 001 13406 015 2111100 2024 00000000 001 001</t>
  </si>
  <si>
    <t>5 1 1 3 4 12 31111 6 M78 07000 151 00C 001 13406 015 2111100 2024 00000000 001 001 007</t>
  </si>
  <si>
    <t>5 1 1 3 4 12 31111 6 M78 08000</t>
  </si>
  <si>
    <t>5 1 1 3 4 12 31111 6 M78 08000 134</t>
  </si>
  <si>
    <t>5 1 1 3 4 12 31111 6 M78 08000 134 00C</t>
  </si>
  <si>
    <t>5 1 1 3 4 12 31111 6 M78 08000 134 00C 001</t>
  </si>
  <si>
    <t>5 1 1 3 4 12 31111 6 M78 08000 134 00C 001 13403</t>
  </si>
  <si>
    <t>5 1 1 3 4 12 31111 6 M78 08000 134 00C 001 13403 015</t>
  </si>
  <si>
    <t>5 1 1 3 4 12 31111 6 M78 08000 134 00C 001 13403 015 2111100</t>
  </si>
  <si>
    <t>5 1 1 3 4 12 31111 6 M78 08000 134 00C 001 13403 015 2111100 2024</t>
  </si>
  <si>
    <t>5 1 1 3 4 12 31111 6 M78 08000 134 00C 001 13403 015 2111100 2024 00000000</t>
  </si>
  <si>
    <t>5 1 1 3 4 12 31111 6 M78 08000 134 00C 001 13403 015 2111100 2024 00000000 001</t>
  </si>
  <si>
    <t>5 1 1 3 4 12 31111 6 M78 08000 134 00C 001 13403 015 2111100 2024 00000000 001 001</t>
  </si>
  <si>
    <t>EMPLEADOS CONTRALORIA INTERNA</t>
  </si>
  <si>
    <t>5 1 1 3 4 12 31111 6 M78 08000 134 00C 001 13403 015 2111100 2024 00000000 001 001 008</t>
  </si>
  <si>
    <t>5 1 1 3 4 12 31111 6 M78 08000 134 00C 001 13406</t>
  </si>
  <si>
    <t>5 1 1 3 4 12 31111 6 M78 08000 134 00C 001 13406 015</t>
  </si>
  <si>
    <t>5 1 1 3 4 12 31111 6 M78 08000 134 00C 001 13406 015 2111100</t>
  </si>
  <si>
    <t>5 1 1 3 4 12 31111 6 M78 08000 134 00C 001 13406 015 2111100 2024</t>
  </si>
  <si>
    <t>5 1 1 3 4 12 31111 6 M78 08000 134 00C 001 13406 015 2111100 2024 00000000</t>
  </si>
  <si>
    <t>5 1 1 3 4 12 31111 6 M78 08000 134 00C 001 13406 015 2111100 2024 00000000 001</t>
  </si>
  <si>
    <t>5 1 1 3 4 12 31111 6 M78 08000 134 00C 001 13406 015 2111100 2024 00000000 001 001</t>
  </si>
  <si>
    <t>5 1 1 3 4 12 31111 6 M78 08000 134 00C 001 13406 015 2111100 2024 00000000 001 001 008</t>
  </si>
  <si>
    <t>5 1 1 3 4 12 31111 6 M78 09000</t>
  </si>
  <si>
    <t>5 1 1 3 4 12 31111 6 M78 09000 134</t>
  </si>
  <si>
    <t>5 1 1 3 4 12 31111 6 M78 09000 134 00C</t>
  </si>
  <si>
    <t>5 1 1 3 4 12 31111 6 M78 09000 134 00C 001</t>
  </si>
  <si>
    <t>5 1 1 3 4 12 31111 6 M78 09000 134 00C 001 13403</t>
  </si>
  <si>
    <t>5 1 1 3 4 12 31111 6 M78 09000 134 00C 001 13403 015</t>
  </si>
  <si>
    <t>5 1 1 3 4 12 31111 6 M78 09000 134 00C 001 13403 015 2111100</t>
  </si>
  <si>
    <t>5 1 1 3 4 12 31111 6 M78 09000 134 00C 001 13403 015 2111100 2024</t>
  </si>
  <si>
    <t>5 1 1 3 4 12 31111 6 M78 09000 134 00C 001 13403 015 2111100 2024 00000000</t>
  </si>
  <si>
    <t>5 1 1 3 4 12 31111 6 M78 09000 134 00C 001 13403 015 2111100 2024 00000000 001</t>
  </si>
  <si>
    <t>5 1 1 3 4 12 31111 6 M78 09000 134 00C 001 13403 015 2111100 2024 00000000 001 001</t>
  </si>
  <si>
    <t>5 1 1 3 4 12 31111 6 M78 09000 134 00C 001 13403 015 2111100 2024 00000000 001 001 009</t>
  </si>
  <si>
    <t>5 1 1 3 4 12 31111 6 M78 09000 134 00C 001 13406</t>
  </si>
  <si>
    <t>5 1 1 3 4 12 31111 6 M78 09000 134 00C 001 13406 015</t>
  </si>
  <si>
    <t>5 1 1 3 4 12 31111 6 M78 09000 134 00C 001 13406 015 2111100</t>
  </si>
  <si>
    <t>5 1 1 3 4 12 31111 6 M78 09000 134 00C 001 13406 015 2111100 2024</t>
  </si>
  <si>
    <t>5 1 1 3 4 12 31111 6 M78 09000 134 00C 001 13406 015 2111100 2024 00000000</t>
  </si>
  <si>
    <t>5 1 1 3 4 12 31111 6 M78 09000 134 00C 001 13406 015 2111100 2024 00000000 001</t>
  </si>
  <si>
    <t>5 1 1 3 4 12 31111 6 M78 09000 134 00C 001 13406 015 2111100 2024 00000000 001 001</t>
  </si>
  <si>
    <t>5 1 1 3 4 12 31111 6 M78 09000 134 00C 001 13406 015 2111100 2024 00000000 001 001 008</t>
  </si>
  <si>
    <t>5 1 1 3 4 12 31111 6 M78 11000</t>
  </si>
  <si>
    <t>5 1 1 3 4 12 31111 6 M78 11000 263</t>
  </si>
  <si>
    <t>5 1 1 3 4 12 31111 6 M78 11000 263 00C</t>
  </si>
  <si>
    <t>5 1 1 3 4 12 31111 6 M78 11000 263 00C 001</t>
  </si>
  <si>
    <t>5 1 1 3 4 12 31111 6 M78 11000 263 00C 001 13403</t>
  </si>
  <si>
    <t>COMPENSACIONES DE SERVICIOS ESPECIALES</t>
  </si>
  <si>
    <t>5 1 1 3 4 12 31111 6 M78 11000 263 00C 001 13403 015</t>
  </si>
  <si>
    <t>15. RECURSOS FEDERALES</t>
  </si>
  <si>
    <t>5 1 1 3 4 12 31111 6 M78 11000 263 00C 001 13403 015 2111100</t>
  </si>
  <si>
    <t>5 1 1 3 4 12 31111 6 M78 11000 263 00C 001 13403 015 2111100 2024</t>
  </si>
  <si>
    <t>5 1 1 3 4 12 31111 6 M78 11000 263 00C 001 13403 015 2111100 2024 00000000</t>
  </si>
  <si>
    <t>5 1 1 3 4 12 31111 6 M78 11000 263 00C 001 13403 015 2111100 2024 00000000 001</t>
  </si>
  <si>
    <t>5 1 1 3 4 12 31111 6 M78 11000 263 00C 001 13403 015 2111100 2024 00000000 001 001</t>
  </si>
  <si>
    <t>EMPLEADOS DE DESARROLLO SOCIAL</t>
  </si>
  <si>
    <t>5 1 1 3 4 12 31111 6 M78 11000 263 00C 001 13403 015 2111100 2024 00000000 001 001 011</t>
  </si>
  <si>
    <t>5 1 1 3 4 12 31111 6 M78 11000 263 00C 001 13406</t>
  </si>
  <si>
    <t>5 1 1 3 4 12 31111 6 M78 11000 263 00C 001 13406 015</t>
  </si>
  <si>
    <t>5 1 1 3 4 12 31111 6 M78 11000 263 00C 001 13406 015 2111100</t>
  </si>
  <si>
    <t>5 1 1 3 4 12 31111 6 M78 11000 263 00C 001 13406 015 2111100 2024</t>
  </si>
  <si>
    <t>5 1 1 3 4 12 31111 6 M78 11000 263 00C 001 13406 015 2111100 2024 00000000</t>
  </si>
  <si>
    <t>5 1 1 3 4 12 31111 6 M78 11000 263 00C 001 13406 015 2111100 2024 00000000 001</t>
  </si>
  <si>
    <t>5 1 1 3 4 12 31111 6 M78 11000 263 00C 001 13406 015 2111100 2024 00000000 001 001</t>
  </si>
  <si>
    <t>5 1 1 3 4 12 31111 6 M78 11000 263 00C 001 13406 015 2111100 2024 00000000 001 001 011</t>
  </si>
  <si>
    <t>5 1 1 3 4 12 31111 6 M78 12000</t>
  </si>
  <si>
    <t>5 1 1 3 4 12 31111 6 M78 12000 265</t>
  </si>
  <si>
    <t>5 1 1 3 4 12 31111 6 M78 12000 265 00C</t>
  </si>
  <si>
    <t>5 1 1 3 4 12 31111 6 M78 12000 265 00C 001</t>
  </si>
  <si>
    <t>5 1 1 3 4 12 31111 6 M78 12000 265 00C 001 13403</t>
  </si>
  <si>
    <t>5 1 1 3 4 12 31111 6 M78 12000 265 00C 001 13403 015</t>
  </si>
  <si>
    <t>5 1 1 3 4 12 31111 6 M78 12000 265 00C 001 13403 015 2111100</t>
  </si>
  <si>
    <t>5 1 1 3 4 12 31111 6 M78 12000 265 00C 001 13403 015 2111100 2024</t>
  </si>
  <si>
    <t>5 1 1 3 4 12 31111 6 M78 12000 265 00C 001 13403 015 2111100 2024 00000000</t>
  </si>
  <si>
    <t>5 1 1 3 4 12 31111 6 M78 12000 265 00C 001 13403 015 2111100 2024 00000000 001</t>
  </si>
  <si>
    <t>5 1 1 3 4 12 31111 6 M78 12000 265 00C 001 13403 015 2111100 2024 00000000 001 001</t>
  </si>
  <si>
    <t>5 1 1 3 4 12 31111 6 M78 12000 265 00C 001 13403 015 2111100 2024 00000000 001 001 012</t>
  </si>
  <si>
    <t>5 1 1 3 4 12 31111 6 M78 12000 265 00C 001 13406</t>
  </si>
  <si>
    <t>5 1 1 3 4 12 31111 6 M78 12000 265 00C 001 13406 015</t>
  </si>
  <si>
    <t>5 1 1 3 4 12 31111 6 M78 12000 265 00C 001 13406 015 2111100</t>
  </si>
  <si>
    <t>5 1 1 3 4 12 31111 6 M78 12000 265 00C 001 13406 015 2111100 2024</t>
  </si>
  <si>
    <t>5 1 1 3 4 12 31111 6 M78 12000 265 00C 001 13406 015 2111100 2024 00000000</t>
  </si>
  <si>
    <t>5 1 1 3 4 12 31111 6 M78 12000 265 00C 001 13406 015 2111100 2024 00000000 001</t>
  </si>
  <si>
    <t>5 1 1 3 4 12 31111 6 M78 12000 265 00C 001 13406 015 2111100 2024 00000000 001 001</t>
  </si>
  <si>
    <t>5 1 1 3 4 12 31111 6 M78 12000 265 00C 001 13406 015 2111100 2024 00000000 001 001 012</t>
  </si>
  <si>
    <t>5 1 1 3 4 12 31111 6 M78 13000</t>
  </si>
  <si>
    <t>5 1 1 3 4 12 31111 6 M78 13000 151</t>
  </si>
  <si>
    <t>5 1 1 3 4 12 31111 6 M78 13000 151 00C</t>
  </si>
  <si>
    <t>5 1 1 3 4 12 31111 6 M78 13000 151 00C 001</t>
  </si>
  <si>
    <t>5 1 1 3 4 12 31111 6 M78 13000 151 00C 001 13406</t>
  </si>
  <si>
    <t>5 1 1 3 4 12 31111 6 M78 13000 151 00C 001 13406 015</t>
  </si>
  <si>
    <t>5 1 1 3 4 12 31111 6 M78 13000 151 00C 001 13406 015 2111100</t>
  </si>
  <si>
    <t>5 1 1 3 4 12 31111 6 M78 13000 151 00C 001 13406 015 2111100 2024</t>
  </si>
  <si>
    <t>5 1 1 3 4 12 31111 6 M78 13000 151 00C 001 13406 015 2111100 2024 00000000</t>
  </si>
  <si>
    <t>5 1 1 3 4 12 31111 6 M78 13000 151 00C 001 13406 015 2111100 2024 00000000 001</t>
  </si>
  <si>
    <t>5 1 1 3 4 12 31111 6 M78 13000 151 00C 001 13406 015 2111100 2024 00000000 001 001</t>
  </si>
  <si>
    <t>5 1 1 3 4 12 31111 6 M78 13000 151 00C 001 13406 015 2111100 2024 00000000 001 001 013</t>
  </si>
  <si>
    <t>5 1 1 3 4 12 31111 6 M78 14000</t>
  </si>
  <si>
    <t>5 1 1 3 4 12 31111 6 M78 14000 211</t>
  </si>
  <si>
    <t>5 1 1 3 4 12 31111 6 M78 14000 211 00C</t>
  </si>
  <si>
    <t>5 1 1 3 4 12 31111 6 M78 14000 211 00C 001</t>
  </si>
  <si>
    <t>5 1 1 3 4 12 31111 6 M78 14000 211 00C 001 13406</t>
  </si>
  <si>
    <t>5 1 1 3 4 12 31111 6 M78 14000 211 00C 001 13406 015</t>
  </si>
  <si>
    <t>5 1 1 3 4 12 31111 6 M78 14000 211 00C 001 13406 015 2111100</t>
  </si>
  <si>
    <t>5 1 1 3 4 12 31111 6 M78 14000 211 00C 001 13406 015 2111100 2024</t>
  </si>
  <si>
    <t>5 1 1 3 4 12 31111 6 M78 14000 211 00C 001 13406 015 2111100 2024 00000000</t>
  </si>
  <si>
    <t>5 1 1 3 4 12 31111 6 M78 14000 211 00C 001 13406 015 2111100 2024 00000000 001</t>
  </si>
  <si>
    <t>5 1 1 3 4 12 31111 6 M78 14000 211 00C 001 13406 015 2111100 2024 00000000 001 001</t>
  </si>
  <si>
    <t>5 1 1 3 4 12 31111 6 M78 14000 211 00C 001 13406 015 2111100 2024 00000000 001 001 014</t>
  </si>
  <si>
    <t>5 1 1 3 4 12 31111 6 M78 15000</t>
  </si>
  <si>
    <t>5 1 1 3 4 12 31111 6 M78 15000 171</t>
  </si>
  <si>
    <t>5 1 1 3 4 12 31111 6 M78 15000 171 00I</t>
  </si>
  <si>
    <t>5 1 1 3 4 12 31111 6 M78 15000 171 00I 001</t>
  </si>
  <si>
    <t>5 1 1 3 4 12 31111 6 M78 15000 171 00I 001 13406</t>
  </si>
  <si>
    <t>5 1 1 3 4 12 31111 6 M78 15000 171 00I 001 13406 025</t>
  </si>
  <si>
    <t>5 1 1 3 4 12 31111 6 M78 15000 171 00I 001 13406 025 2111100</t>
  </si>
  <si>
    <t>5 1 1 3 4 12 31111 6 M78 15000 171 00I 001 13406 025 2111100 2024</t>
  </si>
  <si>
    <t>5 1 1 3 4 12 31111 6 M78 15000 171 00I 001 13406 025 2111100 2024 00000000</t>
  </si>
  <si>
    <t>5 1 1 3 4 12 31111 6 M78 15000 171 00I 001 13406 025 2111100 2024 00000000 003</t>
  </si>
  <si>
    <t>5 1 1 3 4 12 31111 6 M78 15000 171 00I 001 13406 025 2111100 2024 00000000 003 001</t>
  </si>
  <si>
    <t>5 1 1 3 4 12 31111 6 M78 15000 171 00I 001 13406 025 2111100 2024 00000000 003 001 015</t>
  </si>
  <si>
    <t>5 1 1 3 4 12 31111 6 M78 16000</t>
  </si>
  <si>
    <t>5 1 1 3 4 12 31111 6 M78 16000 173</t>
  </si>
  <si>
    <t>5 1 1 3 4 12 31111 6 M78 16000 173 00I</t>
  </si>
  <si>
    <t>5 1 1 3 4 12 31111 6 M78 16000 173 00I 001</t>
  </si>
  <si>
    <t>5 1 1 3 4 12 31111 6 M78 16000 173 00I 001 13406</t>
  </si>
  <si>
    <t>5 1 1 3 4 12 31111 6 M78 16000 173 00I 001 13406 025</t>
  </si>
  <si>
    <t>5 1 1 3 4 12 31111 6 M78 16000 173 00I 001 13406 025 2111100</t>
  </si>
  <si>
    <t>5 1 1 3 4 12 31111 6 M78 16000 173 00I 001 13406 025 2111100 2024</t>
  </si>
  <si>
    <t>5 1 1 3 4 12 31111 6 M78 16000 173 00I 001 13406 025 2111100 2024 00000000</t>
  </si>
  <si>
    <t>5 1 1 3 4 12 31111 6 M78 16000 173 00I 001 13406 025 2111100 2024 00000000 003</t>
  </si>
  <si>
    <t>5 1 1 3 4 12 31111 6 M78 16000 173 00I 001 13406 025 2111100 2024 00000000 003 001</t>
  </si>
  <si>
    <t>5 1 1 3 4 12 31111 6 M78 16000 173 00I 001 13406 025 2111100 2024 00000000 003 001 016</t>
  </si>
  <si>
    <t>5 1 1 3 4 12 31111 6 M78 17000</t>
  </si>
  <si>
    <t>5 1 1 3 4 12 31111 6 M78 17000 172</t>
  </si>
  <si>
    <t>5 1 1 3 4 12 31111 6 M78 17000 172 00I</t>
  </si>
  <si>
    <t>5 1 1 3 4 12 31111 6 M78 17000 172 00I 001</t>
  </si>
  <si>
    <t>5 1 1 3 4 12 31111 6 M78 17000 172 00I 001 13403</t>
  </si>
  <si>
    <t>5 1 1 3 4 12 31111 6 M78 17000 172 00I 001 13403 025</t>
  </si>
  <si>
    <t>5 1 1 3 4 12 31111 6 M78 17000 172 00I 001 13403 025 2111100</t>
  </si>
  <si>
    <t>5 1 1 3 4 12 31111 6 M78 17000 172 00I 001 13403 025 2111100 2024</t>
  </si>
  <si>
    <t>5 1 1 3 4 12 31111 6 M78 17000 172 00I 001 13403 025 2111100 2024 00000000</t>
  </si>
  <si>
    <t>5 1 1 3 4 12 31111 6 M78 17000 172 00I 001 13403 025 2111100 2024 00000000 003</t>
  </si>
  <si>
    <t>5 1 1 3 4 12 31111 6 M78 17000 172 00I 001 13403 025 2111100 2024 00000000 003 001</t>
  </si>
  <si>
    <t>5 1 1 3 4 12 31111 6 M78 17000 172 00I 001 13403 025 2111100 2024 00000000 003 001 017</t>
  </si>
  <si>
    <t>5 1 1 3 4 12 31111 6 M78 17000 172 00I 001 13406</t>
  </si>
  <si>
    <t>5 1 1 3 4 12 31111 6 M78 17000 172 00I 001 13406 025</t>
  </si>
  <si>
    <t>5 1 1 3 4 12 31111 6 M78 17000 172 00I 001 13406 025 2111100</t>
  </si>
  <si>
    <t>5 1 1 3 4 12 31111 6 M78 17000 172 00I 001 13406 025 2111100 2024</t>
  </si>
  <si>
    <t>5 1 1 3 4 12 31111 6 M78 17000 172 00I 001 13406 025 2111100 2024 00000000</t>
  </si>
  <si>
    <t>5 1 1 3 4 12 31111 6 M78 17000 172 00I 001 13406 025 2111100 2024 00000000 003</t>
  </si>
  <si>
    <t>5 1 1 3 4 12 31111 6 M78 17000 172 00I 001 13406 025 2111100 2024 00000000 003 001</t>
  </si>
  <si>
    <t>5 1 1 3 4 12 31111 6 M78 17000 172 00I 001 13406 025 2111100 2024 00000000 003 001 017</t>
  </si>
  <si>
    <t>5 1 1 3 4 12 31111 6 M78 19000</t>
  </si>
  <si>
    <t>5 1 1 3 4 12 31111 6 M78 19000 321</t>
  </si>
  <si>
    <t>5 1 1 3 4 12 31111 6 M78 19000 321 00C</t>
  </si>
  <si>
    <t>5 1 1 3 4 12 31111 6 M78 19000 321 00C 001</t>
  </si>
  <si>
    <t>5 1 1 3 4 12 31111 6 M78 19000 321 00C 001 13403</t>
  </si>
  <si>
    <t>5 1 1 3 4 12 31111 6 M78 19000 321 00C 001 13403 015</t>
  </si>
  <si>
    <t>5 1 1 3 4 12 31111 6 M78 19000 321 00C 001 13403 015 2111100</t>
  </si>
  <si>
    <t>5 1 1 3 4 12 31111 6 M78 19000 321 00C 001 13403 015 2111100 2024</t>
  </si>
  <si>
    <t>5 1 1 3 4 12 31111 6 M78 19000 321 00C 001 13403 015 2111100 2024 00000000</t>
  </si>
  <si>
    <t>5 1 1 3 4 12 31111 6 M78 19000 321 00C 001 13403 015 2111100 2024 00000000 001</t>
  </si>
  <si>
    <t>5 1 1 3 4 12 31111 6 M78 19000 321 00C 001 13403 015 2111100 2024 00000000 001 001</t>
  </si>
  <si>
    <t>5 1 1 3 4 12 31111 6 M78 19000 321 00C 001 13403 015 2111100 2024 00000000 001 001 019</t>
  </si>
  <si>
    <t>5 1 1 3 4 12 31111 6 M78 19000 321 00C 001 13406</t>
  </si>
  <si>
    <t>5 1 1 3 4 12 31111 6 M78 19000 321 00C 001 13406 015</t>
  </si>
  <si>
    <t>5 1 1 3 4 12 31111 6 M78 19000 321 00C 001 13406 015 2111100</t>
  </si>
  <si>
    <t>5 1 1 3 4 12 31111 6 M78 19000 321 00C 001 13406 015 2111100 2024</t>
  </si>
  <si>
    <t>5 1 1 3 4 12 31111 6 M78 19000 321 00C 001 13406 015 2111100 2024 00000000</t>
  </si>
  <si>
    <t>5 1 1 3 4 12 31111 6 M78 19000 321 00C 001 13406 015 2111100 2024 00000000 001</t>
  </si>
  <si>
    <t>5 1 1 3 4 12 31111 6 M78 19000 321 00C 001 13406 015 2111100 2024 00000000 001 001</t>
  </si>
  <si>
    <t>5 1 1 3 4 12 31111 6 M78 19000 321 00C 001 13406 015 2111100 2024 00000000 001 001 019</t>
  </si>
  <si>
    <t>5 1 1 3 4 12 31111 6 M78 20000</t>
  </si>
  <si>
    <t>5 1 1 3 4 12 31111 6 M78 20000 181</t>
  </si>
  <si>
    <t>5 1 1 3 4 12 31111 6 M78 20000 181 00C</t>
  </si>
  <si>
    <t>5 1 1 3 4 12 31111 6 M78 20000 181 00C 001</t>
  </si>
  <si>
    <t>5 1 1 3 4 12 31111 6 M78 20000 181 00C 001 13403</t>
  </si>
  <si>
    <t>5 1 1 3 4 12 31111 6 M78 20000 181 00C 001 13403 015</t>
  </si>
  <si>
    <t>5 1 1 3 4 12 31111 6 M78 20000 181 00C 001 13403 015 2111100</t>
  </si>
  <si>
    <t>5 1 1 3 4 12 31111 6 M78 20000 181 00C 001 13403 015 2111100 2024</t>
  </si>
  <si>
    <t>5 1 1 3 4 12 31111 6 M78 20000 181 00C 001 13403 015 2111100 2024 00000000</t>
  </si>
  <si>
    <t>5 1 1 3 4 12 31111 6 M78 20000 181 00C 001 13403 015 2111100 2024 00000000 001</t>
  </si>
  <si>
    <t>5 1 1 3 4 12 31111 6 M78 20000 181 00C 001 13403 015 2111100 2024 00000000 001 001</t>
  </si>
  <si>
    <t>EMPLEADOS DEL REGISTRO CIVIL</t>
  </si>
  <si>
    <t>5 1 1 3 4 12 31111 6 M78 20000 181 00C 001 13403 015 2111100 2024 00000000 001 001 020</t>
  </si>
  <si>
    <t>5 1 1 3 4 12 31111 6 M78 20000 181 00C 001 13406</t>
  </si>
  <si>
    <t>5 1 1 3 4 12 31111 6 M78 20000 181 00C 001 13406 015</t>
  </si>
  <si>
    <t>5 1 1 3 4 12 31111 6 M78 20000 181 00C 001 13406 015 2111100</t>
  </si>
  <si>
    <t>5 1 1 3 4 12 31111 6 M78 20000 181 00C 001 13406 015 2111100 2024</t>
  </si>
  <si>
    <t>5 1 1 3 4 12 31111 6 M78 20000 181 00C 001 13406 015 2111100 2024 00000000</t>
  </si>
  <si>
    <t>5 1 1 3 4 12 31111 6 M78 20000 181 00C 001 13406 015 2111100 2024 00000000 001</t>
  </si>
  <si>
    <t>5 1 1 3 4 12 31111 6 M78 20000 181 00C 001 13406 015 2111100 2024 00000000 001 001</t>
  </si>
  <si>
    <t>5 1 1 3 4 12 31111 6 M78 20000 181 00C 001 13406 015 2111100 2024 00000000 001 001 020</t>
  </si>
  <si>
    <t>5 1 1 3 4 12 31111 6 M78 21000</t>
  </si>
  <si>
    <t>5 1 1 3 4 12 31111 6 M78 21000 242</t>
  </si>
  <si>
    <t>5 1 1 3 4 12 31111 6 M78 21000 242 00C</t>
  </si>
  <si>
    <t>5 1 1 3 4 12 31111 6 M78 21000 242 00C 001</t>
  </si>
  <si>
    <t>5 1 1 3 4 12 31111 6 M78 21000 242 00C 001 13406</t>
  </si>
  <si>
    <t>5 1 1 3 4 12 31111 6 M78 21000 242 00C 001 13406 015</t>
  </si>
  <si>
    <t>5 1 1 3 4 12 31111 6 M78 21000 242 00C 001 13406 015 2111100</t>
  </si>
  <si>
    <t>5 1 1 3 4 12 31111 6 M78 21000 242 00C 001 13406 015 2111100 2024</t>
  </si>
  <si>
    <t>5 1 1 3 4 12 31111 6 M78 21000 242 00C 001 13406 015 2111100 2024 00000000</t>
  </si>
  <si>
    <t>5 1 1 3 4 12 31111 6 M78 21000 242 00C 001 13406 015 2111100 2024 00000000 001</t>
  </si>
  <si>
    <t>5 1 1 3 4 12 31111 6 M78 21000 242 00C 001 13406 015 2111100 2024 00000000 001 001</t>
  </si>
  <si>
    <t>5 1 1 3 4 12 31111 6 M78 21000 242 00C 001 13406 015 2111100 2024 00000000 001 001 021</t>
  </si>
  <si>
    <t>5 1 1 3 4 12 31111 6 M78 22000</t>
  </si>
  <si>
    <t>5 1 1 3 4 12 31111 6 M78 22000 271</t>
  </si>
  <si>
    <t>5 1 1 3 4 12 31111 6 M78 22000 271 00C</t>
  </si>
  <si>
    <t>5 1 1 3 4 12 31111 6 M78 22000 271 00C 001</t>
  </si>
  <si>
    <t>5 1 1 3 4 12 31111 6 M78 22000 271 00C 001 13403</t>
  </si>
  <si>
    <t>5 1 1 3 4 12 31111 6 M78 22000 271 00C 001 13403 015</t>
  </si>
  <si>
    <t>5 1 1 3 4 12 31111 6 M78 22000 271 00C 001 13403 015 2111100</t>
  </si>
  <si>
    <t>5 1 1 3 4 12 31111 6 M78 22000 271 00C 001 13403 015 2111100 2024</t>
  </si>
  <si>
    <t>5 1 1 3 4 12 31111 6 M78 22000 271 00C 001 13403 015 2111100 2024 00000000</t>
  </si>
  <si>
    <t>5 1 1 3 4 12 31111 6 M78 22000 271 00C 001 13403 015 2111100 2024 00000000 001</t>
  </si>
  <si>
    <t>5 1 1 3 4 12 31111 6 M78 22000 271 00C 001 13403 015 2111100 2024 00000000 001 001</t>
  </si>
  <si>
    <t>5 1 1 3 4 12 31111 6 M78 22000 271 00C 001 13403 015 2111100 2024 00000000 001 001 022</t>
  </si>
  <si>
    <t>5 1 1 3 4 12 31111 6 M78 22000 271 00C 001 13406</t>
  </si>
  <si>
    <t>5 1 1 3 4 12 31111 6 M78 22000 271 00C 001 13406 015</t>
  </si>
  <si>
    <t>5 1 1 3 4 12 31111 6 M78 22000 271 00C 001 13406 015 2111100</t>
  </si>
  <si>
    <t>5 1 1 3 4 12 31111 6 M78 22000 271 00C 001 13406 015 2111100 2024</t>
  </si>
  <si>
    <t>5 1 1 3 4 12 31111 6 M78 22000 271 00C 001 13406 015 2111100 2024 00000000</t>
  </si>
  <si>
    <t>5 1 1 3 4 12 31111 6 M78 22000 271 00C 001 13406 015 2111100 2024 00000000 001</t>
  </si>
  <si>
    <t>5 1 1 3 4 12 31111 6 M78 22000 271 00C 001 13406 015 2111100 2024 00000000 001 001</t>
  </si>
  <si>
    <t>5 1 1 3 4 12 31111 6 M78 22000 271 00C 001 13406 015 2111100 2024 00000000 001 001 022</t>
  </si>
  <si>
    <t>5 1 1 3 4 12 31111 6 M78 26000</t>
  </si>
  <si>
    <t>5 1 1 3 4 12 31111 6 M78 26000 183</t>
  </si>
  <si>
    <t>5 1 1 3 4 12 31111 6 M78 26000 183 00C</t>
  </si>
  <si>
    <t>5 1 1 3 4 12 31111 6 M78 26000 183 00C 001</t>
  </si>
  <si>
    <t>5 1 1 3 4 12 31111 6 M78 26000 183 00C 001 13406</t>
  </si>
  <si>
    <t>5 1 1 3 4 12 31111 6 M78 26000 183 00C 001 13406 015</t>
  </si>
  <si>
    <t>5 1 1 3 4 12 31111 6 M78 26000 183 00C 001 13406 015 2111100</t>
  </si>
  <si>
    <t>5 1 1 3 4 12 31111 6 M78 26000 183 00C 001 13406 015 2111100 2024</t>
  </si>
  <si>
    <t>5 1 1 3 4 12 31111 6 M78 26000 183 00C 001 13406 015 2111100 2024 00000000</t>
  </si>
  <si>
    <t>5 1 1 3 4 12 31111 6 M78 26000 183 00C 001 13406 015 2111100 2024 00000000 001</t>
  </si>
  <si>
    <t>5 1 1 3 4 12 31111 6 M78 26000 183 00C 001 13406 015 2111100 2024 00000000 001 001</t>
  </si>
  <si>
    <t>5 1 1 3 4 12 31111 6 M78 26000 183 00C 001 13406 015 2111100 2024 00000000 001 001 026</t>
  </si>
  <si>
    <t>5 1 1 3 4 12 31111 6 M78 27000</t>
  </si>
  <si>
    <t>5 1 1 3 4 12 31111 6 M78 27000 184</t>
  </si>
  <si>
    <t>5 1 1 3 4 12 31111 6 M78 27000 184 00C</t>
  </si>
  <si>
    <t>5 1 1 3 4 12 31111 6 M78 27000 184 00C 001</t>
  </si>
  <si>
    <t>5 1 1 3 4 12 31111 6 M78 27000 184 00C 001 13403</t>
  </si>
  <si>
    <t>5 1 1 3 4 12 31111 6 M78 27000 184 00C 001 13403 015</t>
  </si>
  <si>
    <t>5 1 1 3 4 12 31111 6 M78 27000 184 00C 001 13403 015 2111100</t>
  </si>
  <si>
    <t>5 1 1 3 4 12 31111 6 M78 27000 184 00C 001 13403 015 2111100 2024</t>
  </si>
  <si>
    <t>5 1 1 3 4 12 31111 6 M78 27000 184 00C 001 13403 015 2111100 2024 00000000</t>
  </si>
  <si>
    <t>5 1 1 3 4 12 31111 6 M78 27000 184 00C 001 13403 015 2111100 2024 00000000 001</t>
  </si>
  <si>
    <t>5 1 1 3 4 12 31111 6 M78 27000 184 00C 001 13403 015 2111100 2024 00000000 001 001</t>
  </si>
  <si>
    <t>5 1 1 3 4 12 31111 6 M78 27000 184 00C 001 13403 015 2111100 2024 00000000 001 001 027</t>
  </si>
  <si>
    <t>5 1 1 3 4 12 31111 6 M78 27000 184 00C 001 13406</t>
  </si>
  <si>
    <t>5 1 1 3 4 12 31111 6 M78 27000 184 00C 001 13406 015</t>
  </si>
  <si>
    <t>5 1 1 3 4 12 31111 6 M78 27000 184 00C 001 13406 015 2111100</t>
  </si>
  <si>
    <t>5 1 1 3 4 12 31111 6 M78 27000 184 00C 001 13406 015 2111100 2024</t>
  </si>
  <si>
    <t>5 1 1 3 4 12 31111 6 M78 27000 184 00C 001 13406 015 2111100 2024 00000000</t>
  </si>
  <si>
    <t>5 1 1 3 4 12 31111 6 M78 27000 184 00C 001 13406 015 2111100 2024 00000000 001</t>
  </si>
  <si>
    <t>5 1 1 3 4 12 31111 6 M78 27000 184 00C 001 13406 015 2111100 2024 00000000 001 001</t>
  </si>
  <si>
    <t>5 1 1 3 4 12 31111 6 M78 27000 184 00C 001 13406 015 2111100 2024 00000000 001 001 027</t>
  </si>
  <si>
    <t>5 1 1 5</t>
  </si>
  <si>
    <t>OTRAS PRESTACIONES SOCIALES Y ECONÓMICAS</t>
  </si>
  <si>
    <t>5 1 1 5 2</t>
  </si>
  <si>
    <t>INDEMNIZACIONES</t>
  </si>
  <si>
    <t>5 1 1 5 2 12</t>
  </si>
  <si>
    <t>5 1 1 5 2 12 31111</t>
  </si>
  <si>
    <t>5 1 1 5 2 12 31111 6</t>
  </si>
  <si>
    <t>5 1 1 5 2 12 31111 6 M78</t>
  </si>
  <si>
    <t>5 1 1 5 2 12 31111 6 M78 15000</t>
  </si>
  <si>
    <t>5 1 1 5 2 12 31111 6 M78 15000 171</t>
  </si>
  <si>
    <t>5 1 1 5 2 12 31111 6 M78 15000 171 00I</t>
  </si>
  <si>
    <t>5 1 1 5 2 12 31111 6 M78 15000 171 00I 001</t>
  </si>
  <si>
    <t>5 1 1 5 2 12 31111 6 M78 15000 171 00I 001 15202</t>
  </si>
  <si>
    <t>PAGO DE LIQUIDACIONES.</t>
  </si>
  <si>
    <t>5 1 1 5 2 12 31111 6 M78 15000 171 00I 001 15202 025</t>
  </si>
  <si>
    <t>5 1 1 5 2 12 31111 6 M78 15000 171 00I 001 15202 025 2111100</t>
  </si>
  <si>
    <t>5 1 1 5 2 12 31111 6 M78 15000 171 00I 001 15202 025 2111100 2024</t>
  </si>
  <si>
    <t>5 1 1 5 2 12 31111 6 M78 15000 171 00I 001 15202 025 2111100 2024 00000000</t>
  </si>
  <si>
    <t>5 1 1 5 2 12 31111 6 M78 15000 171 00I 001 15202 025 2111100 2024 00000000 003</t>
  </si>
  <si>
    <t>5 1 1 5 2 12 31111 6 M78 15000 171 00I 001 15202 025 2111100 2024 00000000 003 001</t>
  </si>
  <si>
    <t>PAGO DE LIQUIDACIONES</t>
  </si>
  <si>
    <t>5 1 1 6</t>
  </si>
  <si>
    <t>PAGO DE ESTÍMULOS A SERVIDORES PÚBLICOS</t>
  </si>
  <si>
    <t>5 1 1 6 1</t>
  </si>
  <si>
    <t>PREVISIONES DE CARÁCTER LABORAL, ECONÓMICA Y DE SEGURIDAD SOCIAL</t>
  </si>
  <si>
    <t>5 1 1 6 1 12</t>
  </si>
  <si>
    <t>5 1 1 6 1 12 31111</t>
  </si>
  <si>
    <t>5 1 1 6 1 12 31111 6</t>
  </si>
  <si>
    <t>5 1 1 6 1 12 31111 6 M78</t>
  </si>
  <si>
    <t>5 1 1 6 1 12 31111 6 M78 15000</t>
  </si>
  <si>
    <t>5 1 1 6 1 12 31111 6 M78 15000 171</t>
  </si>
  <si>
    <t>5 1 1 6 1 12 31111 6 M78 15000 171 00I</t>
  </si>
  <si>
    <t>5 1 1 6 1 12 31111 6 M78 15000 171 00I 001</t>
  </si>
  <si>
    <t>5 1 1 6 1 12 31111 6 M78 15000 171 00I 001 17102</t>
  </si>
  <si>
    <t>ESTIMULOS AL PERSONAL OPERATIVO.</t>
  </si>
  <si>
    <t>5 1 1 6 1 12 31111 6 M78 15000 171 00I 001 17102 025</t>
  </si>
  <si>
    <t>5 1 1 6 1 12 31111 6 M78 15000 171 00I 001 17102 025 2111100</t>
  </si>
  <si>
    <t>5 1 1 6 1 12 31111 6 M78 15000 171 00I 001 17102 025 2111100 2024</t>
  </si>
  <si>
    <t>5 1 1 6 1 12 31111 6 M78 15000 171 00I 001 17102 025 2111100 2024 00000000</t>
  </si>
  <si>
    <t>5 1 1 6 1 12 31111 6 M78 15000 171 00I 001 17102 025 2111100 2024 00000000 003</t>
  </si>
  <si>
    <t>5 1 1 6 1 12 31111 6 M78 15000 171 00I 001 17102 025 2111100 2024 00000000 003 002</t>
  </si>
  <si>
    <t>GRATIFICACIONES A COMISARIOS Y DELEGADOS DEL MUNICIPIO</t>
  </si>
  <si>
    <t>5 1 2</t>
  </si>
  <si>
    <t>MATERIALES Y SUMINISTROS</t>
  </si>
  <si>
    <t>5 1 2 1</t>
  </si>
  <si>
    <t>MATERIALES DE ADMINISTRACIÓN, EMISIÓN DE DOCUMENTOS Y ARTÍCULOS OFICIALES</t>
  </si>
  <si>
    <t>5 1 2 1 1</t>
  </si>
  <si>
    <t>MATERIALES, ÚTILES Y EQUIPOS MENORES DE OFICINA</t>
  </si>
  <si>
    <t>5 1 2 1 1 12</t>
  </si>
  <si>
    <t>5 1 2 1 1 12 31111</t>
  </si>
  <si>
    <t>5 1 2 1 1 12 31111 6</t>
  </si>
  <si>
    <t>5 1 2 1 1 12 31111 6 M78</t>
  </si>
  <si>
    <t>5 1 2 1 1 12 31111 6 M78 07000</t>
  </si>
  <si>
    <t>5 1 2 1 1 12 31111 6 M78 07000 151</t>
  </si>
  <si>
    <t>5 1 2 1 1 12 31111 6 M78 07000 151 00C</t>
  </si>
  <si>
    <t>5 1 2 1 1 12 31111 6 M78 07000 151 00C 001</t>
  </si>
  <si>
    <t>5 1 2 1 1 12 31111 6 M78 07000 151 00C 001 21101</t>
  </si>
  <si>
    <t>MATERIALES Y UTILES DE OFICINA.</t>
  </si>
  <si>
    <t>5 1 2 1 1 12 31111 6 M78 07000 151 00C 001 21101 015</t>
  </si>
  <si>
    <t>5 1 2 1 1 12 31111 6 M78 07000 151 00C 001 21101 015 2112000</t>
  </si>
  <si>
    <t>5 1 2 1 1 12 31111 6 M78 07000 151 00C 001 21101 015 2112000 2024</t>
  </si>
  <si>
    <t>5 1 2 1 1 12 31111 6 M78 07000 151 00C 001 21101 015 2112000 2024 00000000</t>
  </si>
  <si>
    <t>5 1 2 1 1 12 31111 6 M78 07000 151 00C 001 21101 015 2112000 2024 00000000 001</t>
  </si>
  <si>
    <t>5 1 2 1 1 12 31111 6 M78 07000 151 00C 001 21101 015 2112000 2024 00000000 001 001</t>
  </si>
  <si>
    <t>MATERIALES Y UTILES DE OFICINA</t>
  </si>
  <si>
    <t>5 1 2 1 1 12 31111 6 M78 07000 151 00E</t>
  </si>
  <si>
    <t>5 1 2 1 1 12 31111 6 M78 07000 151 00E 001</t>
  </si>
  <si>
    <t>5 1 2 1 1 12 31111 6 M78 07000 151 00E 001 21101</t>
  </si>
  <si>
    <t>MATERIALES Y ÚTILES DE OFICINA</t>
  </si>
  <si>
    <t>5 1 2 1 1 12 31111 6 M78 07000 151 00E 001 21101 011</t>
  </si>
  <si>
    <t>5 1 2 1 1 12 31111 6 M78 07000 151 00E 001 21101 011 2112000</t>
  </si>
  <si>
    <t>5 1 2 1 1 12 31111 6 M78 07000 151 00E 001 21101 011 2112000 2024</t>
  </si>
  <si>
    <t>5 1 2 1 1 12 31111 6 M78 07000 151 00E 001 21101 011 2112000 2024 00000000</t>
  </si>
  <si>
    <t>5 1 2 1 1 12 31111 6 M78 07000 151 00E 001 21101 011 2112000 2024 00000000 005</t>
  </si>
  <si>
    <t>5 1 2 1 1 12 31111 6 M78 07000 151 00E 001 21101 011 2112000 2024 00000000 005 001</t>
  </si>
  <si>
    <t>5 1 2 1 1 12 31111 6 M78 15000</t>
  </si>
  <si>
    <t>5 1 2 1 1 12 31111 6 M78 15000 171</t>
  </si>
  <si>
    <t>5 1 2 1 1 12 31111 6 M78 15000 171 00I</t>
  </si>
  <si>
    <t>5 1 2 1 1 12 31111 6 M78 15000 171 00I 001</t>
  </si>
  <si>
    <t>5 1 2 1 1 12 31111 6 M78 15000 171 00I 001 21101</t>
  </si>
  <si>
    <t>5 1 2 1 1 12 31111 6 M78 15000 171 00I 001 21101 025</t>
  </si>
  <si>
    <t>5 1 2 1 1 12 31111 6 M78 15000 171 00I 001 21101 025 2112000</t>
  </si>
  <si>
    <t>5 1 2 1 1 12 31111 6 M78 15000 171 00I 001 21101 025 2112000 2024</t>
  </si>
  <si>
    <t>5 1 2 1 1 12 31111 6 M78 15000 171 00I 001 21101 025 2112000 2024 00000000</t>
  </si>
  <si>
    <t>5 1 2 1 1 12 31111 6 M78 15000 171 00I 001 21101 025 2112000 2024 00000000 003</t>
  </si>
  <si>
    <t>5 1 2 1 1 12 31111 6 M78 15000 171 00I 001 21101 025 2112000 2024 00000000 003 001</t>
  </si>
  <si>
    <t>5 1 2 1 2</t>
  </si>
  <si>
    <t>MATERIALES Y ÚTILES DE IMPRESIÓN Y REPRODUCCIÓN</t>
  </si>
  <si>
    <t>5 1 2 1 2 12</t>
  </si>
  <si>
    <t>5 1 2 1 2 12 31111</t>
  </si>
  <si>
    <t>5 1 2 1 2 12 31111 6</t>
  </si>
  <si>
    <t>5 1 2 1 2 12 31111 6 M78</t>
  </si>
  <si>
    <t>5 1 2 1 2 12 31111 6 M78 07000</t>
  </si>
  <si>
    <t>5 1 2 1 2 12 31111 6 M78 07000 151</t>
  </si>
  <si>
    <t>5 1 2 1 2 12 31111 6 M78 07000 151 00C</t>
  </si>
  <si>
    <t>5 1 2 1 2 12 31111 6 M78 07000 151 00C 001</t>
  </si>
  <si>
    <t>5 1 2 1 2 12 31111 6 M78 07000 151 00C 001 21201</t>
  </si>
  <si>
    <t>MATERIALES Y UTILES DE IMPRESION Y REPRODUCCION.</t>
  </si>
  <si>
    <t>5 1 2 1 2 12 31111 6 M78 07000 151 00C 001 21201 015</t>
  </si>
  <si>
    <t>5 1 2 1 2 12 31111 6 M78 07000 151 00C 001 21201 015 2112000</t>
  </si>
  <si>
    <t>5 1 2 1 2 12 31111 6 M78 07000 151 00C 001 21201 015 2112000 2024</t>
  </si>
  <si>
    <t>5 1 2 1 2 12 31111 6 M78 07000 151 00C 001 21201 015 2112000 2024 00000000</t>
  </si>
  <si>
    <t>5 1 2 1 2 12 31111 6 M78 07000 151 00C 001 21201 015 2112000 2024 00000000 001</t>
  </si>
  <si>
    <t>5 1 2 1 2 12 31111 6 M78 07000 151 00C 001 21201 015 2112000 2024 00000000 001 001</t>
  </si>
  <si>
    <t>5 1 2 1 2 12 31111 6 M78 15000</t>
  </si>
  <si>
    <t>5 1 2 1 2 12 31111 6 M78 15000 171</t>
  </si>
  <si>
    <t>5 1 2 1 2 12 31111 6 M78 15000 171 00I</t>
  </si>
  <si>
    <t>5 1 2 1 2 12 31111 6 M78 15000 171 00I 001</t>
  </si>
  <si>
    <t>5 1 2 1 2 12 31111 6 M78 15000 171 00I 001 21201</t>
  </si>
  <si>
    <t>5 1 2 1 2 12 31111 6 M78 15000 171 00I 001 21201 025</t>
  </si>
  <si>
    <t>5 1 2 1 2 12 31111 6 M78 15000 171 00I 001 21201 025 2112000</t>
  </si>
  <si>
    <t>5 1 2 1 2 12 31111 6 M78 15000 171 00I 001 21201 025 2112000 2024</t>
  </si>
  <si>
    <t>5 1 2 1 2 12 31111 6 M78 15000 171 00I 001 21201 025 2112000 2024 00000000</t>
  </si>
  <si>
    <t>5 1 2 1 2 12 31111 6 M78 15000 171 00I 001 21201 025 2112000 2024 00000000 003</t>
  </si>
  <si>
    <t>5 1 2 1 2 12 31111 6 M78 15000 171 00I 001 21201 025 2112000 2024 00000000 003 001</t>
  </si>
  <si>
    <t>MATERIALES Y UTILES DE IMPRESION Y REPRODUCCION</t>
  </si>
  <si>
    <t>5 1 2 1 4</t>
  </si>
  <si>
    <t>MATERIALES, ÚTILES Y EQUIPOS MENORES DE TECNOLOGÍAS DE LA INFORMACIÓN Y COMUNICACIONES</t>
  </si>
  <si>
    <t>5 1 2 1 4 12</t>
  </si>
  <si>
    <t>5 1 2 1 4 12 31111</t>
  </si>
  <si>
    <t>5 1 2 1 4 12 31111 6</t>
  </si>
  <si>
    <t>5 1 2 1 4 12 31111 6 M78</t>
  </si>
  <si>
    <t>5 1 2 1 4 12 31111 6 M78 07000</t>
  </si>
  <si>
    <t>5 1 2 1 4 12 31111 6 M78 07000 151</t>
  </si>
  <si>
    <t>5 1 2 1 4 12 31111 6 M78 07000 151 00C</t>
  </si>
  <si>
    <t>5 1 2 1 4 12 31111 6 M78 07000 151 00C 001</t>
  </si>
  <si>
    <t>5 1 2 1 4 12 31111 6 M78 07000 151 00C 001 21401</t>
  </si>
  <si>
    <t>MATERIALES Y UTILES PARA EL PROCESAMIENTO EN EQUIPOS Y BIENES INFORMATICOS.</t>
  </si>
  <si>
    <t>5 1 2 1 4 12 31111 6 M78 07000 151 00C 001 21401 015</t>
  </si>
  <si>
    <t>5 1 2 1 4 12 31111 6 M78 07000 151 00C 001 21401 015 2112000</t>
  </si>
  <si>
    <t>5 1 2 1 4 12 31111 6 M78 07000 151 00C 001 21401 015 2112000 2024</t>
  </si>
  <si>
    <t>5 1 2 1 4 12 31111 6 M78 07000 151 00C 001 21401 015 2112000 2024 00000000</t>
  </si>
  <si>
    <t>5 1 2 1 4 12 31111 6 M78 07000 151 00C 001 21401 015 2112000 2024 00000000 001</t>
  </si>
  <si>
    <t>5 1 2 1 4 12 31111 6 M78 07000 151 00C 001 21401 015 2112000 2024 00000000 001 001</t>
  </si>
  <si>
    <t>MATERIALES Y UTILES PARA EL PROCESAMIENTO EN EQUIPOS Y BIENES INFORMATICOS</t>
  </si>
  <si>
    <t>5 1 2 1 4 12 31111 6 M78 15000</t>
  </si>
  <si>
    <t>5 1 2 1 4 12 31111 6 M78 15000 171</t>
  </si>
  <si>
    <t>5 1 2 1 4 12 31111 6 M78 15000 171 00I</t>
  </si>
  <si>
    <t>5 1 2 1 4 12 31111 6 M78 15000 171 00I 001</t>
  </si>
  <si>
    <t>5 1 2 1 4 12 31111 6 M78 15000 171 00I 001 21401</t>
  </si>
  <si>
    <t>5 1 2 1 4 12 31111 6 M78 15000 171 00I 001 21401 025</t>
  </si>
  <si>
    <t>5 1 2 1 4 12 31111 6 M78 15000 171 00I 001 21401 025 2112000</t>
  </si>
  <si>
    <t>5 1 2 1 4 12 31111 6 M78 15000 171 00I 001 21401 025 2112000 2024</t>
  </si>
  <si>
    <t>5 1 2 1 4 12 31111 6 M78 15000 171 00I 001 21401 025 2112000 2024 00000000</t>
  </si>
  <si>
    <t>5 1 2 1 4 12 31111 6 M78 15000 171 00I 001 21401 025 2112000 2024 00000000 003</t>
  </si>
  <si>
    <t>5 1 2 1 4 12 31111 6 M78 15000 171 00I 001 21401 025 2112000 2024 00000000 003 001</t>
  </si>
  <si>
    <t>MATERIALES Y ÚTILES PARA EL PROCESAMIENTO EN EQUIPOS Y BIENES INFORMÁTICOS</t>
  </si>
  <si>
    <t>5 1 2 1 6</t>
  </si>
  <si>
    <t>MATERIAL DE LIMPIEZA</t>
  </si>
  <si>
    <t>5 1 2 1 6 12</t>
  </si>
  <si>
    <t>5 1 2 1 6 12 31111</t>
  </si>
  <si>
    <t>5 1 2 1 6 12 31111 6</t>
  </si>
  <si>
    <t>5 1 2 1 6 12 31111 6 M78</t>
  </si>
  <si>
    <t>5 1 2 1 6 12 31111 6 M78 07000</t>
  </si>
  <si>
    <t>5 1 2 1 6 12 31111 6 M78 07000 151</t>
  </si>
  <si>
    <t>5 1 2 1 6 12 31111 6 M78 07000 151 00C</t>
  </si>
  <si>
    <t>5 1 2 1 6 12 31111 6 M78 07000 151 00C 001</t>
  </si>
  <si>
    <t>5 1 2 1 6 12 31111 6 M78 07000 151 00C 001 21601</t>
  </si>
  <si>
    <t>MATERIAL DE LIMPIEZA.</t>
  </si>
  <si>
    <t>5 1 2 1 6 12 31111 6 M78 07000 151 00C 001 21601 015</t>
  </si>
  <si>
    <t>5 1 2 1 6 12 31111 6 M78 07000 151 00C 001 21601 015 2112000</t>
  </si>
  <si>
    <t>5 1 2 1 6 12 31111 6 M78 07000 151 00C 001 21601 015 2112000 2024</t>
  </si>
  <si>
    <t>5 1 2 1 6 12 31111 6 M78 07000 151 00C 001 21601 015 2112000 2024 00000000</t>
  </si>
  <si>
    <t>5 1 2 1 6 12 31111 6 M78 07000 151 00C 001 21601 015 2112000 2024 00000000 001</t>
  </si>
  <si>
    <t>5 1 2 1 6 12 31111 6 M78 07000 151 00C 001 21601 015 2112000 2024 00000000 001 001</t>
  </si>
  <si>
    <t>5 1 2 1 6 12 31111 6 M78 07000 151 00E</t>
  </si>
  <si>
    <t>5 1 2 1 6 12 31111 6 M78 07000 151 00E 001</t>
  </si>
  <si>
    <t>5 1 2 1 6 12 31111 6 M78 07000 151 00E 001 21601</t>
  </si>
  <si>
    <t>5 1 2 1 6 12 31111 6 M78 07000 151 00E 001 21601 011</t>
  </si>
  <si>
    <t>5 1 2 1 6 12 31111 6 M78 07000 151 00E 001 21601 011 2112000</t>
  </si>
  <si>
    <t>5 1 2 1 6 12 31111 6 M78 07000 151 00E 001 21601 011 2112000 2024</t>
  </si>
  <si>
    <t>5 1 2 1 6 12 31111 6 M78 07000 151 00E 001 21601 011 2112000 2024 00000000</t>
  </si>
  <si>
    <t>5 1 2 1 6 12 31111 6 M78 07000 151 00E 001 21601 011 2112000 2024 00000000 005</t>
  </si>
  <si>
    <t>5 1 2 1 6 12 31111 6 M78 07000 151 00E 001 21601 011 2112000 2024 00000000 005 001</t>
  </si>
  <si>
    <t>5 1 2 1 6 12 31111 6 M78 15000</t>
  </si>
  <si>
    <t>5 1 2 1 6 12 31111 6 M78 15000 171</t>
  </si>
  <si>
    <t>5 1 2 1 6 12 31111 6 M78 15000 171 00I</t>
  </si>
  <si>
    <t>5 1 2 1 6 12 31111 6 M78 15000 171 00I 001</t>
  </si>
  <si>
    <t>5 1 2 1 6 12 31111 6 M78 15000 171 00I 001 21601</t>
  </si>
  <si>
    <t>5 1 2 1 6 12 31111 6 M78 15000 171 00I 001 21601 025</t>
  </si>
  <si>
    <t>5 1 2 1 6 12 31111 6 M78 15000 171 00I 001 21601 025 2112000</t>
  </si>
  <si>
    <t>5 1 2 1 6 12 31111 6 M78 15000 171 00I 001 21601 025 2112000 2024</t>
  </si>
  <si>
    <t>5 1 2 1 6 12 31111 6 M78 15000 171 00I 001 21601 025 2112000 2024 00000000</t>
  </si>
  <si>
    <t>5 1 2 1 6 12 31111 6 M78 15000 171 00I 001 21601 025 2112000 2024 00000000 003</t>
  </si>
  <si>
    <t>5 1 2 1 6 12 31111 6 M78 15000 171 00I 001 21601 025 2112000 2024 00000000 003 001</t>
  </si>
  <si>
    <t>DE ASEO Y LIMPIEZA.</t>
  </si>
  <si>
    <t>5 1 2 2</t>
  </si>
  <si>
    <t>ALIMENTOS Y UTENSILIOS</t>
  </si>
  <si>
    <t>5 1 2 2 1</t>
  </si>
  <si>
    <t>PRODUCTOS ALIMENTICIOS PARA PERSONAS</t>
  </si>
  <si>
    <t>5 1 2 2 1 12</t>
  </si>
  <si>
    <t>5 1 2 2 1 12 31111</t>
  </si>
  <si>
    <t>5 1 2 2 1 12 31111 6</t>
  </si>
  <si>
    <t>5 1 2 2 1 12 31111 6 M78</t>
  </si>
  <si>
    <t>5 1 2 2 1 12 31111 6 M78 07000</t>
  </si>
  <si>
    <t>5 1 2 2 1 12 31111 6 M78 07000 151</t>
  </si>
  <si>
    <t>5 1 2 2 1 12 31111 6 M78 07000 151 00C</t>
  </si>
  <si>
    <t>5 1 2 2 1 12 31111 6 M78 07000 151 00C 001</t>
  </si>
  <si>
    <t>5 1 2 2 1 12 31111 6 M78 07000 151 00C 001 22104</t>
  </si>
  <si>
    <t>PRODUCTOS ALIMENTICIOS PARA EL PERSONAL EN LAS INSTALACIONES DE LAS DEPENDENCIAS Y ENTIDADES.</t>
  </si>
  <si>
    <t>5 1 2 2 1 12 31111 6 M78 07000 151 00C 001 22104 015</t>
  </si>
  <si>
    <t>5 1 2 2 1 12 31111 6 M78 07000 151 00C 001 22104 015 2112000</t>
  </si>
  <si>
    <t>5 1 2 2 1 12 31111 6 M78 07000 151 00C 001 22104 015 2112000 2024</t>
  </si>
  <si>
    <t>5 1 2 2 1 12 31111 6 M78 07000 151 00C 001 22104 015 2112000 2024 00000000</t>
  </si>
  <si>
    <t>5 1 2 2 1 12 31111 6 M78 07000 151 00C 001 22104 015 2112000 2024 00000000 001</t>
  </si>
  <si>
    <t>5 1 2 2 1 12 31111 6 M78 07000 151 00C 001 22104 015 2112000 2024 00000000 001 001</t>
  </si>
  <si>
    <t>PRODUCTOS ALIMENTICIOS PARA EL PERSONAL EN LAS INSTALACIONES DE LAS DEPENDENCIAS Y ENTIDADES</t>
  </si>
  <si>
    <t>5 1 2 2 1 12 31111 6 M78 15000</t>
  </si>
  <si>
    <t>5 1 2 2 1 12 31111 6 M78 15000 171</t>
  </si>
  <si>
    <t>5 1 2 2 1 12 31111 6 M78 15000 171 00I</t>
  </si>
  <si>
    <t>5 1 2 2 1 12 31111 6 M78 15000 171 00I 001</t>
  </si>
  <si>
    <t>5 1 2 2 1 12 31111 6 M78 15000 171 00I 001 22104</t>
  </si>
  <si>
    <t>5 1 2 2 1 12 31111 6 M78 15000 171 00I 001 22104 025</t>
  </si>
  <si>
    <t>5 1 2 2 1 12 31111 6 M78 15000 171 00I 001 22104 025 2112000</t>
  </si>
  <si>
    <t>5 1 2 2 1 12 31111 6 M78 15000 171 00I 001 22104 025 2112000 2024</t>
  </si>
  <si>
    <t>5 1 2 2 1 12 31111 6 M78 15000 171 00I 001 22104 025 2112000 2024 00000000</t>
  </si>
  <si>
    <t>5 1 2 2 1 12 31111 6 M78 15000 171 00I 001 22104 025 2112000 2024 00000000 003</t>
  </si>
  <si>
    <t>5 1 2 2 1 12 31111 6 M78 15000 171 00I 001 22104 025 2112000 2024 00000000 003 001</t>
  </si>
  <si>
    <t>5 1 2 2 3</t>
  </si>
  <si>
    <t>UTENSILIOS PARA EL SERVICIO DE ALIMENTACIÓN</t>
  </si>
  <si>
    <t>5 1 2 2 3 12</t>
  </si>
  <si>
    <t>5 1 2 2 3 12 31111</t>
  </si>
  <si>
    <t>5 1 2 2 3 12 31111 6</t>
  </si>
  <si>
    <t>5 1 2 2 3 12 31111 6 M78</t>
  </si>
  <si>
    <t>5 1 2 2 3 12 31111 6 M78 07000</t>
  </si>
  <si>
    <t>5 1 2 2 3 12 31111 6 M78 07000 151</t>
  </si>
  <si>
    <t>5 1 2 2 3 12 31111 6 M78 07000 151 00C</t>
  </si>
  <si>
    <t>5 1 2 2 3 12 31111 6 M78 07000 151 00C 001</t>
  </si>
  <si>
    <t>5 1 2 2 3 12 31111 6 M78 07000 151 00C 001 22301</t>
  </si>
  <si>
    <t>UTENSILIOS PARA EL SERVICIO DE ALIMENTACION.</t>
  </si>
  <si>
    <t>5 1 2 2 3 12 31111 6 M78 07000 151 00C 001 22301 015</t>
  </si>
  <si>
    <t>5 1 2 2 3 12 31111 6 M78 07000 151 00C 001 22301 015 2112000</t>
  </si>
  <si>
    <t>5 1 2 2 3 12 31111 6 M78 07000 151 00C 001 22301 015 2112000 2024</t>
  </si>
  <si>
    <t>5 1 2 2 3 12 31111 6 M78 07000 151 00C 001 22301 015 2112000 2024 00000000</t>
  </si>
  <si>
    <t>5 1 2 2 3 12 31111 6 M78 07000 151 00C 001 22301 015 2112000 2024 00000000 001</t>
  </si>
  <si>
    <t>5 1 2 2 3 12 31111 6 M78 07000 151 00C 001 22301 015 2112000 2024 00000000 001 001</t>
  </si>
  <si>
    <t>UTENSILIOS PARA EL SERVICIO DE ALIMENTACION</t>
  </si>
  <si>
    <t>5 1 2 4</t>
  </si>
  <si>
    <t>MATERIALES Y ARTÍCULOS DE CONSTRUCCIÓN Y DE REPARACIÓN</t>
  </si>
  <si>
    <t>5 1 2 4 6</t>
  </si>
  <si>
    <t>MATERIAL ELÉCTRICO Y ELECTRÓNICO</t>
  </si>
  <si>
    <t>5 1 2 4 6 12</t>
  </si>
  <si>
    <t>5 1 2 4 6 12 31111</t>
  </si>
  <si>
    <t>5 1 2 4 6 12 31111 6</t>
  </si>
  <si>
    <t>5 1 2 4 6 12 31111 6 M78</t>
  </si>
  <si>
    <t>5 1 2 4 6 12 31111 6 M78 07000</t>
  </si>
  <si>
    <t>5 1 2 4 6 12 31111 6 M78 07000 151</t>
  </si>
  <si>
    <t>5 1 2 4 6 12 31111 6 M78 07000 151 00C</t>
  </si>
  <si>
    <t>5 1 2 4 6 12 31111 6 M78 07000 151 00C 001</t>
  </si>
  <si>
    <t>5 1 2 4 6 12 31111 6 M78 07000 151 00C 001 24601</t>
  </si>
  <si>
    <t>MATERIAL ELECTRICO Y ELECTRONICO.</t>
  </si>
  <si>
    <t>5 1 2 4 6 12 31111 6 M78 07000 151 00C 001 24601 015</t>
  </si>
  <si>
    <t>5 1 2 4 6 12 31111 6 M78 07000 151 00C 001 24601 015 2112000</t>
  </si>
  <si>
    <t>5 1 2 4 6 12 31111 6 M78 07000 151 00C 001 24601 015 2112000 2024</t>
  </si>
  <si>
    <t>5 1 2 4 6 12 31111 6 M78 07000 151 00C 001 24601 015 2112000 2024 00000000</t>
  </si>
  <si>
    <t>5 1 2 4 6 12 31111 6 M78 07000 151 00C 001 24601 015 2112000 2024 00000000 001</t>
  </si>
  <si>
    <t>5 1 2 4 6 12 31111 6 M78 07000 151 00C 001 24601 015 2112000 2024 00000000 001 001</t>
  </si>
  <si>
    <t>MATERIAL ELECTRICO Y ELECTRONICO</t>
  </si>
  <si>
    <t>5 1 2 4 6 12 31111 6 M78 15000</t>
  </si>
  <si>
    <t>5 1 2 4 6 12 31111 6 M78 15000 171</t>
  </si>
  <si>
    <t>5 1 2 4 6 12 31111 6 M78 15000 171 00I</t>
  </si>
  <si>
    <t>5 1 2 4 6 12 31111 6 M78 15000 171 00I 001</t>
  </si>
  <si>
    <t>5 1 2 4 6 12 31111 6 M78 15000 171 00I 001 24601</t>
  </si>
  <si>
    <t>5 1 2 4 6 12 31111 6 M78 15000 171 00I 001 24601 025</t>
  </si>
  <si>
    <t>5 1 2 4 6 12 31111 6 M78 15000 171 00I 001 24601 025 2112000</t>
  </si>
  <si>
    <t>5 1 2 4 6 12 31111 6 M78 15000 171 00I 001 24601 025 2112000 2024</t>
  </si>
  <si>
    <t>5 1 2 4 6 12 31111 6 M78 15000 171 00I 001 24601 025 2112000 2024 00000000</t>
  </si>
  <si>
    <t>5 1 2 4 6 12 31111 6 M78 15000 171 00I 001 24601 025 2112000 2024 00000000 003</t>
  </si>
  <si>
    <t>5 1 2 4 6 12 31111 6 M78 15000 171 00I 001 24601 025 2112000 2024 00000000 003 001</t>
  </si>
  <si>
    <t>MATERIALES ELECTRICOS</t>
  </si>
  <si>
    <t>5 1 2 4 9</t>
  </si>
  <si>
    <t>OTROS MATERIALES Y ARTÍCULOS DE CONSTRUCCIÓN Y REPARACIÓN</t>
  </si>
  <si>
    <t>5 1 2 4 9 12</t>
  </si>
  <si>
    <t>5 1 2 4 9 12 31111</t>
  </si>
  <si>
    <t>5 1 2 4 9 12 31111 6</t>
  </si>
  <si>
    <t>5 1 2 4 9 12 31111 6 M78</t>
  </si>
  <si>
    <t>5 1 2 4 9 12 31111 6 M78 07000</t>
  </si>
  <si>
    <t>5 1 2 4 9 12 31111 6 M78 07000 151</t>
  </si>
  <si>
    <t>5 1 2 4 9 12 31111 6 M78 07000 151 00C</t>
  </si>
  <si>
    <t>5 1 2 4 9 12 31111 6 M78 07000 151 00C 001</t>
  </si>
  <si>
    <t>5 1 2 4 9 12 31111 6 M78 07000 151 00C 001 24901</t>
  </si>
  <si>
    <t>OTROS MATERIALES Y ARTICULOS DE CONSTRUCCION Y REPARACION.</t>
  </si>
  <si>
    <t>5 1 2 4 9 12 31111 6 M78 07000 151 00C 001 24901 015</t>
  </si>
  <si>
    <t>5 1 2 4 9 12 31111 6 M78 07000 151 00C 001 24901 015 2112000</t>
  </si>
  <si>
    <t>5 1 2 4 9 12 31111 6 M78 07000 151 00C 001 24901 015 2112000 2024</t>
  </si>
  <si>
    <t>5 1 2 4 9 12 31111 6 M78 07000 151 00C 001 24901 015 2112000 2024 00000000</t>
  </si>
  <si>
    <t>5 1 2 4 9 12 31111 6 M78 07000 151 00C 001 24901 015 2112000 2024 00000000 001</t>
  </si>
  <si>
    <t>5 1 2 4 9 12 31111 6 M78 07000 151 00C 001 24901 015 2112000 2024 00000000 001 001</t>
  </si>
  <si>
    <t>OTROS MATERIALES Y ARTICULOS DE CONSTRUCCION Y REPARACION</t>
  </si>
  <si>
    <t>5 1 2 4 9 12 31111 6 M78 15000</t>
  </si>
  <si>
    <t>5 1 2 4 9 12 31111 6 M78 15000 171</t>
  </si>
  <si>
    <t>5 1 2 4 9 12 31111 6 M78 15000 171 00I</t>
  </si>
  <si>
    <t>5 1 2 4 9 12 31111 6 M78 15000 171 00I 001</t>
  </si>
  <si>
    <t>5 1 2 4 9 12 31111 6 M78 15000 171 00I 001 24901</t>
  </si>
  <si>
    <t>5 1 2 4 9 12 31111 6 M78 15000 171 00I 001 24901 025</t>
  </si>
  <si>
    <t>5 1 2 4 9 12 31111 6 M78 15000 171 00I 001 24901 025 2112000</t>
  </si>
  <si>
    <t>5 1 2 4 9 12 31111 6 M78 15000 171 00I 001 24901 025 2112000 2024</t>
  </si>
  <si>
    <t>5 1 2 4 9 12 31111 6 M78 15000 171 00I 001 24901 025 2112000 2024 00000000</t>
  </si>
  <si>
    <t>5 1 2 4 9 12 31111 6 M78 15000 171 00I 001 24901 025 2112000 2024 00000000 003</t>
  </si>
  <si>
    <t>5 1 2 4 9 12 31111 6 M78 15000 171 00I 001 24901 025 2112000 2024 00000000 003 001</t>
  </si>
  <si>
    <t>OTROS MATERIALES Y ARTICULOS DE CONSTRUCCIÓN Y REPARACIÓN</t>
  </si>
  <si>
    <t>5 1 2 5</t>
  </si>
  <si>
    <t>PRODUCTOS QUÍMICOS, FARMACÉUTICOS Y DE LABORATORIO</t>
  </si>
  <si>
    <t>5 1 2 5 3</t>
  </si>
  <si>
    <t>MEDICINAS Y PRODUCTOS FARMACÉUTICOS</t>
  </si>
  <si>
    <t>5 1 2 5 3 12</t>
  </si>
  <si>
    <t>5 1 2 5 3 12 31111</t>
  </si>
  <si>
    <t>5 1 2 5 3 12 31111 6</t>
  </si>
  <si>
    <t>5 1 2 5 3 12 31111 6 M78</t>
  </si>
  <si>
    <t>5 1 2 5 3 12 31111 6 M78 07000</t>
  </si>
  <si>
    <t>5 1 2 5 3 12 31111 6 M78 07000 151</t>
  </si>
  <si>
    <t>5 1 2 5 3 12 31111 6 M78 07000 151 00C</t>
  </si>
  <si>
    <t>5 1 2 5 3 12 31111 6 M78 07000 151 00C 001</t>
  </si>
  <si>
    <t>5 1 2 5 3 12 31111 6 M78 07000 151 00C 001 25301</t>
  </si>
  <si>
    <t>MEDICINAS Y PRODUCTOS FARMACEUTICOS.</t>
  </si>
  <si>
    <t>5 1 2 5 3 12 31111 6 M78 07000 151 00C 001 25301 015</t>
  </si>
  <si>
    <t>5 1 2 5 3 12 31111 6 M78 07000 151 00C 001 25301 015 2112000</t>
  </si>
  <si>
    <t>5 1 2 5 3 12 31111 6 M78 07000 151 00C 001 25301 015 2112000 2024</t>
  </si>
  <si>
    <t>5 1 2 5 3 12 31111 6 M78 07000 151 00C 001 25301 015 2112000 2024 00000000</t>
  </si>
  <si>
    <t>5 1 2 5 3 12 31111 6 M78 07000 151 00C 001 25301 015 2112000 2024 00000000 001</t>
  </si>
  <si>
    <t>5 1 2 5 3 12 31111 6 M78 07000 151 00C 001 25301 015 2112000 2024 00000000 001 001</t>
  </si>
  <si>
    <t>5 1 2 5 4</t>
  </si>
  <si>
    <t>MATERIALES, ACCESORIOS Y SUMINISTROS MÉDICOS</t>
  </si>
  <si>
    <t>5 1 2 5 4 12</t>
  </si>
  <si>
    <t>5 1 2 5 4 12 31111</t>
  </si>
  <si>
    <t>5 1 2 5 4 12 31111 6</t>
  </si>
  <si>
    <t>5 1 2 5 4 12 31111 6 M78</t>
  </si>
  <si>
    <t>5 1 2 5 4 12 31111 6 M78 07000</t>
  </si>
  <si>
    <t>5 1 2 5 4 12 31111 6 M78 07000 151</t>
  </si>
  <si>
    <t>5 1 2 5 4 12 31111 6 M78 07000 151 00C</t>
  </si>
  <si>
    <t>5 1 2 5 4 12 31111 6 M78 07000 151 00C 001</t>
  </si>
  <si>
    <t>5 1 2 5 4 12 31111 6 M78 07000 151 00C 001 25401</t>
  </si>
  <si>
    <t>MATERIALES, ACCESORIOS Y SUMINISTROS MEDICOS.</t>
  </si>
  <si>
    <t>5 1 2 5 4 12 31111 6 M78 07000 151 00C 001 25401 015</t>
  </si>
  <si>
    <t>5 1 2 5 4 12 31111 6 M78 07000 151 00C 001 25401 015 2112000</t>
  </si>
  <si>
    <t>5 1 2 5 4 12 31111 6 M78 07000 151 00C 001 25401 015 2112000 2024</t>
  </si>
  <si>
    <t>5 1 2 5 4 12 31111 6 M78 07000 151 00C 001 25401 015 2112000 2024 00000000</t>
  </si>
  <si>
    <t>5 1 2 5 4 12 31111 6 M78 07000 151 00C 001 25401 015 2112000 2024 00000000 001</t>
  </si>
  <si>
    <t>5 1 2 5 4 12 31111 6 M78 07000 151 00C 001 25401 015 2112000 2024 00000000 001 001</t>
  </si>
  <si>
    <t>5 1 2 5 4 12 31111 6 M78 15000</t>
  </si>
  <si>
    <t>5 1 2 5 4 12 31111 6 M78 15000 171</t>
  </si>
  <si>
    <t>5 1 2 5 4 12 31111 6 M78 15000 171 00I</t>
  </si>
  <si>
    <t>5 1 2 5 4 12 31111 6 M78 15000 171 00I 001</t>
  </si>
  <si>
    <t>5 1 2 5 4 12 31111 6 M78 15000 171 00I 001 25401</t>
  </si>
  <si>
    <t>5 1 2 5 4 12 31111 6 M78 15000 171 00I 001 25401 025</t>
  </si>
  <si>
    <t>RECURSOS FEDERALES</t>
  </si>
  <si>
    <t>5 1 2 5 4 12 31111 6 M78 15000 171 00I 001 25401 025 2112000</t>
  </si>
  <si>
    <t>5 1 2 5 4 12 31111 6 M78 15000 171 00I 001 25401 025 2112000 2024</t>
  </si>
  <si>
    <t>5 1 2 5 4 12 31111 6 M78 15000 171 00I 001 25401 025 2112000 2024 00000000</t>
  </si>
  <si>
    <t>5 1 2 5 4 12 31111 6 M78 15000 171 00I 001 25401 025 2112000 2024 00000000 003</t>
  </si>
  <si>
    <t>SEGURIDAD PÚBLICA</t>
  </si>
  <si>
    <t>5 1 2 5 4 12 31111 6 M78 15000 171 00I 001 25401 025 2112000 2024 00000000 003 001</t>
  </si>
  <si>
    <t>5 1 2 5 9</t>
  </si>
  <si>
    <t>OTROS PRODUCTOS QUÍMICOS</t>
  </si>
  <si>
    <t>5 1 2 5 9 12</t>
  </si>
  <si>
    <t>5 1 2 5 9 12 31111</t>
  </si>
  <si>
    <t>5 1 2 5 9 12 31111 6</t>
  </si>
  <si>
    <t>5 1 2 5 9 12 31111 6 M78</t>
  </si>
  <si>
    <t>5 1 2 5 9 12 31111 6 M78 07000</t>
  </si>
  <si>
    <t>5 1 2 5 9 12 31111 6 M78 07000 151</t>
  </si>
  <si>
    <t>5 1 2 5 9 12 31111 6 M78 07000 151 00C</t>
  </si>
  <si>
    <t>5 1 2 5 9 12 31111 6 M78 07000 151 00C 001</t>
  </si>
  <si>
    <t>5 1 2 5 9 12 31111 6 M78 07000 151 00C 001 25901</t>
  </si>
  <si>
    <t>OTROS PRODUCTOS QUIMICOS.</t>
  </si>
  <si>
    <t>5 1 2 5 9 12 31111 6 M78 07000 151 00C 001 25901 015</t>
  </si>
  <si>
    <t>5 1 2 5 9 12 31111 6 M78 07000 151 00C 001 25901 015 2112000</t>
  </si>
  <si>
    <t>5 1 2 5 9 12 31111 6 M78 07000 151 00C 001 25901 015 2112000 2024</t>
  </si>
  <si>
    <t>5 1 2 5 9 12 31111 6 M78 07000 151 00C 001 25901 015 2112000 2024 00000000</t>
  </si>
  <si>
    <t>5 1 2 5 9 12 31111 6 M78 07000 151 00C 001 25901 015 2112000 2024 00000000 001</t>
  </si>
  <si>
    <t>5 1 2 5 9 12 31111 6 M78 07000 151 00C 001 25901 015 2112000 2024 00000000 001 001</t>
  </si>
  <si>
    <t>5 1 2 5 9 12 31111 6 M78 15000</t>
  </si>
  <si>
    <t>5 1 2 5 9 12 31111 6 M78 15000 171</t>
  </si>
  <si>
    <t>5 1 2 5 9 12 31111 6 M78 15000 171 00I</t>
  </si>
  <si>
    <t>5 1 2 5 9 12 31111 6 M78 15000 171 00I 001</t>
  </si>
  <si>
    <t>5 1 2 5 9 12 31111 6 M78 15000 171 00I 001 25901</t>
  </si>
  <si>
    <t>5 1 2 5 9 12 31111 6 M78 15000 171 00I 001 25901 025</t>
  </si>
  <si>
    <t>5 1 2 5 9 12 31111 6 M78 15000 171 00I 001 25901 025 2112000</t>
  </si>
  <si>
    <t>5 1 2 5 9 12 31111 6 M78 15000 171 00I 001 25901 025 2112000 2024</t>
  </si>
  <si>
    <t>5 1 2 5 9 12 31111 6 M78 15000 171 00I 001 25901 025 2112000 2024 00000000</t>
  </si>
  <si>
    <t>5 1 2 5 9 12 31111 6 M78 15000 171 00I 001 25901 025 2112000 2024 00000000 003</t>
  </si>
  <si>
    <t>5 1 2 5 9 12 31111 6 M78 15000 171 00I 001 25901 025 2112000 2024 00000000 003 001</t>
  </si>
  <si>
    <t>OTROS PRODUCTOS QUIMICOS</t>
  </si>
  <si>
    <t>5 1 2 6</t>
  </si>
  <si>
    <t>COMBUSTIBLES, LUBRICANTES Y ADITIVOS</t>
  </si>
  <si>
    <t>5 1 2 6 1</t>
  </si>
  <si>
    <t>5 1 2 6 1 12</t>
  </si>
  <si>
    <t>5 1 2 6 1 12 31111</t>
  </si>
  <si>
    <t>5 1 2 6 1 12 31111 6</t>
  </si>
  <si>
    <t>5 1 2 6 1 12 31111 6 M78</t>
  </si>
  <si>
    <t>5 1 2 6 1 12 31111 6 M78 07000</t>
  </si>
  <si>
    <t>5 1 2 6 1 12 31111 6 M78 07000 151</t>
  </si>
  <si>
    <t>5 1 2 6 1 12 31111 6 M78 07000 151 00C</t>
  </si>
  <si>
    <t>5 1 2 6 1 12 31111 6 M78 07000 151 00C 001</t>
  </si>
  <si>
    <t>5 1 2 6 1 12 31111 6 M78 07000 151 00C 001 26104</t>
  </si>
  <si>
    <t>COMBUSTIBLES, LUBRICANTES Y ADITIVOS PARA VEHICULOS TERRESTRES, AEREOS, MARITIMOS, LACUSTRES Y FLUVIALES ASIGNADOS A SERVIDORES PUBLICOS.</t>
  </si>
  <si>
    <t>5 1 2 6 1 12 31111 6 M78 07000 151 00C 001 26104 015</t>
  </si>
  <si>
    <t>5 1 2 6 1 12 31111 6 M78 07000 151 00C 001 26104 015 2112000</t>
  </si>
  <si>
    <t>5 1 2 6 1 12 31111 6 M78 07000 151 00C 001 26104 015 2112000 2024</t>
  </si>
  <si>
    <t>5 1 2 6 1 12 31111 6 M78 07000 151 00C 001 26104 015 2112000 2024 00000000</t>
  </si>
  <si>
    <t>5 1 2 6 1 12 31111 6 M78 07000 151 00C 001 26104 015 2112000 2024 00000000 001</t>
  </si>
  <si>
    <t>5 1 2 6 1 12 31111 6 M78 07000 151 00C 001 26104 015 2112000 2024 00000000 001 001</t>
  </si>
  <si>
    <t>COMBUSTIBLES, LUBRICANTES Y ADITIVOS PARA VEHÍCULOS TERRESTRES, AÉREOS, MARÍTIMOS, LACUSTRES Y FLUVIALES ASIGNADOS A SERVIDORES PÚBLICOS</t>
  </si>
  <si>
    <t>5 1 2 6 1 12 31111 6 M78 07000 151 00E</t>
  </si>
  <si>
    <t>5 1 2 6 1 12 31111 6 M78 07000 151 00E 001</t>
  </si>
  <si>
    <t>5 1 2 6 1 12 31111 6 M78 07000 151 00E 001 26104</t>
  </si>
  <si>
    <t>5 1 2 6 1 12 31111 6 M78 07000 151 00E 001 26104 011</t>
  </si>
  <si>
    <t>5 1 2 6 1 12 31111 6 M78 07000 151 00E 001 26104 011 2112000</t>
  </si>
  <si>
    <t>5 1 2 6 1 12 31111 6 M78 07000 151 00E 001 26104 011 2112000 2024</t>
  </si>
  <si>
    <t>5 1 2 6 1 12 31111 6 M78 07000 151 00E 001 26104 011 2112000 2024 00000000</t>
  </si>
  <si>
    <t>5 1 2 6 1 12 31111 6 M78 07000 151 00E 001 26104 011 2112000 2024 00000000 005</t>
  </si>
  <si>
    <t>5 1 2 6 1 12 31111 6 M78 07000 151 00E 001 26104 011 2112000 2024 00000000 005 001</t>
  </si>
  <si>
    <t>5 1 2 6 1 12 31111 6 M78 15000</t>
  </si>
  <si>
    <t>5 1 2 6 1 12 31111 6 M78 15000 171</t>
  </si>
  <si>
    <t>5 1 2 6 1 12 31111 6 M78 15000 171 00I</t>
  </si>
  <si>
    <t>5 1 2 6 1 12 31111 6 M78 15000 171 00I 001</t>
  </si>
  <si>
    <t>5 1 2 6 1 12 31111 6 M78 15000 171 00I 001 26101</t>
  </si>
  <si>
    <t>COMBUSTIBLES, LUBRICANTES Y ADITIVOS PARA VEHICULOS TERRESTRES, AEREOS, MARITIMOS, LACUSTRES Y FLUVIALES DESTINADOS A LA EJECUCION DE PROGRAMAS DE SEGURIDAD PUBLICA Y NACIONAL.</t>
  </si>
  <si>
    <t>5 1 2 6 1 12 31111 6 M78 15000 171 00I 001 26101 025</t>
  </si>
  <si>
    <t>5 1 2 6 1 12 31111 6 M78 15000 171 00I 001 26101 025 2112000</t>
  </si>
  <si>
    <t>5 1 2 6 1 12 31111 6 M78 15000 171 00I 001 26101 025 2112000 2024</t>
  </si>
  <si>
    <t>5 1 2 6 1 12 31111 6 M78 15000 171 00I 001 26101 025 2112000 2024 00000000</t>
  </si>
  <si>
    <t>5 1 2 6 1 12 31111 6 M78 15000 171 00I 001 26101 025 2112000 2024 00000000 003</t>
  </si>
  <si>
    <t>5 1 2 6 1 12 31111 6 M78 15000 171 00I 001 26101 025 2112000 2024 00000000 003 001</t>
  </si>
  <si>
    <t>COMBUSTIBLE,  LUBRICANTES Y ADITIVOS DESTINADOS A PROGRAMAS DE SEGURIDAD PÚBLICA</t>
  </si>
  <si>
    <t>5 1 2 7</t>
  </si>
  <si>
    <t>VESTUARIO, BLANCOS, PRENDAS DE PROTECCIÓN Y ARTÍCULOS DEPORTIVOS</t>
  </si>
  <si>
    <t>5 1 2 7 1</t>
  </si>
  <si>
    <t>VESTUARIO Y UNIFORMES</t>
  </si>
  <si>
    <t>5 1 2 7 1 12</t>
  </si>
  <si>
    <t>5 1 2 7 1 12 31111</t>
  </si>
  <si>
    <t>5 1 2 7 1 12 31111 6</t>
  </si>
  <si>
    <t>5 1 2 7 1 12 31111 6 M78</t>
  </si>
  <si>
    <t>5 1 2 7 1 12 31111 6 M78 15000</t>
  </si>
  <si>
    <t>5 1 2 7 1 12 31111 6 M78 15000 171</t>
  </si>
  <si>
    <t>5 1 2 7 1 12 31111 6 M78 15000 171 00I</t>
  </si>
  <si>
    <t>5 1 2 7 1 12 31111 6 M78 15000 171 00I 001</t>
  </si>
  <si>
    <t>5 1 2 7 1 12 31111 6 M78 15000 171 00I 001 27101</t>
  </si>
  <si>
    <t>VESTUARIO Y UNIFORMES.</t>
  </si>
  <si>
    <t>5 1 2 7 1 12 31111 6 M78 15000 171 00I 001 27101 025</t>
  </si>
  <si>
    <t>5 1 2 7 1 12 31111 6 M78 15000 171 00I 001 27101 025 2112000</t>
  </si>
  <si>
    <t>5 1 2 7 1 12 31111 6 M78 15000 171 00I 001 27101 025 2112000 2024</t>
  </si>
  <si>
    <t>5 1 2 7 1 12 31111 6 M78 15000 171 00I 001 27101 025 2112000 2024 00000000</t>
  </si>
  <si>
    <t>5 1 2 7 1 12 31111 6 M78 15000 171 00I 001 27101 025 2112000 2024 00000000 003</t>
  </si>
  <si>
    <t>5 1 2 7 1 12 31111 6 M78 15000 171 00I 001 27101 025 2112000 2024 00000000 003 001</t>
  </si>
  <si>
    <t>5 1 2 7 2</t>
  </si>
  <si>
    <t>PRENDAS DE SEGURIDAD Y PROTECCIÓN PERSONAL</t>
  </si>
  <si>
    <t>5 1 2 7 2 12</t>
  </si>
  <si>
    <t>5 1 2 7 2 12 31111</t>
  </si>
  <si>
    <t>5 1 2 7 2 12 31111 6</t>
  </si>
  <si>
    <t>5 1 2 7 2 12 31111 6 M78</t>
  </si>
  <si>
    <t>5 1 2 7 2 12 31111 6 M78 15000</t>
  </si>
  <si>
    <t>5 1 2 7 2 12 31111 6 M78 15000 171</t>
  </si>
  <si>
    <t>5 1 2 7 2 12 31111 6 M78 15000 171 00I</t>
  </si>
  <si>
    <t>5 1 2 7 2 12 31111 6 M78 15000 171 00I 001</t>
  </si>
  <si>
    <t>5 1 2 7 2 12 31111 6 M78 15000 171 00I 001 27201</t>
  </si>
  <si>
    <t>PRENDAS DE PROTECCION PERSONAL.</t>
  </si>
  <si>
    <t>5 1 2 7 2 12 31111 6 M78 15000 171 00I 001 27201 025</t>
  </si>
  <si>
    <t>5 1 2 7 2 12 31111 6 M78 15000 171 00I 001 27201 025 2112000</t>
  </si>
  <si>
    <t>5 1 2 7 2 12 31111 6 M78 15000 171 00I 001 27201 025 2112000 2024</t>
  </si>
  <si>
    <t>5 1 2 7 2 12 31111 6 M78 15000 171 00I 001 27201 025 2112000 2024 00000000</t>
  </si>
  <si>
    <t>5 1 2 7 2 12 31111 6 M78 15000 171 00I 001 27201 025 2112000 2024 00000000 003</t>
  </si>
  <si>
    <t>5 1 2 7 2 12 31111 6 M78 15000 171 00I 001 27201 025 2112000 2024 00000000 003 001</t>
  </si>
  <si>
    <t>PRENDAS DE SEGURIDAD Y PROTECCION PERSONAL</t>
  </si>
  <si>
    <t>5 1 3</t>
  </si>
  <si>
    <t>SERVICIOS GENERALES</t>
  </si>
  <si>
    <t>5 1 3 1</t>
  </si>
  <si>
    <t>SERVICIOS BÁSICOS</t>
  </si>
  <si>
    <t>5 1 3 1 1</t>
  </si>
  <si>
    <t>ENERGÍA ELÉCTRICA</t>
  </si>
  <si>
    <t>5 1 3 1 1 12</t>
  </si>
  <si>
    <t>5 1 3 1 1 12 31111</t>
  </si>
  <si>
    <t>5 1 3 1 1 12 31111 6</t>
  </si>
  <si>
    <t>5 1 3 1 1 12 31111 6 M78</t>
  </si>
  <si>
    <t>5 1 3 1 1 12 31111 6 M78 15000</t>
  </si>
  <si>
    <t>5 1 3 1 1 12 31111 6 M78 15000 171</t>
  </si>
  <si>
    <t>5 1 3 1 1 12 31111 6 M78 15000 171 00I</t>
  </si>
  <si>
    <t>5 1 3 1 1 12 31111 6 M78 15000 171 00I 001</t>
  </si>
  <si>
    <t>5 1 3 1 1 12 31111 6 M78 15000 171 00I 001 31101</t>
  </si>
  <si>
    <t>SERVICIO DE ENERGIA ELECTRICA.</t>
  </si>
  <si>
    <t>5 1 3 1 1 12 31111 6 M78 15000 171 00I 001 31101 025</t>
  </si>
  <si>
    <t>5 1 3 1 1 12 31111 6 M78 15000 171 00I 001 31101 025 2112000</t>
  </si>
  <si>
    <t>5 1 3 1 1 12 31111 6 M78 15000 171 00I 001 31101 025 2112000 2024</t>
  </si>
  <si>
    <t>5 1 3 1 1 12 31111 6 M78 15000 171 00I 001 31101 025 2112000 2024 00000000</t>
  </si>
  <si>
    <t>5 1 3 1 1 12 31111 6 M78 15000 171 00I 001 31101 025 2112000 2024 00000000 003</t>
  </si>
  <si>
    <t>5 1 3 1 1 12 31111 6 M78 15000 171 00I 001 31101 025 2112000 2024 00000000 003 001</t>
  </si>
  <si>
    <t>ENERGIA ELECTRICA</t>
  </si>
  <si>
    <t>5 1 3 1 1 12 31111 6 M78 15000 171 00I 001 31101 025 2112000 2024 00000000 003 002</t>
  </si>
  <si>
    <t>ALUMBRADO PUBLICO</t>
  </si>
  <si>
    <t>5 1 3 1 5</t>
  </si>
  <si>
    <t>TELEFONÍA CELULAR</t>
  </si>
  <si>
    <t>5 1 3 1 5 12</t>
  </si>
  <si>
    <t>5 1 3 1 5 12 31111</t>
  </si>
  <si>
    <t>5 1 3 1 5 12 31111 6</t>
  </si>
  <si>
    <t>5 1 3 1 5 12 31111 6 M78</t>
  </si>
  <si>
    <t>5 1 3 1 5 12 31111 6 M78 07000</t>
  </si>
  <si>
    <t>5 1 3 1 5 12 31111 6 M78 07000 151</t>
  </si>
  <si>
    <t>5 1 3 1 5 12 31111 6 M78 07000 151 00C</t>
  </si>
  <si>
    <t>5 1 3 1 5 12 31111 6 M78 07000 151 00C 001</t>
  </si>
  <si>
    <t>5 1 3 1 5 12 31111 6 M78 07000 151 00C 001 31501</t>
  </si>
  <si>
    <t>SERVICIO DE TELEFONIA CELULAR.</t>
  </si>
  <si>
    <t>5 1 3 1 5 12 31111 6 M78 07000 151 00C 001 31501 015</t>
  </si>
  <si>
    <t>5 1 3 1 5 12 31111 6 M78 07000 151 00C 001 31501 015 2112000</t>
  </si>
  <si>
    <t>5 1 3 1 5 12 31111 6 M78 07000 151 00C 001 31501 015 2112000 2024</t>
  </si>
  <si>
    <t>5 1 3 1 5 12 31111 6 M78 07000 151 00C 001 31501 015 2112000 2024 00000000</t>
  </si>
  <si>
    <t>5 1 3 1 5 12 31111 6 M78 07000 151 00C 001 31501 015 2112000 2024 00000000 001</t>
  </si>
  <si>
    <t>5 1 3 1 5 12 31111 6 M78 07000 151 00C 001 31501 015 2112000 2024 00000000 001 001</t>
  </si>
  <si>
    <t>SERVICIO DE TELEFONIA CELULAR</t>
  </si>
  <si>
    <t>5 1 3 1 7</t>
  </si>
  <si>
    <t>SERVICIOS DE ACCESO DE INTERNET, REDES Y PROCESAMIENTO DE INFORMACIÓN</t>
  </si>
  <si>
    <t>5 1 3 1 7 12</t>
  </si>
  <si>
    <t>5 1 3 1 7 12 31111</t>
  </si>
  <si>
    <t>5 1 3 1 7 12 31111 6</t>
  </si>
  <si>
    <t>5 1 3 1 7 12 31111 6 M78</t>
  </si>
  <si>
    <t>5 1 3 1 7 12 31111 6 M78 07000</t>
  </si>
  <si>
    <t>5 1 3 1 7 12 31111 6 M78 07000 151</t>
  </si>
  <si>
    <t>5 1 3 1 7 12 31111 6 M78 07000 151 00C</t>
  </si>
  <si>
    <t>5 1 3 1 7 12 31111 6 M78 07000 151 00C 001</t>
  </si>
  <si>
    <t>5 1 3 1 7 12 31111 6 M78 07000 151 00C 001 31701</t>
  </si>
  <si>
    <t>SERVICIOS DE CONDUCCION DE SEÑALES ANALOGICAS Y DIGITALES.</t>
  </si>
  <si>
    <t>5 1 3 1 7 12 31111 6 M78 07000 151 00C 001 31701 015</t>
  </si>
  <si>
    <t>5 1 3 1 7 12 31111 6 M78 07000 151 00C 001 31701 015 2112000</t>
  </si>
  <si>
    <t>5 1 3 1 7 12 31111 6 M78 07000 151 00C 001 31701 015 2112000 2024</t>
  </si>
  <si>
    <t>5 1 3 1 7 12 31111 6 M78 07000 151 00C 001 31701 015 2112000 2024 00000000</t>
  </si>
  <si>
    <t>5 1 3 1 7 12 31111 6 M78 07000 151 00C 001 31701 015 2112000 2024 00000000 001</t>
  </si>
  <si>
    <t>5 1 3 1 7 12 31111 6 M78 07000 151 00C 001 31701 015 2112000 2024 00000000 001 001</t>
  </si>
  <si>
    <t>SERVICIOS DE CONDUCCIÓN DE SEÑALES ANALÓGICAS Y DIGITALES</t>
  </si>
  <si>
    <t>5 1 3 1 7 12 31111 6 M78 15000</t>
  </si>
  <si>
    <t>5 1 3 1 7 12 31111 6 M78 15000 171</t>
  </si>
  <si>
    <t>5 1 3 1 7 12 31111 6 M78 15000 171 00I</t>
  </si>
  <si>
    <t>5 1 3 1 7 12 31111 6 M78 15000 171 00I 001</t>
  </si>
  <si>
    <t>5 1 3 1 7 12 31111 6 M78 15000 171 00I 001 31701</t>
  </si>
  <si>
    <t>5 1 3 1 7 12 31111 6 M78 15000 171 00I 001 31701 025</t>
  </si>
  <si>
    <t>5 1 3 1 7 12 31111 6 M78 15000 171 00I 001 31701 025 2112000</t>
  </si>
  <si>
    <t>5 1 3 1 7 12 31111 6 M78 15000 171 00I 001 31701 025 2112000 2024</t>
  </si>
  <si>
    <t>5 1 3 1 7 12 31111 6 M78 15000 171 00I 001 31701 025 2112000 2024 00000000</t>
  </si>
  <si>
    <t>5 1 3 1 7 12 31111 6 M78 15000 171 00I 001 31701 025 2112000 2024 00000000 003</t>
  </si>
  <si>
    <t>5 1 3 1 7 12 31111 6 M78 15000 171 00I 001 31701 025 2112000 2024 00000000 003 001</t>
  </si>
  <si>
    <t>SERVICIO DE ACCESO A INTERNET REDES Y PROCESAMIENTO DE INFORMACION</t>
  </si>
  <si>
    <t>5 1 3 2</t>
  </si>
  <si>
    <t>SERVICIOS DE ARRENDAMIENTO</t>
  </si>
  <si>
    <t>5 1 3 2 5</t>
  </si>
  <si>
    <t>ARRENDAMIENTO DE EQUIPO DE TRANSPORTE</t>
  </si>
  <si>
    <t>5 1 3 2 5 12</t>
  </si>
  <si>
    <t>5 1 3 2 5 12 31111</t>
  </si>
  <si>
    <t>5 1 3 2 5 12 31111 6</t>
  </si>
  <si>
    <t>5 1 3 2 5 12 31111 6 M78</t>
  </si>
  <si>
    <t>5 1 3 2 5 12 31111 6 M78 10000</t>
  </si>
  <si>
    <t>5 1 3 2 5 12 31111 6 M78 10000 151</t>
  </si>
  <si>
    <t>5 1 3 2 5 12 31111 6 M78 10000 151 00I</t>
  </si>
  <si>
    <t>5 1 3 2 5 12 31111 6 M78 10000 151 00I 001</t>
  </si>
  <si>
    <t>5 1 3 2 5 12 31111 6 M78 10000 151 00I 001 32503</t>
  </si>
  <si>
    <t>ARRENDAMIENTO DE VEHICULOS TERRESTRES, AEREOS, MARITIMOS, LACUSTRES Y FLUVIALES PARA SERVICIOS ADMINISTRATIVOS.</t>
  </si>
  <si>
    <t>5 1 3 2 5 12 31111 6 M78 10000 151 00I 001 32503 025</t>
  </si>
  <si>
    <t>5 1 3 2 5 12 31111 6 M78 10000 151 00I 001 32503 025 2112000</t>
  </si>
  <si>
    <t>5 1 3 2 5 12 31111 6 M78 10000 151 00I 001 32503 025 2112000 2024</t>
  </si>
  <si>
    <t>5 1 3 2 5 12 31111 6 M78 10000 151 00I 001 32503 025 2112000 2024 00000000</t>
  </si>
  <si>
    <t>5 1 3 2 5 12 31111 6 M78 10000 151 00I 001 32503 025 2112000 2024 00000000 003</t>
  </si>
  <si>
    <t>5 1 3 2 5 12 31111 6 M78 10000 151 00I 001 32503 025 2112000 2024 00000000 003 001</t>
  </si>
  <si>
    <t>ARRENDAMIENTO DE EQUIPO DE TRANSPORTE.</t>
  </si>
  <si>
    <t>5 1 3 2 9</t>
  </si>
  <si>
    <t>OTROS ARRENDAMIENTOS</t>
  </si>
  <si>
    <t>5 1 3 2 9 12</t>
  </si>
  <si>
    <t>5 1 3 2 9 12 31111</t>
  </si>
  <si>
    <t>5 1 3 2 9 12 31111 6</t>
  </si>
  <si>
    <t>5 1 3 2 9 12 31111 6 M78</t>
  </si>
  <si>
    <t>5 1 3 2 9 12 31111 6 M78 07000</t>
  </si>
  <si>
    <t>5 1 3 2 9 12 31111 6 M78 07000 151</t>
  </si>
  <si>
    <t>5 1 3 2 9 12 31111 6 M78 07000 151 00C</t>
  </si>
  <si>
    <t>5 1 3 2 9 12 31111 6 M78 07000 151 00C 001</t>
  </si>
  <si>
    <t>5 1 3 2 9 12 31111 6 M78 07000 151 00C 001 32903</t>
  </si>
  <si>
    <t>OTROS ARRENDAMIENTOS.</t>
  </si>
  <si>
    <t>5 1 3 2 9 12 31111 6 M78 07000 151 00C 001 32903 015</t>
  </si>
  <si>
    <t>5 1 3 2 9 12 31111 6 M78 07000 151 00C 001 32903 015 2112000</t>
  </si>
  <si>
    <t>5 1 3 2 9 12 31111 6 M78 07000 151 00C 001 32903 015 2112000 2024</t>
  </si>
  <si>
    <t>5 1 3 2 9 12 31111 6 M78 07000 151 00C 001 32903 015 2112000 2024 00000000</t>
  </si>
  <si>
    <t>5 1 3 2 9 12 31111 6 M78 07000 151 00C 001 32903 015 2112000 2024 00000000 001</t>
  </si>
  <si>
    <t>5 1 3 2 9 12 31111 6 M78 07000 151 00C 001 32903 015 2112000 2024 00000000 001 001</t>
  </si>
  <si>
    <t>5 1 3 3</t>
  </si>
  <si>
    <t>SERVICIOS PROFESIONALES, CIENTÍFICOS Y TÉCNICOS Y OTROS SERVICIOS</t>
  </si>
  <si>
    <t>5 1 3 3 1</t>
  </si>
  <si>
    <t>SERVICIOS LEGALES, DE CONTABILIDAD, AUDITORÍA Y RELACIONADOS</t>
  </si>
  <si>
    <t>5 1 3 3 1 12</t>
  </si>
  <si>
    <t>5 1 3 3 1 12 31111</t>
  </si>
  <si>
    <t>5 1 3 3 1 12 31111 6</t>
  </si>
  <si>
    <t>5 1 3 3 1 12 31111 6 M78</t>
  </si>
  <si>
    <t>5 1 3 3 1 12 31111 6 M78 07000</t>
  </si>
  <si>
    <t>5 1 3 3 1 12 31111 6 M78 07000 151</t>
  </si>
  <si>
    <t>5 1 3 3 1 12 31111 6 M78 07000 151 00C</t>
  </si>
  <si>
    <t>5 1 3 3 1 12 31111 6 M78 07000 151 00C 001</t>
  </si>
  <si>
    <t>5 1 3 3 1 12 31111 6 M78 07000 151 00C 001 33101</t>
  </si>
  <si>
    <t>5 1 3 3 1 12 31111 6 M78 07000 151 00C 001 33101 015</t>
  </si>
  <si>
    <t>5 1 3 3 1 12 31111 6 M78 07000 151 00C 001 33101 015 2112000</t>
  </si>
  <si>
    <t>5 1 3 3 1 12 31111 6 M78 07000 151 00C 001 33101 015 2112000 2024</t>
  </si>
  <si>
    <t>5 1 3 3 1 12 31111 6 M78 07000 151 00C 001 33101 015 2112000 2024 00000000</t>
  </si>
  <si>
    <t>5 1 3 3 1 12 31111 6 M78 07000 151 00C 001 33101 015 2112000 2024 00000000 001</t>
  </si>
  <si>
    <t>5 1 3 3 1 12 31111 6 M78 07000 151 00C 001 33101 015 2112000 2024 00000000 001 001</t>
  </si>
  <si>
    <t>5 1 3 3 1 12 31111 6 M78 07000 151 00E</t>
  </si>
  <si>
    <t>5 1 3 3 1 12 31111 6 M78 07000 151 00E 001</t>
  </si>
  <si>
    <t>5 1 3 3 1 12 31111 6 M78 07000 151 00E 001 33101</t>
  </si>
  <si>
    <t>ASESORÍAS ASOCIADAS A CONVENIOS, TRATADOS O ACUERDOS</t>
  </si>
  <si>
    <t>5 1 3 3 1 12 31111 6 M78 07000 151 00E 001 33101 011</t>
  </si>
  <si>
    <t>5 1 3 3 1 12 31111 6 M78 07000 151 00E 001 33101 011 2112000</t>
  </si>
  <si>
    <t>5 1 3 3 1 12 31111 6 M78 07000 151 00E 001 33101 011 2112000 2024</t>
  </si>
  <si>
    <t>5 1 3 3 1 12 31111 6 M78 07000 151 00E 001 33101 011 2112000 2024 00000000</t>
  </si>
  <si>
    <t>5 1 3 3 1 12 31111 6 M78 07000 151 00E 001 33101 011 2112000 2024 00000000 005</t>
  </si>
  <si>
    <t>5 1 3 3 1 12 31111 6 M78 07000 151 00E 001 33101 011 2112000 2024 00000000 005 001</t>
  </si>
  <si>
    <t>5 1 3 3 2</t>
  </si>
  <si>
    <t>SERVICIOS DE DISEÑO, ARQUITECTURA, INGENIERÍA Y ACTIVIDADES RELACIONADAS</t>
  </si>
  <si>
    <t>5 1 3 3 2 12</t>
  </si>
  <si>
    <t>5 1 3 3 2 12 31111</t>
  </si>
  <si>
    <t>5 1 3 3 2 12 31111 6</t>
  </si>
  <si>
    <t>5 1 3 3 2 12 31111 6 M78</t>
  </si>
  <si>
    <t>5 1 3 3 2 12 31111 6 M78 10000</t>
  </si>
  <si>
    <t>5 1 3 3 2 12 31111 6 M78 10000 151</t>
  </si>
  <si>
    <t>5 1 3 3 2 12 31111 6 M78 10000 151 00I</t>
  </si>
  <si>
    <t>5 1 3 3 2 12 31111 6 M78 10000 151 00I 001</t>
  </si>
  <si>
    <t>5 1 3 3 2 12 31111 6 M78 10000 151 00I 001 33201</t>
  </si>
  <si>
    <t>SERVICIOS DE DISEÑO, ARQUITECTURA, INGENIERIA Y ACTIVIDADES RELACIONADAS.</t>
  </si>
  <si>
    <t>5 1 3 3 2 12 31111 6 M78 10000 151 00I 001 33201 025</t>
  </si>
  <si>
    <t>5 1 3 3 2 12 31111 6 M78 10000 151 00I 001 33201 025 2112000</t>
  </si>
  <si>
    <t>5 1 3 3 2 12 31111 6 M78 10000 151 00I 001 33201 025 2112000 2024</t>
  </si>
  <si>
    <t>5 1 3 3 2 12 31111 6 M78 10000 151 00I 001 33201 025 2112000 2024 00000000</t>
  </si>
  <si>
    <t>5 1 3 3 2 12 31111 6 M78 10000 151 00I 001 33201 025 2112000 2024 00000000 002</t>
  </si>
  <si>
    <t>SERVICIOS PROFESIONALES, CIENTIFICOS Y TECNICOS INTEGRALES</t>
  </si>
  <si>
    <t>5 1 3 3 4</t>
  </si>
  <si>
    <t>SERVICIOS DE CAPACITACIÓN</t>
  </si>
  <si>
    <t>5 1 3 3 4 12</t>
  </si>
  <si>
    <t>5 1 3 3 4 12 31111</t>
  </si>
  <si>
    <t>5 1 3 3 4 12 31111 6</t>
  </si>
  <si>
    <t>5 1 3 3 4 12 31111 6 M78</t>
  </si>
  <si>
    <t>5 1 3 3 4 12 31111 6 M78 15000</t>
  </si>
  <si>
    <t>5 1 3 3 4 12 31111 6 M78 15000 171</t>
  </si>
  <si>
    <t>5 1 3 3 4 12 31111 6 M78 15000 171 00I</t>
  </si>
  <si>
    <t>5 1 3 3 4 12 31111 6 M78 15000 171 00I 001</t>
  </si>
  <si>
    <t>5 1 3 3 4 12 31111 6 M78 15000 171 00I 001 33401</t>
  </si>
  <si>
    <t>SERVICIO PARA CAPACITACIÓN A SERVIDORES PÚBLICOS</t>
  </si>
  <si>
    <t>5 1 3 3 4 12 31111 6 M78 15000 171 00I 001 33401 025</t>
  </si>
  <si>
    <t>25.- RECURSOS FEDERALES</t>
  </si>
  <si>
    <t>5 1 3 3 4 12 31111 6 M78 15000 171 00I 001 33401 025 2112000</t>
  </si>
  <si>
    <t>5 1 3 3 4 12 31111 6 M78 15000 171 00I 001 33401 025 2112000 2024</t>
  </si>
  <si>
    <t>5 1 3 3 4 12 31111 6 M78 15000 171 00I 001 33401 025 2112000 2024 00000000</t>
  </si>
  <si>
    <t>5 1 3 3 4 12 31111 6 M78 15000 171 00I 001 33401 025 2112000 2024 00000000 003</t>
  </si>
  <si>
    <t>5 1 3 3 4 12 31111 6 M78 15000 171 00I 001 33401 025 2112000 2024 00000000 003 001</t>
  </si>
  <si>
    <t>SERVICIOS PARA CAPACITACIÓN A SERVIDORES PÚBLICOS</t>
  </si>
  <si>
    <t>5 1 3 3 6</t>
  </si>
  <si>
    <t>SERVICIOS DE APOYO ADMINISTRATIVO, TRADUCCIÓN, FOTOCOPIADO E IMPRESIÓN</t>
  </si>
  <si>
    <t>5 1 3 3 6 12</t>
  </si>
  <si>
    <t>5 1 3 3 6 12 31111</t>
  </si>
  <si>
    <t>5 1 3 3 6 12 31111 6</t>
  </si>
  <si>
    <t>5 1 3 3 6 12 31111 6 M78</t>
  </si>
  <si>
    <t>5 1 3 3 6 12 31111 6 M78 07000</t>
  </si>
  <si>
    <t>5 1 3 3 6 12 31111 6 M78 07000 151</t>
  </si>
  <si>
    <t>5 1 3 3 6 12 31111 6 M78 07000 151 00C</t>
  </si>
  <si>
    <t>5 1 3 3 6 12 31111 6 M78 07000 151 00C 001</t>
  </si>
  <si>
    <t>5 1 3 3 6 12 31111 6 M78 07000 151 00C 001 33603</t>
  </si>
  <si>
    <t>IMPRESIONES DE DOCUMENTOS OFICIALES PARA LA PRESTACION DE SERVICIOS PUBLICOS, IDENTIFICACION, FORMATOS ADMINISTRATIVOS Y FISCALES, FORMAS VALORADAS, CERTIFICADOS Y TITULOS.</t>
  </si>
  <si>
    <t>5 1 3 3 6 12 31111 6 M78 07000 151 00C 001 33603 015</t>
  </si>
  <si>
    <t>5 1 3 3 6 12 31111 6 M78 07000 151 00C 001 33603 015 2112000</t>
  </si>
  <si>
    <t>5 1 3 3 6 12 31111 6 M78 07000 151 00C 001 33603 015 2112000 2024</t>
  </si>
  <si>
    <t>5 1 3 3 6 12 31111 6 M78 07000 151 00C 001 33603 015 2112000 2024 00000000</t>
  </si>
  <si>
    <t>5 1 3 3 6 12 31111 6 M78 07000 151 00C 001 33603 015 2112000 2024 00000000 001</t>
  </si>
  <si>
    <t>5 1 3 3 6 12 31111 6 M78 07000 151 00C 001 33603 015 2112000 2024 00000000 001 001</t>
  </si>
  <si>
    <t>IMPRESIONES DE DOCUMENTOS OFICIALES PARA LA PRESTACION DE SERVICIOS PUBLICOS, IDENTIFICACION, FORMATOS ADMINISTRATIVOS Y FISCALES, FORMAS VALORADAS, CERTIFICADOS Y TITULOS</t>
  </si>
  <si>
    <t>5 1 3 3 6 12 31111 6 M78 07000 151 00C 001 33604</t>
  </si>
  <si>
    <t>IMPRESION Y ELABORACION DE MATERIAL INFORMATIVO DERIVADO DE LA OPERACION Y ADMINISTRACION DE LAS DEPENDENCIAS Y ENTIDADES.</t>
  </si>
  <si>
    <t>5 1 3 3 6 12 31111 6 M78 07000 151 00C 001 33604 015</t>
  </si>
  <si>
    <t>5 1 3 3 6 12 31111 6 M78 07000 151 00C 001 33604 015 2112000</t>
  </si>
  <si>
    <t>5 1 3 3 6 12 31111 6 M78 07000 151 00C 001 33604 015 2112000 2024</t>
  </si>
  <si>
    <t>5 1 3 3 6 12 31111 6 M78 07000 151 00C 001 33604 015 2112000 2024 00000000</t>
  </si>
  <si>
    <t>5 1 3 3 6 12 31111 6 M78 07000 151 00C 001 33604 015 2112000 2024 00000000 001</t>
  </si>
  <si>
    <t>5 1 3 3 6 12 31111 6 M78 07000 151 00C 001 33604 015 2112000 2024 00000000 001 001</t>
  </si>
  <si>
    <t>IMPRESION Y ELABORACION DE MATERIAL INFORMATIVO DERIVADO DE LA OPERACION Y ADMINISTRACION DE LAS DEPENDENCIAS Y ENTIDADES</t>
  </si>
  <si>
    <t>5 1 3 3 6 12 31111 6 M78 07000 151 00E</t>
  </si>
  <si>
    <t>5 1 3 3 6 12 31111 6 M78 07000 151 00E 001</t>
  </si>
  <si>
    <t>5 1 3 3 6 12 31111 6 M78 07000 151 00E 001 33603</t>
  </si>
  <si>
    <t>IMPRESIONES DE DOCUMENTOS OFICIALES PARA LA PRESTACIÓN DE SERVICIOS PÚBLICOS, IDENTIFICACIÓN, FORMATOS ADMINISTRATIVOS Y FISCALES, FORMAS VALORADAS, CERTIFICADOS Y TÍTULOS</t>
  </si>
  <si>
    <t>5 1 3 3 6 12 31111 6 M78 07000 151 00E 001 33603 011</t>
  </si>
  <si>
    <t>5 1 3 3 6 12 31111 6 M78 07000 151 00E 001 33603 011 2112000</t>
  </si>
  <si>
    <t>5 1 3 3 6 12 31111 6 M78 07000 151 00E 001 33603 011 2112000 2024</t>
  </si>
  <si>
    <t>5 1 3 3 6 12 31111 6 M78 07000 151 00E 001 33603 011 2112000 2024 00000000</t>
  </si>
  <si>
    <t>5 1 3 3 6 12 31111 6 M78 07000 151 00E 001 33603 011 2112000 2024 00000000 005</t>
  </si>
  <si>
    <t>5 1 3 3 6 12 31111 6 M78 07000 151 00E 001 33603 011 2112000 2024 00000000 005 001</t>
  </si>
  <si>
    <t>5 1 3 3 6 12 31111 6 M78 15000</t>
  </si>
  <si>
    <t>5 1 3 3 6 12 31111 6 M78 15000 171</t>
  </si>
  <si>
    <t>5 1 3 3 6 12 31111 6 M78 15000 171 00I</t>
  </si>
  <si>
    <t>5 1 3 3 6 12 31111 6 M78 15000 171 00I 001</t>
  </si>
  <si>
    <t>5 1 3 3 6 12 31111 6 M78 15000 171 00I 001 33604</t>
  </si>
  <si>
    <t>5 1 3 3 6 12 31111 6 M78 15000 171 00I 001 33604 025</t>
  </si>
  <si>
    <t>5 1 3 3 6 12 31111 6 M78 15000 171 00I 001 33604 025 2112000</t>
  </si>
  <si>
    <t>5 1 3 3 6 12 31111 6 M78 15000 171 00I 001 33604 025 2112000 2024</t>
  </si>
  <si>
    <t>5 1 3 3 6 12 31111 6 M78 15000 171 00I 001 33604 025 2112000 2024 00000000</t>
  </si>
  <si>
    <t>5 1 3 3 6 12 31111 6 M78 15000 171 00I 001 33604 025 2112000 2024 00000000 003</t>
  </si>
  <si>
    <t>5 1 3 3 6 12 31111 6 M78 15000 171 00I 001 33604 025 2112000 2024 00000000 003 001</t>
  </si>
  <si>
    <t>5 1 3 4</t>
  </si>
  <si>
    <t>SERVICIOS FINANCIEROS, BANCARIOS Y COMERCIALES</t>
  </si>
  <si>
    <t>5 1 3 4 1</t>
  </si>
  <si>
    <t>SERVICIOS FINANCIEROS Y BANCARIOS</t>
  </si>
  <si>
    <t>5 1 3 4 1 12</t>
  </si>
  <si>
    <t>5 1 3 4 1 12 31111</t>
  </si>
  <si>
    <t>5 1 3 4 1 12 31111 6</t>
  </si>
  <si>
    <t>5 1 3 4 1 12 31111 6 M78</t>
  </si>
  <si>
    <t>5 1 3 4 1 12 31111 6 M78 15000</t>
  </si>
  <si>
    <t>5 1 3 4 1 12 31111 6 M78 15000 171</t>
  </si>
  <si>
    <t>5 1 3 4 1 12 31111 6 M78 15000 171 00I</t>
  </si>
  <si>
    <t>5 1 3 4 1 12 31111 6 M78 15000 171 00I 001</t>
  </si>
  <si>
    <t>5 1 3 4 1 12 31111 6 M78 15000 171 00I 001 34101</t>
  </si>
  <si>
    <t>SERVICIOS BANCARIOS Y FINANCIEROS.</t>
  </si>
  <si>
    <t>5 1 3 4 1 12 31111 6 M78 15000 171 00I 001 34101 025</t>
  </si>
  <si>
    <t>5 1 3 4 1 12 31111 6 M78 15000 171 00I 001 34101 025 2112000</t>
  </si>
  <si>
    <t>5 1 3 4 1 12 31111 6 M78 15000 171 00I 001 34101 025 2112000 2024</t>
  </si>
  <si>
    <t>5 1 3 4 1 12 31111 6 M78 15000 171 00I 001 34101 025 2112000 2024 00000000</t>
  </si>
  <si>
    <t>5 1 3 4 1 12 31111 6 M78 15000 171 00I 001 34101 025 2112000 2024 00000000 003</t>
  </si>
  <si>
    <t>5 1 3 4 1 12 31111 6 M78 15000 171 00I 001 34101 025 2112000 2024 00000000 003 001</t>
  </si>
  <si>
    <t>SERVICIOS BANCARIOS Y FINANCIEROS</t>
  </si>
  <si>
    <t>5 1 3 4 7</t>
  </si>
  <si>
    <t>FLETES Y MANIOBRAS</t>
  </si>
  <si>
    <t>5 1 3 4 7 12</t>
  </si>
  <si>
    <t>5 1 3 4 7 12 31111</t>
  </si>
  <si>
    <t>5 1 3 4 7 12 31111 6</t>
  </si>
  <si>
    <t>5 1 3 4 7 12 31111 6 M78</t>
  </si>
  <si>
    <t>5 1 3 4 7 12 31111 6 M78 07000</t>
  </si>
  <si>
    <t>5 1 3 4 7 12 31111 6 M78 07000 151</t>
  </si>
  <si>
    <t>5 1 3 4 7 12 31111 6 M78 07000 151 00C</t>
  </si>
  <si>
    <t>5 1 3 4 7 12 31111 6 M78 07000 151 00C 001</t>
  </si>
  <si>
    <t>5 1 3 4 7 12 31111 6 M78 07000 151 00C 001 34701</t>
  </si>
  <si>
    <t>FLETES Y MANIOBRAS.</t>
  </si>
  <si>
    <t>5 1 3 4 7 12 31111 6 M78 07000 151 00C 001 34701 015</t>
  </si>
  <si>
    <t>5 1 3 4 7 12 31111 6 M78 07000 151 00C 001 34701 015 2112000</t>
  </si>
  <si>
    <t>5 1 3 4 7 12 31111 6 M78 07000 151 00C 001 34701 015 2112000 2024</t>
  </si>
  <si>
    <t>5 1 3 4 7 12 31111 6 M78 07000 151 00C 001 34701 015 2112000 2024 00000000</t>
  </si>
  <si>
    <t>5 1 3 4 7 12 31111 6 M78 07000 151 00C 001 34701 015 2112000 2024 00000000 001</t>
  </si>
  <si>
    <t>5 1 3 4 7 12 31111 6 M78 07000 151 00C 001 34701 015 2112000 2024 00000000 001 001</t>
  </si>
  <si>
    <t>5 1 3 5</t>
  </si>
  <si>
    <t>SERVICIOS DE INSTALACIÓN, REPARACIÓN, MANTENIMIENTO Y CONSERVACIÓN</t>
  </si>
  <si>
    <t>5 1 3 5 1</t>
  </si>
  <si>
    <t>CONSERVACIÓN Y MANTENIMIENTO MENOR DE INMUEBLES</t>
  </si>
  <si>
    <t>5 1 3 5 1 12</t>
  </si>
  <si>
    <t>5 1 3 5 1 12 31111</t>
  </si>
  <si>
    <t>5 1 3 5 1 12 31111 6</t>
  </si>
  <si>
    <t>5 1 3 5 1 12 31111 6 M78</t>
  </si>
  <si>
    <t>5 1 3 5 1 12 31111 6 M78 07000</t>
  </si>
  <si>
    <t>5 1 3 5 1 12 31111 6 M78 07000 151</t>
  </si>
  <si>
    <t>5 1 3 5 1 12 31111 6 M78 07000 151 00C</t>
  </si>
  <si>
    <t>5 1 3 5 1 12 31111 6 M78 07000 151 00C 001</t>
  </si>
  <si>
    <t>5 1 3 5 1 12 31111 6 M78 07000 151 00C 001 35102</t>
  </si>
  <si>
    <t>MANTENIMIENTO Y CONSERVACION DE INMUEBLES PARA LA PRESTACION DE SERVICIOS PUBLICOS.</t>
  </si>
  <si>
    <t>5 1 3 5 1 12 31111 6 M78 07000 151 00C 001 35102 015</t>
  </si>
  <si>
    <t>5 1 3 5 1 12 31111 6 M78 07000 151 00C 001 35102 015 2112000</t>
  </si>
  <si>
    <t>5 1 3 5 1 12 31111 6 M78 07000 151 00C 001 35102 015 2112000 2024</t>
  </si>
  <si>
    <t>5 1 3 5 1 12 31111 6 M78 07000 151 00C 001 35102 015 2112000 2024 00000000</t>
  </si>
  <si>
    <t>5 1 3 5 1 12 31111 6 M78 07000 151 00C 001 35102 015 2112000 2024 00000000 001</t>
  </si>
  <si>
    <t>5 1 3 5 1 12 31111 6 M78 07000 151 00C 001 35102 015 2112000 2024 00000000 001 001</t>
  </si>
  <si>
    <t>MANTENIMIENTO Y CONSERVACION DE INMUEBLES PARA LAPRESTACION DE SERVICIOS PUBLICOS.</t>
  </si>
  <si>
    <t>5 1 3 5 2</t>
  </si>
  <si>
    <t>INSTALACIÓN, REPARACIÓN Y MANTENIMIENTO DE MOBILIARIO Y EQUIPO DE ADMINISTRACIÓN, EDUCACIONAL Y RECREATIVO</t>
  </si>
  <si>
    <t>5 1 3 5 2 12</t>
  </si>
  <si>
    <t>5 1 3 5 2 12 31111</t>
  </si>
  <si>
    <t>5 1 3 5 2 12 31111 6</t>
  </si>
  <si>
    <t>5 1 3 5 2 12 31111 6 M78</t>
  </si>
  <si>
    <t>5 1 3 5 2 12 31111 6 M78 07000</t>
  </si>
  <si>
    <t>5 1 3 5 2 12 31111 6 M78 07000 151</t>
  </si>
  <si>
    <t>5 1 3 5 2 12 31111 6 M78 07000 151 00C</t>
  </si>
  <si>
    <t>5 1 3 5 2 12 31111 6 M78 07000 151 00C 001</t>
  </si>
  <si>
    <t>5 1 3 5 2 12 31111 6 M78 07000 151 00C 001 35201</t>
  </si>
  <si>
    <t>MANTENIMIENTO Y CONSERVACION DE MOBILIARIO Y EQUIPO DE ADMINISTRACION.</t>
  </si>
  <si>
    <t>5 1 3 5 2 12 31111 6 M78 07000 151 00C 001 35201 015</t>
  </si>
  <si>
    <t>5 1 3 5 2 12 31111 6 M78 07000 151 00C 001 35201 015 2112000</t>
  </si>
  <si>
    <t>5 1 3 5 2 12 31111 6 M78 07000 151 00C 001 35201 015 2112000 2024</t>
  </si>
  <si>
    <t>5 1 3 5 2 12 31111 6 M78 07000 151 00C 001 35201 015 2112000 2024 00000000</t>
  </si>
  <si>
    <t>5 1 3 5 2 12 31111 6 M78 07000 151 00C 001 35201 015 2112000 2024 00000000 001</t>
  </si>
  <si>
    <t>5 1 3 5 2 12 31111 6 M78 07000 151 00C 001 35201 015 2112000 2024 00000000 001 001</t>
  </si>
  <si>
    <t>MANTENIMIENTO Y CONSERVACION DE MOBILIARIO Y EQUIPO DE ADMINISTRACION</t>
  </si>
  <si>
    <t>5 1 3 5 3</t>
  </si>
  <si>
    <t>INSTALACIÓN, REPARACIÓN Y MANTENIMIENTO DE EQUIPO DE CÓMPUTO Y TECNOLOGÍA DE LA INFORMACIÓN</t>
  </si>
  <si>
    <t>5 1 3 5 3 12</t>
  </si>
  <si>
    <t>5 1 3 5 3 12 31111</t>
  </si>
  <si>
    <t>5 1 3 5 3 12 31111 6</t>
  </si>
  <si>
    <t>5 1 3 5 3 12 31111 6 M78</t>
  </si>
  <si>
    <t>5 1 3 5 3 12 31111 6 M78 07000</t>
  </si>
  <si>
    <t>5 1 3 5 3 12 31111 6 M78 07000 151</t>
  </si>
  <si>
    <t>5 1 3 5 3 12 31111 6 M78 07000 151 00E</t>
  </si>
  <si>
    <t>5 1 3 5 3 12 31111 6 M78 07000 151 00E 001</t>
  </si>
  <si>
    <t>5 1 3 5 3 12 31111 6 M78 07000 151 00E 001 35301</t>
  </si>
  <si>
    <t>MANTENIMIENTO Y CONSERVACIÓN DE BIENES INFORMÁTICOS</t>
  </si>
  <si>
    <t>5 1 3 5 3 12 31111 6 M78 07000 151 00E 001 35301 011</t>
  </si>
  <si>
    <t>5 1 3 5 3 12 31111 6 M78 07000 151 00E 001 35301 011 2112000</t>
  </si>
  <si>
    <t>5 1 3 5 3 12 31111 6 M78 07000 151 00E 001 35301 011 2112000 2024</t>
  </si>
  <si>
    <t>5 1 3 5 3 12 31111 6 M78 07000 151 00E 001 35301 011 2112000 2024 00000000</t>
  </si>
  <si>
    <t>5 1 3 5 3 12 31111 6 M78 07000 151 00E 001 35301 011 2112000 2024 00000000 005</t>
  </si>
  <si>
    <t>5 1 3 5 3 12 31111 6 M78 07000 151 00E 001 35301 011 2112000 2024 00000000 005 001</t>
  </si>
  <si>
    <t>5 1 3 5 3 12 31111 6 M78 15000</t>
  </si>
  <si>
    <t>5 1 3 5 3 12 31111 6 M78 15000 171</t>
  </si>
  <si>
    <t>5 1 3 5 3 12 31111 6 M78 15000 171 00I</t>
  </si>
  <si>
    <t>5 1 3 5 3 12 31111 6 M78 15000 171 00I 001</t>
  </si>
  <si>
    <t>5 1 3 5 3 12 31111 6 M78 15000 171 00I 001 35301</t>
  </si>
  <si>
    <t>MANTENIMIENTO Y CONSERVACION DE BIENES INFORMATICOS.</t>
  </si>
  <si>
    <t>5 1 3 5 3 12 31111 6 M78 15000 171 00I 001 35301 025</t>
  </si>
  <si>
    <t>5 1 3 5 3 12 31111 6 M78 15000 171 00I 001 35301 025 2112000</t>
  </si>
  <si>
    <t>5 1 3 5 3 12 31111 6 M78 15000 171 00I 001 35301 025 2112000 2024</t>
  </si>
  <si>
    <t>5 1 3 5 3 12 31111 6 M78 15000 171 00I 001 35301 025 2112000 2024 00000000</t>
  </si>
  <si>
    <t>5 1 3 5 3 12 31111 6 M78 15000 171 00I 001 35301 025 2112000 2024 00000000 003</t>
  </si>
  <si>
    <t>5 1 3 5 3 12 31111 6 M78 15000 171 00I 001 35301 025 2112000 2024 00000000 003 001</t>
  </si>
  <si>
    <t>DE EQUIPO DE COMPUTO Y ACCESORIOS.</t>
  </si>
  <si>
    <t>5 1 3 5 3 12 31111 6 M78 15000 171 00I 001 35301 025 2112000 2024 00000000 003 002</t>
  </si>
  <si>
    <t>DE EQUIPO DE RADIO Y COMUNICACION</t>
  </si>
  <si>
    <t>5 1 3 5 5</t>
  </si>
  <si>
    <t>REPARACIÓN Y MANTENIMIENTO DE EQUIPO DE TRANSPORTE</t>
  </si>
  <si>
    <t>5 1 3 5 5 12</t>
  </si>
  <si>
    <t>5 1 3 5 5 12 31111</t>
  </si>
  <si>
    <t>5 1 3 5 5 12 31111 6</t>
  </si>
  <si>
    <t>5 1 3 5 5 12 31111 6 M78</t>
  </si>
  <si>
    <t>5 1 3 5 5 12 31111 6 M78 07000</t>
  </si>
  <si>
    <t>5 1 3 5 5 12 31111 6 M78 07000 151</t>
  </si>
  <si>
    <t>5 1 3 5 5 12 31111 6 M78 07000 151 00C</t>
  </si>
  <si>
    <t>5 1 3 5 5 12 31111 6 M78 07000 151 00C 001</t>
  </si>
  <si>
    <t>5 1 3 5 5 12 31111 6 M78 07000 151 00C 001 35501</t>
  </si>
  <si>
    <t>MANTENIMIENTO Y CONSERVACION DE VEHICULOS TERRESTRES, AEREOS, MARITIMOS, LACUSTRES Y FLUVIALES.</t>
  </si>
  <si>
    <t>5 1 3 5 5 12 31111 6 M78 07000 151 00C 001 35501 015</t>
  </si>
  <si>
    <t>5 1 3 5 5 12 31111 6 M78 07000 151 00C 001 35501 015 2112000</t>
  </si>
  <si>
    <t>5 1 3 5 5 12 31111 6 M78 07000 151 00C 001 35501 015 2112000 2024</t>
  </si>
  <si>
    <t>5 1 3 5 5 12 31111 6 M78 07000 151 00C 001 35501 015 2112000 2024 00000000</t>
  </si>
  <si>
    <t>5 1 3 5 5 12 31111 6 M78 07000 151 00C 001 35501 015 2112000 2024 00000000 001</t>
  </si>
  <si>
    <t>5 1 3 5 5 12 31111 6 M78 07000 151 00C 001 35501 015 2112000 2024 00000000 001 001</t>
  </si>
  <si>
    <t>MANTENIMIENTO Y CONSERVACION DE VEHICULOS TERRESTRES, AEREOS, MARITIMOS, LACUSTRES Y FLUVIALES</t>
  </si>
  <si>
    <t>5 1 3 5 5 12 31111 6 M78 10000</t>
  </si>
  <si>
    <t>5 1 3 5 5 12 31111 6 M78 10000 151</t>
  </si>
  <si>
    <t>5 1 3 5 5 12 31111 6 M78 10000 151 00I</t>
  </si>
  <si>
    <t>5 1 3 5 5 12 31111 6 M78 10000 151 00I 001</t>
  </si>
  <si>
    <t>5 1 3 5 5 12 31111 6 M78 10000 151 00I 001 35501</t>
  </si>
  <si>
    <t>5 1 3 5 5 12 31111 6 M78 10000 151 00I 001 35501 025</t>
  </si>
  <si>
    <t>5 1 3 5 5 12 31111 6 M78 10000 151 00I 001 35501 025 2112000</t>
  </si>
  <si>
    <t>5 1 3 5 5 12 31111 6 M78 10000 151 00I 001 35501 025 2112000 2024</t>
  </si>
  <si>
    <t>5 1 3 5 5 12 31111 6 M78 10000 151 00I 001 35501 025 2112000 2024 00000000</t>
  </si>
  <si>
    <t>5 1 3 5 5 12 31111 6 M78 10000 151 00I 001 35501 025 2112000 2024 00000000 002</t>
  </si>
  <si>
    <t>5 1 3 5 5 12 31111 6 M78 10000 151 00I 001 35501 025 2112000 2024 00000000 002 001</t>
  </si>
  <si>
    <t>REPARACIÒN Y MANTENIMIENTO DE EQUIPO DE TRANSPORTE</t>
  </si>
  <si>
    <t>5 1 3 5 5 12 31111 6 M78 15000</t>
  </si>
  <si>
    <t>5 1 3 5 5 12 31111 6 M78 15000 171</t>
  </si>
  <si>
    <t>5 1 3 5 5 12 31111 6 M78 15000 171 00I</t>
  </si>
  <si>
    <t>5 1 3 5 5 12 31111 6 M78 15000 171 00I 001</t>
  </si>
  <si>
    <t>5 1 3 5 5 12 31111 6 M78 15000 171 00I 001 35501</t>
  </si>
  <si>
    <t>5 1 3 5 5 12 31111 6 M78 15000 171 00I 001 35501 025</t>
  </si>
  <si>
    <t>5 1 3 5 5 12 31111 6 M78 15000 171 00I 001 35501 025 2112000</t>
  </si>
  <si>
    <t>5 1 3 5 5 12 31111 6 M78 15000 171 00I 001 35501 025 2112000 2024</t>
  </si>
  <si>
    <t>5 1 3 5 5 12 31111 6 M78 15000 171 00I 001 35501 025 2112000 2024 00000000</t>
  </si>
  <si>
    <t>5 1 3 5 5 12 31111 6 M78 15000 171 00I 001 35501 025 2112000 2024 00000000 003</t>
  </si>
  <si>
    <t>5 1 3 5 5 12 31111 6 M78 15000 171 00I 001 35501 025 2112000 2024 00000000 003 001</t>
  </si>
  <si>
    <t>MANTENIMIENTO Y CONSERVACION DE VEHICULOS</t>
  </si>
  <si>
    <t>5 1 3 6</t>
  </si>
  <si>
    <t>SERVICIOS DE COMUNICACIÓN SOCIAL Y PUBLICIDAD</t>
  </si>
  <si>
    <t>5 1 3 6 1</t>
  </si>
  <si>
    <t>DIFUSIÓN POR RADIO, TELEVISIÓN Y OTROS MEDIOS DE MENSAJES SOBRE PROGRAMAS Y ACTIVIDADES GUBERNAMENTALES</t>
  </si>
  <si>
    <t>5 1 3 6 1 12</t>
  </si>
  <si>
    <t>5 1 3 6 1 12 31111</t>
  </si>
  <si>
    <t>5 1 3 6 1 12 31111 6</t>
  </si>
  <si>
    <t>5 1 3 6 1 12 31111 6 M78</t>
  </si>
  <si>
    <t>5 1 3 6 1 12 31111 6 M78 07000</t>
  </si>
  <si>
    <t>5 1 3 6 1 12 31111 6 M78 07000 151</t>
  </si>
  <si>
    <t>5 1 3 6 1 12 31111 6 M78 07000 151 00C</t>
  </si>
  <si>
    <t>5 1 3 6 1 12 31111 6 M78 07000 151 00C 001</t>
  </si>
  <si>
    <t>5 1 3 6 1 12 31111 6 M78 07000 151 00C 001 36101</t>
  </si>
  <si>
    <t>DIFUSION DE MENSAJES SOBRE PROGRAMAS Y ACTIVIDADES GUBERNAMENTALES.</t>
  </si>
  <si>
    <t>5 1 3 6 1 12 31111 6 M78 07000 151 00C 001 36101 015</t>
  </si>
  <si>
    <t>5 1 3 6 1 12 31111 6 M78 07000 151 00C 001 36101 015 2112000</t>
  </si>
  <si>
    <t>5 1 3 6 1 12 31111 6 M78 07000 151 00C 001 36101 015 2112000 2024</t>
  </si>
  <si>
    <t>5 1 3 6 1 12 31111 6 M78 07000 151 00C 001 36101 015 2112000 2024 00000000</t>
  </si>
  <si>
    <t>5 1 3 6 1 12 31111 6 M78 07000 151 00C 001 36101 015 2112000 2024 00000000 001</t>
  </si>
  <si>
    <t>5 1 3 6 1 12 31111 6 M78 07000 151 00C 001 36101 015 2112000 2024 00000000 001 001</t>
  </si>
  <si>
    <t>DIFUSION DE MENSAJES SOBRE PROGRAMAS Y ACTIVIDADES GUBERNAMENTALES</t>
  </si>
  <si>
    <t>5 1 3 7</t>
  </si>
  <si>
    <t>SERVICIOS DE TRASLADO Y VIÁTICOS</t>
  </si>
  <si>
    <t>5 1 3 7 5</t>
  </si>
  <si>
    <t>VIÁTICOS EN EL PAÍS</t>
  </si>
  <si>
    <t>5 1 3 7 5 12</t>
  </si>
  <si>
    <t>5 1 3 7 5 12 31111</t>
  </si>
  <si>
    <t>5 1 3 7 5 12 31111 6</t>
  </si>
  <si>
    <t>5 1 3 7 5 12 31111 6 M78</t>
  </si>
  <si>
    <t>5 1 3 7 5 12 31111 6 M78 07000</t>
  </si>
  <si>
    <t>5 1 3 7 5 12 31111 6 M78 07000 151</t>
  </si>
  <si>
    <t>5 1 3 7 5 12 31111 6 M78 07000 151 00C</t>
  </si>
  <si>
    <t>5 1 3 7 5 12 31111 6 M78 07000 151 00C 001</t>
  </si>
  <si>
    <t>5 1 3 7 5 12 31111 6 M78 07000 151 00C 001 37501</t>
  </si>
  <si>
    <t>VIATICOS NACIONALES PARA LABORES EN CAMPO Y DE SUPERVISION.</t>
  </si>
  <si>
    <t>5 1 3 7 5 12 31111 6 M78 07000 151 00C 001 37501 015</t>
  </si>
  <si>
    <t>5 1 3 7 5 12 31111 6 M78 07000 151 00C 001 37501 015 2112000</t>
  </si>
  <si>
    <t>5 1 3 7 5 12 31111 6 M78 07000 151 00C 001 37501 015 2112000 2024</t>
  </si>
  <si>
    <t>5 1 3 7 5 12 31111 6 M78 07000 151 00C 001 37501 015 2112000 2024 00000000</t>
  </si>
  <si>
    <t>5 1 3 7 5 12 31111 6 M78 07000 151 00C 001 37501 015 2112000 2024 00000000 001</t>
  </si>
  <si>
    <t>5 1 3 7 5 12 31111 6 M78 07000 151 00C 001 37501 015 2112000 2024 00000000 001 001</t>
  </si>
  <si>
    <t>VIATICOS NACIONALES PARA LABORES EN CAMPO Y DE SUPERVISION</t>
  </si>
  <si>
    <t>5 1 3 8</t>
  </si>
  <si>
    <t>SERVICIOS OFICIALES</t>
  </si>
  <si>
    <t>5 1 3 8 2</t>
  </si>
  <si>
    <t>GASTOS DE ORDEN SOCIAL Y CULTURAL</t>
  </si>
  <si>
    <t>5 1 3 8 2 12</t>
  </si>
  <si>
    <t>5 1 3 8 2 12 31111</t>
  </si>
  <si>
    <t>5 1 3 8 2 12 31111 6</t>
  </si>
  <si>
    <t>5 1 3 8 2 12 31111 6 M78</t>
  </si>
  <si>
    <t>5 1 3 8 2 12 31111 6 M78 07000</t>
  </si>
  <si>
    <t>5 1 3 8 2 12 31111 6 M78 07000 151</t>
  </si>
  <si>
    <t>5 1 3 8 2 12 31111 6 M78 07000 151 00C</t>
  </si>
  <si>
    <t>5 1 3 8 2 12 31111 6 M78 07000 151 00C 001</t>
  </si>
  <si>
    <t>5 1 3 8 2 12 31111 6 M78 07000 151 00C 001 38201</t>
  </si>
  <si>
    <t>GASTOS DE ORDEN SOCIAL.</t>
  </si>
  <si>
    <t>5 1 3 8 2 12 31111 6 M78 07000 151 00C 001 38201 015</t>
  </si>
  <si>
    <t>5 1 3 8 2 12 31111 6 M78 07000 151 00C 001 38201 015 2112000</t>
  </si>
  <si>
    <t>5 1 3 8 2 12 31111 6 M78 07000 151 00C 001 38201 015 2112000 2024</t>
  </si>
  <si>
    <t>5 1 3 8 2 12 31111 6 M78 07000 151 00C 001 38201 015 2112000 2024 00000000</t>
  </si>
  <si>
    <t>5 1 3 8 2 12 31111 6 M78 07000 151 00C 001 38201 015 2112000 2024 00000000 001</t>
  </si>
  <si>
    <t>5 1 3 8 2 12 31111 6 M78 07000 151 00C 001 38201 015 2112000 2024 00000000 001 001</t>
  </si>
  <si>
    <t>GASTOS DE ORDEN SOCIAL</t>
  </si>
  <si>
    <t>5 1 3 8 5</t>
  </si>
  <si>
    <t>GASTOS DE REPRESENTACIÓN</t>
  </si>
  <si>
    <t>5 1 3 8 5 12</t>
  </si>
  <si>
    <t>5 1 3 8 5 12 31111</t>
  </si>
  <si>
    <t>5 1 3 8 5 12 31111 6</t>
  </si>
  <si>
    <t>5 1 3 8 5 12 31111 6 M78</t>
  </si>
  <si>
    <t>5 1 3 8 5 12 31111 6 M78 07000</t>
  </si>
  <si>
    <t>5 1 3 8 5 12 31111 6 M78 07000 151</t>
  </si>
  <si>
    <t>5 1 3 8 5 12 31111 6 M78 07000 151 00C</t>
  </si>
  <si>
    <t>5 1 3 8 5 12 31111 6 M78 07000 151 00C 001</t>
  </si>
  <si>
    <t>5 1 3 8 5 12 31111 6 M78 07000 151 00C 001 38501</t>
  </si>
  <si>
    <t>GASTOS PARA ALIMENTACION DE SERVIDORES PUBLICOS DE MANDO.</t>
  </si>
  <si>
    <t>5 1 3 8 5 12 31111 6 M78 07000 151 00C 001 38501 015</t>
  </si>
  <si>
    <t>5 1 3 8 5 12 31111 6 M78 07000 151 00C 001 38501 015 2112000</t>
  </si>
  <si>
    <t>5 1 3 8 5 12 31111 6 M78 07000 151 00C 001 38501 015 2112000 2024</t>
  </si>
  <si>
    <t>5 1 3 8 5 12 31111 6 M78 07000 151 00C 001 38501 015 2112000 2024 00000000</t>
  </si>
  <si>
    <t>5 1 3 8 5 12 31111 6 M78 07000 151 00C 001 38501 015 2112000 2024 00000000 001</t>
  </si>
  <si>
    <t>5 1 3 8 5 12 31111 6 M78 07000 151 00C 001 38501 015 2112000 2024 00000000 001 001</t>
  </si>
  <si>
    <t>GASTOS PARA ALIMENTACION DE SERVIDORES PUBLICOS DE MANDO</t>
  </si>
  <si>
    <t>5 1 3 9</t>
  </si>
  <si>
    <t>OTROS SERVICIOS GENERALES</t>
  </si>
  <si>
    <t>5 1 3 9 2</t>
  </si>
  <si>
    <t>IMPUESTOS Y DERECHOS</t>
  </si>
  <si>
    <t>5 1 3 9 2 12</t>
  </si>
  <si>
    <t>5 1 3 9 2 12 31111</t>
  </si>
  <si>
    <t>5 1 3 9 2 12 31111 6</t>
  </si>
  <si>
    <t>5 1 3 9 2 12 31111 6 M78</t>
  </si>
  <si>
    <t>5 1 3 9 2 12 31111 6 M78 07000</t>
  </si>
  <si>
    <t>5 1 3 9 2 12 31111 6 M78 07000 151</t>
  </si>
  <si>
    <t>5 1 3 9 2 12 31111 6 M78 07000 151 00C</t>
  </si>
  <si>
    <t>5 1 3 9 2 12 31111 6 M78 07000 151 00C 001</t>
  </si>
  <si>
    <t>5 1 3 9 2 12 31111 6 M78 07000 151 00C 001 39201</t>
  </si>
  <si>
    <t>IMPUESTOS Y DERECHOS DE EXPORTACION.</t>
  </si>
  <si>
    <t>5 1 3 9 2 12 31111 6 M78 07000 151 00C 001 39201 015</t>
  </si>
  <si>
    <t>5 1 3 9 2 12 31111 6 M78 07000 151 00C 001 39201 015 2112000</t>
  </si>
  <si>
    <t>5 1 3 9 2 12 31111 6 M78 07000 151 00C 001 39201 015 2112000 2024</t>
  </si>
  <si>
    <t>5 1 3 9 2 12 31111 6 M78 07000 151 00C 001 39201 015 2112000 2024 00000000</t>
  </si>
  <si>
    <t>5 1 3 9 2 12 31111 6 M78 07000 151 00C 001 39201 015 2112000 2024 00000000 001</t>
  </si>
  <si>
    <t>5 1 3 9 2 12 31111 6 M78 07000 151 00C 001 39201 015 2112000 2024 00000000 001 001</t>
  </si>
  <si>
    <t>PEAJE</t>
  </si>
  <si>
    <t>5 1 3 9 2 12 31111 6 M78 07000 151 00E</t>
  </si>
  <si>
    <t>5 1 3 9 2 12 31111 6 M78 07000 151 00E 001</t>
  </si>
  <si>
    <t>5 1 3 9 2 12 31111 6 M78 07000 151 00E 001 39202</t>
  </si>
  <si>
    <t>OTROS IMPUESTOS Y DERECHOS</t>
  </si>
  <si>
    <t>5 1 3 9 2 12 31111 6 M78 07000 151 00E 001 39202 011</t>
  </si>
  <si>
    <t>5 1 3 9 2 12 31111 6 M78 07000 151 00E 001 39202 011 2112000</t>
  </si>
  <si>
    <t>5 1 3 9 2 12 31111 6 M78 07000 151 00E 001 39202 011 2112000 2024</t>
  </si>
  <si>
    <t>5 1 3 9 2 12 31111 6 M78 07000 151 00E 001 39202 011 2112000 2024 00000000</t>
  </si>
  <si>
    <t>5 1 3 9 2 12 31111 6 M78 07000 151 00E 001 39202 011 2112000 2024 00000000 005</t>
  </si>
  <si>
    <t>5 1 3 9 2 12 31111 6 M78 07000 151 00E 001 39202 011 2112000 2024 00000000 005 001</t>
  </si>
  <si>
    <t>5 1 3 9 8</t>
  </si>
  <si>
    <t>IMPUESTO SOBRE NÓMINAS Y OTROS QUE SE DERIVEN DE UNA RELACIÓN LABORAL</t>
  </si>
  <si>
    <t>5 1 3 9 8 12</t>
  </si>
  <si>
    <t>5 1 3 9 8 12 31111</t>
  </si>
  <si>
    <t>5 1 3 9 8 12 31111 6</t>
  </si>
  <si>
    <t>5 1 3 9 8 12 31111 6 M78</t>
  </si>
  <si>
    <t>5 1 3 9 8 12 31111 6 M78 07000</t>
  </si>
  <si>
    <t>5 1 3 9 8 12 31111 6 M78 07000 151</t>
  </si>
  <si>
    <t>5 1 3 9 8 12 31111 6 M78 07000 151 00C</t>
  </si>
  <si>
    <t>5 1 3 9 8 12 31111 6 M78 07000 151 00C 001</t>
  </si>
  <si>
    <t>5 1 3 9 8 12 31111 6 M78 07000 151 00C 001 39801</t>
  </si>
  <si>
    <t>IMPUESTO SOBRE NOMINAS.</t>
  </si>
  <si>
    <t>5 1 3 9 8 12 31111 6 M78 07000 151 00C 001 39801 015</t>
  </si>
  <si>
    <t>5 1 3 9 8 12 31111 6 M78 07000 151 00C 001 39801 015 2111300</t>
  </si>
  <si>
    <t>IMPUESTOS SOBRE NÓMINAS</t>
  </si>
  <si>
    <t>5 1 3 9 8 12 31111 6 M78 07000 151 00C 001 39801 015 2111300 2024</t>
  </si>
  <si>
    <t>5 1 3 9 8 12 31111 6 M78 07000 151 00C 001 39801 015 2111300 2024 00000000</t>
  </si>
  <si>
    <t>5 1 3 9 8 12 31111 6 M78 07000 151 00C 001 39801 015 2111300 2024 00000000 001</t>
  </si>
  <si>
    <t>5 1 3 9 8 12 31111 6 M78 07000 151 00C 001 39801 015 2111300 2024 00000000 001 001</t>
  </si>
  <si>
    <t>IMPUESTO SOBRE NOMINA</t>
  </si>
  <si>
    <t>5 2</t>
  </si>
  <si>
    <t>TRANSFERENCIAS, ASIGNACIONES, SUBSIDIOS Y OTRAS AYUDAS</t>
  </si>
  <si>
    <t>5 2 1</t>
  </si>
  <si>
    <t>TRANSFERENCIAS INTERNAS Y ASIGNACIONES AL SECTOR PÚBLICO</t>
  </si>
  <si>
    <t>5 2 2</t>
  </si>
  <si>
    <t>TRANSFERENCIAS AL RESTO DEL SECTOR PÚBLICO</t>
  </si>
  <si>
    <t>5 2 3</t>
  </si>
  <si>
    <t>5 2 4</t>
  </si>
  <si>
    <t>5 2 4 1</t>
  </si>
  <si>
    <t>5 2 4 1 1</t>
  </si>
  <si>
    <t>5 2 4 1 1 12</t>
  </si>
  <si>
    <t>5 2 4 1 1 12 31111</t>
  </si>
  <si>
    <t>5 2 4 1 1 12 31111 6</t>
  </si>
  <si>
    <t>5 2 4 1 1 12 31111 6 M78</t>
  </si>
  <si>
    <t>5 2 4 1 1 12 31111 6 M78 07000</t>
  </si>
  <si>
    <t>5 2 4 1 1 12 31111 6 M78 07000 151</t>
  </si>
  <si>
    <t>5 2 4 1 1 12 31111 6 M78 07000 151 00C</t>
  </si>
  <si>
    <t>5 2 4 1 1 12 31111 6 M78 07000 151 00C 001</t>
  </si>
  <si>
    <t>5 2 4 1 1 12 31111 6 M78 07000 151 00C 001 44101</t>
  </si>
  <si>
    <t>GASTOS RELACIONADOS CON ACTIVIDADES CULTURALES, DEPORTIVAS Y DE AYUDA EXTRAORDINARIA.</t>
  </si>
  <si>
    <t>5 2 4 1 1 12 31111 6 M78 07000 151 00C 001 44101 015</t>
  </si>
  <si>
    <t>5 2 4 1 1 12 31111 6 M78 07000 151 00C 001 44101 015 2151100</t>
  </si>
  <si>
    <t>AYUDA A PERSONAS</t>
  </si>
  <si>
    <t>5 2 4 1 1 12 31111 6 M78 07000 151 00C 001 44101 015 2151100 2024</t>
  </si>
  <si>
    <t>5 2 4 1 1 12 31111 6 M78 07000 151 00C 001 44101 015 2151100 2024 00000000</t>
  </si>
  <si>
    <t>5 2 4 1 1 12 31111 6 M78 07000 151 00C 001 44101 015 2151100 2024 00000000 001</t>
  </si>
  <si>
    <t>5 2 4 1 1 12 31111 6 M78 07000 151 00C 001 44101 015 2151100 2024 00000000 001 001</t>
  </si>
  <si>
    <t>5 2 4 1 1 12 31111 6 M78 07000 151 00C 001 44101 015 2151100 2024 00000000 001 002</t>
  </si>
  <si>
    <t>A CAMPESINOS</t>
  </si>
  <si>
    <t>5 2 4 1 1 12 31111 6 M78 07000 151 00C 001 44101 015 2151100 2024 00000000 001 003</t>
  </si>
  <si>
    <t>FOMENTO DEPORTIVO</t>
  </si>
  <si>
    <t>5 2 4 1 1 12 31111 6 M78 07000 151 00C 001 44101 015 2151100 2024 00000000 001 004</t>
  </si>
  <si>
    <t>PROYECTOS</t>
  </si>
  <si>
    <t>5 2 4 1 1 12 31111 6 M78 07000 151 00C 001 44110</t>
  </si>
  <si>
    <t>(DEROGADA PARTIDA DEROGADA DOF 27-12-2011)APOYO FINANCIERO A CONSEJEROS ELECTORALES LOCALES Y DISTRITALES EN AÑO ELECTORAL FEDERAL ASIGNACIONES DESTINADAS A OTORGAR APOYO FINANCIERO A LOS CONSEJEROS ELECTORALES LOCALES Y DISTRITALES EN AÑO ELECTORAL FEDERAL.</t>
  </si>
  <si>
    <t>5 2 4 1 1 12 31111 6 M78 07000 151 00C 001 44110 015</t>
  </si>
  <si>
    <t>5 2 4 1 1 12 31111 6 M78 07000 151 00C 001 44110 015 2151100</t>
  </si>
  <si>
    <t>5 2 4 1 1 12 31111 6 M78 07000 151 00C 001 44110 015 2151100 2024</t>
  </si>
  <si>
    <t>5 2 4 1 1 12 31111 6 M78 07000 151 00C 001 44110 015 2151100 2024 00000000</t>
  </si>
  <si>
    <t>5 2 4 1 1 12 31111 6 M78 07000 151 00C 001 44110 015 2151100 2024 00000000 001</t>
  </si>
  <si>
    <t>5 2 4 1 1 12 31111 6 M78 07000 151 00C 001 44110 015 2151100 2024 00000000 001 001</t>
  </si>
  <si>
    <t>FOMENTO CULTURAL</t>
  </si>
  <si>
    <t>5 2 4 1 1 12 31111 6 M78 15000</t>
  </si>
  <si>
    <t>5 2 4 1 1 12 31111 6 M78 15000 171</t>
  </si>
  <si>
    <t>5 2 4 1 1 12 31111 6 M78 15000 171 00I</t>
  </si>
  <si>
    <t>5 2 4 1 1 12 31111 6 M78 15000 171 00I 001</t>
  </si>
  <si>
    <t>5 2 4 1 1 12 31111 6 M78 15000 171 00I 001 52411</t>
  </si>
  <si>
    <t>5 2 4 1 1 12 31111 6 M78 15000 171 00I 001 52411 025</t>
  </si>
  <si>
    <t>5 2 4 1 1 12 31111 6 M78 15000 171 00I 001 52411 025 2151100</t>
  </si>
  <si>
    <t>AYUDAS A PERSONAS</t>
  </si>
  <si>
    <t>5 2 4 1 1 12 31111 6 M78 15000 171 00I 001 52411 025 2151100 2024</t>
  </si>
  <si>
    <t>5 2 4 1 1 12 31111 6 M78 15000 171 00I 001 52411 025 2151100 2024 00000000</t>
  </si>
  <si>
    <t>5 2 4 1 1 12 31111 6 M78 15000 171 00I 001 52411 025 2151100 2024 00000000 003</t>
  </si>
  <si>
    <t>5 2 4 1 1 12 31111 6 M78 15000 171 00I 001 52411 025 2151100 2024 00000000 003 001</t>
  </si>
  <si>
    <t>5 2 4 3</t>
  </si>
  <si>
    <t>AYUDAS SOCIALES A INSTITUCIONES</t>
  </si>
  <si>
    <t>5 2 4 3 3</t>
  </si>
  <si>
    <t>AYUDAS SOCIALES A INSTITUCIONES DE ENSEÑANZA</t>
  </si>
  <si>
    <t>5 2 4 3 3 12</t>
  </si>
  <si>
    <t>5 2 4 3 3 12 31111</t>
  </si>
  <si>
    <t>5 2 4 3 3 12 31111 6</t>
  </si>
  <si>
    <t>5 2 4 3 3 12 31111 6 M78</t>
  </si>
  <si>
    <t>5 2 4 3 3 12 31111 6 M78 07000</t>
  </si>
  <si>
    <t>5 2 4 3 3 12 31111 6 M78 07000 151</t>
  </si>
  <si>
    <t>5 2 4 3 3 12 31111 6 M78 07000 151 00C</t>
  </si>
  <si>
    <t>5 2 4 3 3 12 31111 6 M78 07000 151 00C 001</t>
  </si>
  <si>
    <t>5 2 4 3 3 12 31111 6 M78 07000 151 00C 001 44300</t>
  </si>
  <si>
    <t>AYUDAS SOCIALES A INSTITUCIONES DE ENSEÑANZA.</t>
  </si>
  <si>
    <t>5 2 4 3 3 12 31111 6 M78 07000 151 00C 001 44300 015</t>
  </si>
  <si>
    <t>5 2 4 3 3 12 31111 6 M78 07000 151 00C 001 44300 015 2151300</t>
  </si>
  <si>
    <t>AYUDA A INSTITUCIONES</t>
  </si>
  <si>
    <t>5 2 4 3 3 12 31111 6 M78 07000 151 00C 001 44300 015 2151300 2024</t>
  </si>
  <si>
    <t>5 2 4 3 3 12 31111 6 M78 07000 151 00C 001 44300 015 2151300 2024 00000000</t>
  </si>
  <si>
    <t>5 2 4 4</t>
  </si>
  <si>
    <t>AYUDAS SOCIALES POR DESASTRES NATURALES Y OTROS SINIESTROS</t>
  </si>
  <si>
    <t>5 2 4 4 8</t>
  </si>
  <si>
    <t>AYUDAS POR DESASTRES NATURALES Y OTROS SINIESTROS</t>
  </si>
  <si>
    <t>5 2 4 4 8 12</t>
  </si>
  <si>
    <t>5 2 4 4 8 12 31111</t>
  </si>
  <si>
    <t>5 2 4 4 8 12 31111 6</t>
  </si>
  <si>
    <t>5 2 4 4 8 12 31111 6 M78</t>
  </si>
  <si>
    <t>5 2 4 4 8 12 31111 6 M78 07000</t>
  </si>
  <si>
    <t>5 2 4 4 8 12 31111 6 M78 07000 151</t>
  </si>
  <si>
    <t>5 2 4 4 8 12 31111 6 M78 07000 151 00C</t>
  </si>
  <si>
    <t>5 2 4 4 8 12 31111 6 M78 07000 151 00C 001</t>
  </si>
  <si>
    <t>5 2 4 4 8 12 31111 6 M78 07000 151 00C 001 44801</t>
  </si>
  <si>
    <t>MERCANCIAS PARA SU DISTRIBUCION A LA POBLACION.</t>
  </si>
  <si>
    <t>5 2 4 4 8 12 31111 6 M78 07000 151 00C 001 44801 015</t>
  </si>
  <si>
    <t>5 2 4 4 8 12 31111 6 M78 07000 151 00C 001 44801 015 2151500</t>
  </si>
  <si>
    <t>DESASTRES NATURALES</t>
  </si>
  <si>
    <t>5 2 4 4 8 12 31111 6 M78 07000 151 00C 001 44801 015 2151500 2024</t>
  </si>
  <si>
    <t>5 2 4 4 8 12 31111 6 M78 07000 151 00C 001 44801 015 2151500 2024 00000000</t>
  </si>
  <si>
    <t>5 2 4 4 8 12 31111 6 M78 07000 151 00C 001 44801 015 2151500 2024 00000000 001</t>
  </si>
  <si>
    <t>5 2 4 4 8 12 31111 6 M78 07000 151 00C 001 44801 015 2151500 2024 00000000 001 001</t>
  </si>
  <si>
    <t>MERCANCIAS PARA SU DISTRIBUCION A LA POBLACION</t>
  </si>
  <si>
    <t>5 2 5</t>
  </si>
  <si>
    <t>PENSIONES Y JUBILACIONES</t>
  </si>
  <si>
    <t>5 2 6</t>
  </si>
  <si>
    <t>TRANSFERENCIAS A FIDEICOMISOS, MANDATOS Y CONTRATOS ANÁLOGOS</t>
  </si>
  <si>
    <t>5 2 7</t>
  </si>
  <si>
    <t>TRANSFERENCIAS A LA SEGURIDAD SOCIAL</t>
  </si>
  <si>
    <t>5 2 8</t>
  </si>
  <si>
    <t>DONATIVOS</t>
  </si>
  <si>
    <t>5 2 9</t>
  </si>
  <si>
    <t>TRANSFERENCIAS AL EXTERIOR</t>
  </si>
  <si>
    <t>5 3</t>
  </si>
  <si>
    <t>PARTICIPACIONES Y APORTACIONES</t>
  </si>
  <si>
    <t>5 3 1</t>
  </si>
  <si>
    <t>5 3 2</t>
  </si>
  <si>
    <t>5 3 3</t>
  </si>
  <si>
    <t>CONVENIOS</t>
  </si>
  <si>
    <t>5 4</t>
  </si>
  <si>
    <t>INTERESES, COMISIONES Y OTROS GASTOS DE LA DEUDA PÚBLICA</t>
  </si>
  <si>
    <t>5 4 1</t>
  </si>
  <si>
    <t>INTERESES DE LA DEUDA PÚBLICA</t>
  </si>
  <si>
    <t>5 4 2</t>
  </si>
  <si>
    <t>COMISIONES DE LA DEUDA PÚBLICA</t>
  </si>
  <si>
    <t>5 4 3</t>
  </si>
  <si>
    <t>GASTOS DE LA DEUDA PÚBLICA</t>
  </si>
  <si>
    <t>5 4 4</t>
  </si>
  <si>
    <t>COSTO POR COBERTURAS</t>
  </si>
  <si>
    <t>5 4 5</t>
  </si>
  <si>
    <t>APOYOS FINANCIEROS</t>
  </si>
  <si>
    <t>5 5</t>
  </si>
  <si>
    <t>OTROS GASTOS Y PÉRDIDAS EXTRAORDINARIAS</t>
  </si>
  <si>
    <t>5 5 1</t>
  </si>
  <si>
    <t>ESTIMACIONES, DEPRECIACIONES, DETERIOROS, OBSOLESCENCIA Y AMORTIZACIONES</t>
  </si>
  <si>
    <t>5 5 2</t>
  </si>
  <si>
    <t>PROVISIONES</t>
  </si>
  <si>
    <t>5 5 3</t>
  </si>
  <si>
    <t>DISMINUCIÓN DE INVENTARIOS</t>
  </si>
  <si>
    <t>5 5 4</t>
  </si>
  <si>
    <t>AUMENTO POR INSUFICIENCIA DE ESTIMACIONES POR PÉRDIDA O DETERIORO U OBSOLESCENCIA</t>
  </si>
  <si>
    <t>5 5 5</t>
  </si>
  <si>
    <t>AUMENTO POR INSUFICIENCIA DE PROVISIONES</t>
  </si>
  <si>
    <t>5 5 9</t>
  </si>
  <si>
    <t>OTROS GASTOS</t>
  </si>
  <si>
    <t>5 6</t>
  </si>
  <si>
    <t>INVERSION PUBLICA</t>
  </si>
  <si>
    <t>5 6 1</t>
  </si>
  <si>
    <t>INVERSION PUBLICA NO CAPITALIZABLE</t>
  </si>
  <si>
    <t>6</t>
  </si>
  <si>
    <t>CUENTAS DE CIERRE CONTABLE</t>
  </si>
  <si>
    <t>6 1</t>
  </si>
  <si>
    <t>RESUMEN DE INGRESOS Y GASTOS</t>
  </si>
  <si>
    <t>6 2</t>
  </si>
  <si>
    <t>AHORRO DE LA GESTIÓN</t>
  </si>
  <si>
    <t>6 3</t>
  </si>
  <si>
    <t>DESAHORRO DE LA GESTIÓN</t>
  </si>
  <si>
    <t>7</t>
  </si>
  <si>
    <t>CUENTAS DE ORDEN CONTABLES</t>
  </si>
  <si>
    <t>7 1</t>
  </si>
  <si>
    <t>VALORES</t>
  </si>
  <si>
    <t>7 1 1</t>
  </si>
  <si>
    <t>VALORES EN CUSTODIA</t>
  </si>
  <si>
    <t>7 1 2</t>
  </si>
  <si>
    <t>CUSTODIA DE VALORES</t>
  </si>
  <si>
    <t>7 1 3</t>
  </si>
  <si>
    <t>INSTRUMENTOS DE CRÉDITO PRESTADOS A FORMADORES DE MERCADO</t>
  </si>
  <si>
    <t>7 1 4</t>
  </si>
  <si>
    <t>PRÉSTAMO DE INSTRUMENTOS DE CRÉDITO A FORMADORES DE MERCADO Y SU GARANTÍA</t>
  </si>
  <si>
    <t>7 1 5</t>
  </si>
  <si>
    <t>INSTRUMENTOS DE CRÉDITO RECIBIDOS EN GARANTÍA DE LOS FORMADORES DE MERCADO</t>
  </si>
  <si>
    <t>7 1 6</t>
  </si>
  <si>
    <t>GARANTÍA DE CRÉDITOS RECIBIDOS DE LOS FORMADORES DE MERCADO</t>
  </si>
  <si>
    <t>7 2</t>
  </si>
  <si>
    <t>EMISION DE OBLIGACIONES</t>
  </si>
  <si>
    <t>7 2 1</t>
  </si>
  <si>
    <t>AUTORIZACIÓN PARA LA EMISIÓN DE BONOS, TÍTULOS Y VALORES DE LA DEUDA PÚBLICA INTERNA</t>
  </si>
  <si>
    <t>7 2 2</t>
  </si>
  <si>
    <t>AUTORIZACIÓN PARA LA EMISIÓN DE BONOS, TÍTULOS Y VALORES DE LA DEUDA PÚBLICA EXTERNA</t>
  </si>
  <si>
    <t>7 2 3</t>
  </si>
  <si>
    <t>EMISIONES AUTORIZADAS DE LA DEUDA PÚBLICA INTERNA Y EXTERNA</t>
  </si>
  <si>
    <t>7 2 4</t>
  </si>
  <si>
    <t>SUSCRIPCIÓN DE CONTRATOS DE PRÉSTAMOS Y OTRAS OBLIGACIONES DE LA DEUDA PÚBLICA INTERNA</t>
  </si>
  <si>
    <t>7 2 5</t>
  </si>
  <si>
    <t>SUSCRIPCIÓN DE CONTRATOS DE PRÉSTAMOS Y OTRAS OBLIGACIONES DE LA DEUDA PÚBLICA EXTERNA</t>
  </si>
  <si>
    <t>7 2 6</t>
  </si>
  <si>
    <t>CONTRATOS DE PRÉSTAMOS Y OTRAS OBLIGACIONES DE LA DEUDA PÚBLICA INTERNA Y EXTERNA</t>
  </si>
  <si>
    <t>7 3</t>
  </si>
  <si>
    <t>AVALES Y GARANTÍAS</t>
  </si>
  <si>
    <t>7 3 1</t>
  </si>
  <si>
    <t>AVALES AUTORIZADOS</t>
  </si>
  <si>
    <t>7 3 2</t>
  </si>
  <si>
    <t>AVALES FIRMADOS</t>
  </si>
  <si>
    <t>7 3 3</t>
  </si>
  <si>
    <t>FIANZAS Y GARANTÍAS RECIBIDAS POR DEUDAS A COBRAR</t>
  </si>
  <si>
    <t>7 3 4</t>
  </si>
  <si>
    <t>FIANZAS Y GARANTÍAS RECIBIDAS</t>
  </si>
  <si>
    <t>7 3 5</t>
  </si>
  <si>
    <t>FIANZAS OTORGADAS PARA RESPALDAR OBLIGACIONES NO FISCALES DEL GOBIERNO</t>
  </si>
  <si>
    <t>7 3 6</t>
  </si>
  <si>
    <t>FIANZAS OTORGADAS DEL GOBIERNO  PARA RESPALDAR OBLIGACIONES NO FISCALES</t>
  </si>
  <si>
    <t>7 4</t>
  </si>
  <si>
    <t>JUICIOS</t>
  </si>
  <si>
    <t>7 4 1</t>
  </si>
  <si>
    <t>DEMANDAS JUDICIAL EN PROCESO DE RESOLUCIÓN</t>
  </si>
  <si>
    <t>7 4 2</t>
  </si>
  <si>
    <t>RESOLUCIÓN DE DEMANDAS EN PROCESO JUDICIAL</t>
  </si>
  <si>
    <t>7 5</t>
  </si>
  <si>
    <t>INVERSIÓN PÚBLICA</t>
  </si>
  <si>
    <t>7 5 1</t>
  </si>
  <si>
    <t>CONTRATOS PARA INVERSIÓN PÚBLICA</t>
  </si>
  <si>
    <t>7 5 2</t>
  </si>
  <si>
    <t>INVERSIÓN PÚBLICA CONTRATADA</t>
  </si>
  <si>
    <t>7 6</t>
  </si>
  <si>
    <t>BIENES EN CONCESIONADOS O EN COMODATO</t>
  </si>
  <si>
    <t>7 6 1</t>
  </si>
  <si>
    <t>BIENES BAJO CONTRATO EN CONCESIÓN</t>
  </si>
  <si>
    <t>7 6 2</t>
  </si>
  <si>
    <t>CONTRATO DE CONCESIÓN POR BIENES</t>
  </si>
  <si>
    <t>7 6 3</t>
  </si>
  <si>
    <t>BIENES BAJO CONTRATO EN COMODATO</t>
  </si>
  <si>
    <t>7 6 4</t>
  </si>
  <si>
    <t>CONTRATO DE COMODATO POR BIENES</t>
  </si>
  <si>
    <t>8</t>
  </si>
  <si>
    <t>CUENTAS DE ORDEN PRESUPUESTARIAS</t>
  </si>
  <si>
    <t>8 1</t>
  </si>
  <si>
    <t>LEY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</si>
  <si>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</si>
  <si>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</si>
  <si>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</si>
  <si>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</si>
  <si>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</si>
  <si>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</si>
  <si>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</si>
  <si>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</si>
  <si>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</si>
  <si>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</si>
  <si>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8 2</t>
  </si>
  <si>
    <t>PRESUPUESTO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</si>
  <si>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</si>
  <si>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</si>
  <si>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</si>
  <si>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</si>
  <si>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</si>
  <si>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</si>
  <si>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</si>
  <si>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</si>
  <si>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</si>
  <si>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</si>
  <si>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</si>
  <si>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</si>
  <si>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</si>
  <si>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</si>
  <si>
    <t>9</t>
  </si>
  <si>
    <t>CUENTAS DE CIERRE PRESUPUESTARIO</t>
  </si>
  <si>
    <t>9 1</t>
  </si>
  <si>
    <t>SUPERÁVIT FINANCIERO</t>
  </si>
  <si>
    <t>9 2</t>
  </si>
  <si>
    <t>DÉFICIT FINANCIERO</t>
  </si>
  <si>
    <t>9 3</t>
  </si>
  <si>
    <t>ADEUDOS DE EJERCICIOS FISCALES ANTERIORES</t>
  </si>
  <si>
    <t xml:space="preserve">BALANZA DE COMPROBACIÓN 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</si>
</sst>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rgb="FFE2E2E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4" xfId="0" applyBorder="1"/>
    <xf numFmtId="0" fontId="2" fillId="0" borderId="5" xfId="0" applyFont="1" applyBorder="1" applyAlignment="1">
      <alignment vertical="top"/>
    </xf>
    <xf numFmtId="0" fontId="3" fillId="0" borderId="3" xfId="0" applyFont="1" applyBorder="1"/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8" fillId="0" borderId="2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9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4" fontId="16" fillId="3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885825</xdr:colOff>
      <xdr:row>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9</xdr:col>
      <xdr:colOff>0</xdr:colOff>
      <xdr:row>4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952500</xdr:colOff>
      <xdr:row>3135</xdr:row>
      <xdr:rowOff>66675</xdr:rowOff>
    </xdr:from>
    <xdr:to>
      <xdr:col>3</xdr:col>
      <xdr:colOff>19050</xdr:colOff>
      <xdr:row>3141</xdr:row>
      <xdr:rowOff>66675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38425" y="689914800"/>
          <a:ext cx="194310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
Ing. Salvador Flores Castillo
Sìndico Procurador Municipal</a:t>
          </a:r>
        </a:p>
      </xdr:txBody>
    </xdr:sp>
    <xdr:clientData/>
  </xdr:twoCellAnchor>
  <xdr:twoCellAnchor>
    <xdr:from>
      <xdr:col>3</xdr:col>
      <xdr:colOff>466725</xdr:colOff>
      <xdr:row>3135</xdr:row>
      <xdr:rowOff>57150</xdr:rowOff>
    </xdr:from>
    <xdr:to>
      <xdr:col>5</xdr:col>
      <xdr:colOff>790575</xdr:colOff>
      <xdr:row>3141</xdr:row>
      <xdr:rowOff>57150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29200" y="979055700"/>
          <a:ext cx="209550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__________________________________
Lic. Alberto Castro Flores
Tesorero Municipal</a:t>
          </a:r>
        </a:p>
      </xdr:txBody>
    </xdr:sp>
    <xdr:clientData/>
  </xdr:twoCellAnchor>
  <xdr:twoCellAnchor>
    <xdr:from>
      <xdr:col>6</xdr:col>
      <xdr:colOff>400050</xdr:colOff>
      <xdr:row>3135</xdr:row>
      <xdr:rowOff>57150</xdr:rowOff>
    </xdr:from>
    <xdr:to>
      <xdr:col>8</xdr:col>
      <xdr:colOff>571500</xdr:colOff>
      <xdr:row>3141</xdr:row>
      <xdr:rowOff>57150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620000" y="979055700"/>
          <a:ext cx="1943100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__________________________________
L.C. Erick Josué Riíos García
Titular del Òrgano Interno de Control</a:t>
          </a:r>
        </a:p>
      </xdr:txBody>
    </xdr:sp>
    <xdr:clientData/>
  </xdr:twoCellAnchor>
  <xdr:twoCellAnchor editAs="absolute">
    <xdr:from>
      <xdr:col>1</xdr:col>
      <xdr:colOff>222250</xdr:colOff>
      <xdr:row>3135</xdr:row>
      <xdr:rowOff>47625</xdr:rowOff>
    </xdr:from>
    <xdr:to>
      <xdr:col>2</xdr:col>
      <xdr:colOff>460375</xdr:colOff>
      <xdr:row>3141</xdr:row>
      <xdr:rowOff>95250</xdr:rowOff>
    </xdr:to>
    <xdr:sp macro="" textlink="">
      <xdr:nvSpPr>
        <xdr:cNvPr id="8" name="Shape 1">
          <a:extLst>
            <a:ext uri="{FF2B5EF4-FFF2-40B4-BE49-F238E27FC236}">
              <a16:creationId xmlns:a16="http://schemas.microsoft.com/office/drawing/2014/main" id="{239537B4-9A23-449C-B984-13AAF90861B5}"/>
            </a:ext>
          </a:extLst>
        </xdr:cNvPr>
        <xdr:cNvSpPr/>
      </xdr:nvSpPr>
      <xdr:spPr>
        <a:xfrm>
          <a:off x="269875" y="684625250"/>
          <a:ext cx="1873250" cy="90487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__________________________________
Lic. Orquidia Hernàndez Mendoza
Presidenta Municipal Constitucional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34"/>
  <sheetViews>
    <sheetView tabSelected="1" view="pageBreakPreview" zoomScale="99" zoomScaleNormal="100" zoomScaleSheetLayoutView="99" workbookViewId="0">
      <selection activeCell="B5" sqref="B5:I5"/>
    </sheetView>
  </sheetViews>
  <sheetFormatPr baseColWidth="10" defaultColWidth="9.1640625" defaultRowHeight="11" x14ac:dyDescent="0.15"/>
  <cols>
    <col min="1" max="1" width="0.6640625" style="2" customWidth="1" collapsed="1"/>
    <col min="2" max="2" width="24.5" style="2" customWidth="1" collapsed="1"/>
    <col min="3" max="3" width="43.1640625" style="5" customWidth="1" collapsed="1"/>
    <col min="4" max="6" width="13.33203125" style="4" customWidth="1" collapsed="1"/>
    <col min="7" max="7" width="13.33203125" style="2" customWidth="1" collapsed="1"/>
    <col min="8" max="8" width="13.33203125" style="5" customWidth="1" collapsed="1"/>
    <col min="9" max="9" width="13.33203125" style="4" customWidth="1" collapsed="1"/>
    <col min="10" max="10" width="0.6640625" style="2" customWidth="1" collapsed="1"/>
    <col min="11" max="11" width="13.6640625" style="2" hidden="1" customWidth="1" collapsed="1"/>
    <col min="12" max="13" width="0" style="2" hidden="1" customWidth="1" collapsed="1"/>
    <col min="14" max="16384" width="9.1640625" style="2" collapsed="1"/>
  </cols>
  <sheetData>
    <row r="1" spans="1:11" s="3" customFormat="1" ht="5.25" customHeight="1" x14ac:dyDescent="0.15">
      <c r="A1" s="20"/>
      <c r="B1" s="21"/>
      <c r="C1" s="22"/>
      <c r="D1" s="23"/>
      <c r="E1" s="23"/>
      <c r="F1" s="23"/>
      <c r="G1" s="21"/>
      <c r="H1" s="22"/>
      <c r="I1" s="23"/>
      <c r="J1" s="20"/>
    </row>
    <row r="2" spans="1:11" customFormat="1" ht="13.5" customHeight="1" x14ac:dyDescent="0.15">
      <c r="A2" s="24"/>
      <c r="B2" s="33" t="s">
        <v>7</v>
      </c>
      <c r="C2" s="33"/>
      <c r="D2" s="33"/>
      <c r="E2" s="33"/>
      <c r="F2" s="33"/>
      <c r="G2" s="33"/>
      <c r="H2" s="33"/>
      <c r="I2" s="33"/>
      <c r="J2" s="24"/>
    </row>
    <row r="3" spans="1:11" s="1" customFormat="1" ht="13.5" customHeight="1" x14ac:dyDescent="0.15">
      <c r="A3" s="25"/>
      <c r="B3" s="34" t="s">
        <v>8</v>
      </c>
      <c r="C3" s="34"/>
      <c r="D3" s="34"/>
      <c r="E3" s="34"/>
      <c r="F3" s="34"/>
      <c r="G3" s="34"/>
      <c r="H3" s="34"/>
      <c r="I3" s="34"/>
      <c r="J3" s="25"/>
    </row>
    <row r="4" spans="1:11" s="1" customFormat="1" ht="13.5" customHeight="1" x14ac:dyDescent="0.15">
      <c r="A4" s="25"/>
      <c r="B4" s="35" t="s">
        <v>9</v>
      </c>
      <c r="C4" s="35"/>
      <c r="D4" s="35"/>
      <c r="E4" s="35"/>
      <c r="F4" s="35"/>
      <c r="G4" s="35"/>
      <c r="H4" s="35"/>
      <c r="I4" s="35"/>
      <c r="J4" s="25"/>
    </row>
    <row r="5" spans="1:11" customFormat="1" ht="13.5" customHeight="1" x14ac:dyDescent="0.15">
      <c r="A5" s="24"/>
      <c r="B5" s="36" t="s">
        <v>4015</v>
      </c>
      <c r="C5" s="36"/>
      <c r="D5" s="36"/>
      <c r="E5" s="36"/>
      <c r="F5" s="36"/>
      <c r="G5" s="36"/>
      <c r="H5" s="36"/>
      <c r="I5" s="36"/>
      <c r="J5" s="24"/>
    </row>
    <row r="6" spans="1:11" customFormat="1" ht="8.25" customHeight="1" x14ac:dyDescent="0.15">
      <c r="B6" s="6"/>
      <c r="C6" s="6"/>
      <c r="D6" s="6"/>
      <c r="E6" s="6"/>
      <c r="F6" s="6"/>
      <c r="G6" s="6"/>
      <c r="H6" s="6"/>
      <c r="I6" s="6"/>
    </row>
    <row r="7" spans="1:11" customFormat="1" ht="13" x14ac:dyDescent="0.15">
      <c r="A7" s="7"/>
      <c r="B7" s="13"/>
      <c r="C7" s="13"/>
      <c r="D7" s="40" t="s">
        <v>6</v>
      </c>
      <c r="E7" s="41"/>
      <c r="F7" s="40" t="s">
        <v>5</v>
      </c>
      <c r="G7" s="41"/>
      <c r="H7" s="42" t="s">
        <v>4</v>
      </c>
      <c r="I7" s="42"/>
      <c r="J7" s="10"/>
    </row>
    <row r="8" spans="1:11" customFormat="1" ht="13" x14ac:dyDescent="0.15">
      <c r="A8" s="8"/>
      <c r="B8" s="14" t="s">
        <v>2</v>
      </c>
      <c r="C8" s="26" t="s">
        <v>3</v>
      </c>
      <c r="D8" s="37" t="s">
        <v>10</v>
      </c>
      <c r="E8" s="38"/>
      <c r="F8" s="37" t="s">
        <v>11</v>
      </c>
      <c r="G8" s="38"/>
      <c r="H8" s="39" t="s">
        <v>12</v>
      </c>
      <c r="I8" s="39"/>
      <c r="J8" s="12"/>
    </row>
    <row r="9" spans="1:11" x14ac:dyDescent="0.15">
      <c r="A9" s="9"/>
      <c r="B9" s="15"/>
      <c r="C9" s="16"/>
      <c r="D9" s="17" t="s">
        <v>0</v>
      </c>
      <c r="E9" s="18" t="s">
        <v>1</v>
      </c>
      <c r="F9" s="17" t="s">
        <v>0</v>
      </c>
      <c r="G9" s="18" t="s">
        <v>1</v>
      </c>
      <c r="H9" s="19" t="s">
        <v>0</v>
      </c>
      <c r="I9" s="19" t="s">
        <v>1</v>
      </c>
      <c r="J9" s="11"/>
    </row>
    <row r="10" spans="1:11" ht="13" x14ac:dyDescent="0.15">
      <c r="B10" s="29" t="s">
        <v>13</v>
      </c>
      <c r="C10" s="29" t="s">
        <v>14</v>
      </c>
      <c r="D10" s="31">
        <f>SUMIFS(D11:D3130,K11:K3130,"0",B11:B3130,"1*")-SUMIFS(E11:E3130,K11:K3130,"0",B11:B3130,"1*")</f>
        <v>6753759.6099999985</v>
      </c>
      <c r="E10"/>
      <c r="F10" s="31">
        <f>SUMIFS(F11:F3130,K11:K3130,"0",B11:B3130,"1*")</f>
        <v>356251809.90999985</v>
      </c>
      <c r="G10" s="31">
        <f>SUMIFS(G11:G3130,K11:K3130,"0",B11:B3130,"1*")</f>
        <v>289501658.40000004</v>
      </c>
      <c r="H10" s="31">
        <f t="shared" ref="H10:H73" si="0">D10 + F10 - G10</f>
        <v>73503911.119999826</v>
      </c>
      <c r="I10" s="31"/>
      <c r="K10" t="s">
        <v>13</v>
      </c>
    </row>
    <row r="11" spans="1:11" ht="13" x14ac:dyDescent="0.15">
      <c r="B11" s="29" t="s">
        <v>15</v>
      </c>
      <c r="C11" s="29" t="s">
        <v>16</v>
      </c>
      <c r="D11" s="31">
        <f>SUMIFS(D12:D3130,K12:K3130,"0",B12:B3130,"1 1*")-SUMIFS(E12:E3130,K12:K3130,"0",B12:B3130,"1 1*")</f>
        <v>935453.37999999989</v>
      </c>
      <c r="E11"/>
      <c r="F11" s="31">
        <f>SUMIFS(F12:F3130,K12:K3130,"0",B12:B3130,"1 1*")</f>
        <v>286791992.81999993</v>
      </c>
      <c r="G11" s="31">
        <f>SUMIFS(G12:G3130,K12:K3130,"0",B12:B3130,"1 1*")</f>
        <v>287468949.86999995</v>
      </c>
      <c r="H11" s="31">
        <f t="shared" si="0"/>
        <v>258496.32999998331</v>
      </c>
      <c r="I11" s="31"/>
      <c r="K11" t="s">
        <v>13</v>
      </c>
    </row>
    <row r="12" spans="1:11" ht="13" x14ac:dyDescent="0.15">
      <c r="B12" s="29" t="s">
        <v>17</v>
      </c>
      <c r="C12" s="29" t="s">
        <v>18</v>
      </c>
      <c r="D12" s="31">
        <f>SUMIFS(D13:D3130,K13:K3130,"0",B13:B3130,"1 1 1*")-SUMIFS(E13:E3130,K13:K3130,"0",B13:B3130,"1 1 1*")</f>
        <v>46560.200000000004</v>
      </c>
      <c r="E12"/>
      <c r="F12" s="31">
        <f>SUMIFS(F13:F3130,K13:K3130,"0",B13:B3130,"1 1 1*")</f>
        <v>181295773.05000001</v>
      </c>
      <c r="G12" s="31">
        <f>SUMIFS(G13:G3130,K13:K3130,"0",B13:B3130,"1 1 1*")</f>
        <v>181277638.98000002</v>
      </c>
      <c r="H12" s="31">
        <f t="shared" si="0"/>
        <v>64694.269999980927</v>
      </c>
      <c r="I12" s="31"/>
      <c r="K12" t="s">
        <v>13</v>
      </c>
    </row>
    <row r="13" spans="1:11" ht="13" x14ac:dyDescent="0.15">
      <c r="B13" s="29" t="s">
        <v>19</v>
      </c>
      <c r="C13" s="29" t="s">
        <v>20</v>
      </c>
      <c r="D13" s="31">
        <f>SUMIFS(D14:D3130,K14:K3130,"0",B14:B3130,"1 1 1 2*")-SUMIFS(E14:E3130,K14:K3130,"0",B14:B3130,"1 1 1 2*")</f>
        <v>46560.200000000004</v>
      </c>
      <c r="E13"/>
      <c r="F13" s="31">
        <f>SUMIFS(F14:F3130,K14:K3130,"0",B14:B3130,"1 1 1 2*")</f>
        <v>181295773.05000001</v>
      </c>
      <c r="G13" s="31">
        <f>SUMIFS(G14:G3130,K14:K3130,"0",B14:B3130,"1 1 1 2*")</f>
        <v>181277638.98000002</v>
      </c>
      <c r="H13" s="31">
        <f t="shared" si="0"/>
        <v>64694.269999980927</v>
      </c>
      <c r="I13" s="31"/>
      <c r="K13" t="s">
        <v>13</v>
      </c>
    </row>
    <row r="14" spans="1:11" ht="13" x14ac:dyDescent="0.15">
      <c r="B14" s="29" t="s">
        <v>21</v>
      </c>
      <c r="C14" s="29" t="s">
        <v>22</v>
      </c>
      <c r="D14" s="31">
        <f>SUMIFS(D15:D3130,K15:K3130,"0",B15:B3130,"1 1 1 2 1*")-SUMIFS(E15:E3130,K15:K3130,"0",B15:B3130,"1 1 1 2 1*")</f>
        <v>46560.200000000004</v>
      </c>
      <c r="E14"/>
      <c r="F14" s="31">
        <f>SUMIFS(F15:F3130,K15:K3130,"0",B15:B3130,"1 1 1 2 1*")</f>
        <v>181295773.05000001</v>
      </c>
      <c r="G14" s="31">
        <f>SUMIFS(G15:G3130,K15:K3130,"0",B15:B3130,"1 1 1 2 1*")</f>
        <v>181277638.98000002</v>
      </c>
      <c r="H14" s="31">
        <f t="shared" si="0"/>
        <v>64694.269999980927</v>
      </c>
      <c r="I14" s="31"/>
      <c r="K14" t="s">
        <v>13</v>
      </c>
    </row>
    <row r="15" spans="1:11" ht="13" x14ac:dyDescent="0.15">
      <c r="B15" s="29" t="s">
        <v>23</v>
      </c>
      <c r="C15" s="29" t="s">
        <v>24</v>
      </c>
      <c r="D15" s="31">
        <f>SUMIFS(D16:D3130,K16:K3130,"0",B16:B3130,"1 1 1 2 1 12*")-SUMIFS(E16:E3130,K16:K3130,"0",B16:B3130,"1 1 1 2 1 12*")</f>
        <v>46560.200000000004</v>
      </c>
      <c r="E15"/>
      <c r="F15" s="31">
        <f>SUMIFS(F16:F3130,K16:K3130,"0",B16:B3130,"1 1 1 2 1 12*")</f>
        <v>181295773.05000001</v>
      </c>
      <c r="G15" s="31">
        <f>SUMIFS(G16:G3130,K16:K3130,"0",B16:B3130,"1 1 1 2 1 12*")</f>
        <v>181277638.98000002</v>
      </c>
      <c r="H15" s="31">
        <f t="shared" si="0"/>
        <v>64694.269999980927</v>
      </c>
      <c r="I15" s="31"/>
      <c r="K15" t="s">
        <v>13</v>
      </c>
    </row>
    <row r="16" spans="1:11" ht="13" x14ac:dyDescent="0.15">
      <c r="B16" s="29" t="s">
        <v>25</v>
      </c>
      <c r="C16" s="29" t="s">
        <v>26</v>
      </c>
      <c r="D16" s="31">
        <f>SUMIFS(D17:D3130,K17:K3130,"0",B17:B3130,"1 1 1 2 1 12 31111*")-SUMIFS(E17:E3130,K17:K3130,"0",B17:B3130,"1 1 1 2 1 12 31111*")</f>
        <v>46560.200000000004</v>
      </c>
      <c r="E16"/>
      <c r="F16" s="31">
        <f>SUMIFS(F17:F3130,K17:K3130,"0",B17:B3130,"1 1 1 2 1 12 31111*")</f>
        <v>181295773.05000001</v>
      </c>
      <c r="G16" s="31">
        <f>SUMIFS(G17:G3130,K17:K3130,"0",B17:B3130,"1 1 1 2 1 12 31111*")</f>
        <v>181277638.98000002</v>
      </c>
      <c r="H16" s="31">
        <f t="shared" si="0"/>
        <v>64694.269999980927</v>
      </c>
      <c r="I16" s="31"/>
      <c r="K16" t="s">
        <v>13</v>
      </c>
    </row>
    <row r="17" spans="2:11" ht="13" x14ac:dyDescent="0.15">
      <c r="B17" s="29" t="s">
        <v>27</v>
      </c>
      <c r="C17" s="29" t="s">
        <v>28</v>
      </c>
      <c r="D17" s="31">
        <f>SUMIFS(D18:D3130,K18:K3130,"0",B18:B3130,"1 1 1 2 1 12 31111 6*")-SUMIFS(E18:E3130,K18:K3130,"0",B18:B3130,"1 1 1 2 1 12 31111 6*")</f>
        <v>46560.200000000004</v>
      </c>
      <c r="E17"/>
      <c r="F17" s="31">
        <f>SUMIFS(F18:F3130,K18:K3130,"0",B18:B3130,"1 1 1 2 1 12 31111 6*")</f>
        <v>181295773.05000001</v>
      </c>
      <c r="G17" s="31">
        <f>SUMIFS(G18:G3130,K18:K3130,"0",B18:B3130,"1 1 1 2 1 12 31111 6*")</f>
        <v>181277638.98000002</v>
      </c>
      <c r="H17" s="31">
        <f t="shared" si="0"/>
        <v>64694.269999980927</v>
      </c>
      <c r="I17" s="31"/>
      <c r="K17" t="s">
        <v>13</v>
      </c>
    </row>
    <row r="18" spans="2:11" ht="13" x14ac:dyDescent="0.15">
      <c r="B18" s="29" t="s">
        <v>29</v>
      </c>
      <c r="C18" s="29" t="s">
        <v>30</v>
      </c>
      <c r="D18" s="31">
        <f>SUMIFS(D19:D3130,K19:K3130,"0",B19:B3130,"1 1 1 2 1 12 31111 6 M78*")-SUMIFS(E19:E3130,K19:K3130,"0",B19:B3130,"1 1 1 2 1 12 31111 6 M78*")</f>
        <v>46560.200000000004</v>
      </c>
      <c r="E18"/>
      <c r="F18" s="31">
        <f>SUMIFS(F19:F3130,K19:K3130,"0",B19:B3130,"1 1 1 2 1 12 31111 6 M78*")</f>
        <v>181295773.05000001</v>
      </c>
      <c r="G18" s="31">
        <f>SUMIFS(G19:G3130,K19:K3130,"0",B19:B3130,"1 1 1 2 1 12 31111 6 M78*")</f>
        <v>181277638.98000002</v>
      </c>
      <c r="H18" s="31">
        <f t="shared" si="0"/>
        <v>64694.269999980927</v>
      </c>
      <c r="I18" s="31"/>
      <c r="K18" t="s">
        <v>13</v>
      </c>
    </row>
    <row r="19" spans="2:11" ht="13" x14ac:dyDescent="0.15">
      <c r="B19" s="29" t="s">
        <v>31</v>
      </c>
      <c r="C19" s="29" t="s">
        <v>32</v>
      </c>
      <c r="D19" s="31">
        <f>SUMIFS(D20:D3130,K20:K3130,"0",B20:B3130,"1 1 1 2 1 12 31111 6 M78 00001*")-SUMIFS(E20:E3130,K20:K3130,"0",B20:B3130,"1 1 1 2 1 12 31111 6 M78 00001*")</f>
        <v>443.58</v>
      </c>
      <c r="E19"/>
      <c r="F19" s="31">
        <f>SUMIFS(F20:F3130,K20:K3130,"0",B20:B3130,"1 1 1 2 1 12 31111 6 M78 00001*")</f>
        <v>28763919.82</v>
      </c>
      <c r="G19" s="31">
        <f>SUMIFS(G20:G3130,K20:K3130,"0",B20:B3130,"1 1 1 2 1 12 31111 6 M78 00001*")</f>
        <v>28764363.400000002</v>
      </c>
      <c r="H19" s="31">
        <f t="shared" si="0"/>
        <v>0</v>
      </c>
      <c r="I19" s="31"/>
      <c r="K19" t="s">
        <v>13</v>
      </c>
    </row>
    <row r="20" spans="2:11" ht="13" x14ac:dyDescent="0.15">
      <c r="B20" s="29" t="s">
        <v>33</v>
      </c>
      <c r="C20" s="29" t="s">
        <v>34</v>
      </c>
      <c r="D20" s="31">
        <f>SUMIFS(D21:D3130,K21:K3130,"0",B21:B3130,"1 1 1 2 1 12 31111 6 M78 00001 002*")-SUMIFS(E21:E3130,K21:K3130,"0",B21:B3130,"1 1 1 2 1 12 31111 6 M78 00001 002*")</f>
        <v>443.58</v>
      </c>
      <c r="E20"/>
      <c r="F20" s="31">
        <f>SUMIFS(F21:F3130,K21:K3130,"0",B21:B3130,"1 1 1 2 1 12 31111 6 M78 00001 002*")</f>
        <v>28763919.82</v>
      </c>
      <c r="G20" s="31">
        <f>SUMIFS(G21:G3130,K21:K3130,"0",B21:B3130,"1 1 1 2 1 12 31111 6 M78 00001 002*")</f>
        <v>28764363.400000002</v>
      </c>
      <c r="H20" s="31">
        <f t="shared" si="0"/>
        <v>0</v>
      </c>
      <c r="I20" s="31"/>
      <c r="K20" t="s">
        <v>13</v>
      </c>
    </row>
    <row r="21" spans="2:11" ht="13" x14ac:dyDescent="0.15">
      <c r="B21" s="27" t="s">
        <v>35</v>
      </c>
      <c r="C21" s="27" t="s">
        <v>36</v>
      </c>
      <c r="D21" s="30">
        <v>429.57</v>
      </c>
      <c r="E21" s="30"/>
      <c r="F21" s="30">
        <v>25656223.27</v>
      </c>
      <c r="G21" s="30">
        <v>25656652.84</v>
      </c>
      <c r="H21" s="30">
        <f t="shared" si="0"/>
        <v>0</v>
      </c>
      <c r="I21" s="30"/>
      <c r="K21" t="s">
        <v>37</v>
      </c>
    </row>
    <row r="22" spans="2:11" ht="13" x14ac:dyDescent="0.15">
      <c r="B22" s="27" t="s">
        <v>38</v>
      </c>
      <c r="C22" s="27" t="s">
        <v>39</v>
      </c>
      <c r="D22" s="30">
        <v>14.01</v>
      </c>
      <c r="E22" s="30"/>
      <c r="F22" s="30">
        <v>1100844.57</v>
      </c>
      <c r="G22" s="30">
        <v>1100858.58</v>
      </c>
      <c r="H22" s="30">
        <f t="shared" si="0"/>
        <v>0</v>
      </c>
      <c r="I22" s="30"/>
      <c r="K22" t="s">
        <v>37</v>
      </c>
    </row>
    <row r="23" spans="2:11" ht="13" x14ac:dyDescent="0.15">
      <c r="B23" s="27" t="s">
        <v>40</v>
      </c>
      <c r="C23" s="27" t="s">
        <v>41</v>
      </c>
      <c r="D23" s="30">
        <v>0</v>
      </c>
      <c r="E23" s="30"/>
      <c r="F23" s="30">
        <v>2006851.98</v>
      </c>
      <c r="G23" s="30">
        <v>2006851.98</v>
      </c>
      <c r="H23" s="30">
        <f t="shared" si="0"/>
        <v>0</v>
      </c>
      <c r="I23" s="30"/>
      <c r="K23" t="s">
        <v>37</v>
      </c>
    </row>
    <row r="24" spans="2:11" ht="13" x14ac:dyDescent="0.15">
      <c r="B24" s="29" t="s">
        <v>42</v>
      </c>
      <c r="C24" s="29" t="s">
        <v>43</v>
      </c>
      <c r="D24" s="31">
        <f>SUMIFS(D25:D3130,K25:K3130,"0",B25:B3130,"1 1 1 2 1 12 31111 6 M78 00002*")-SUMIFS(E25:E3130,K25:K3130,"0",B25:B3130,"1 1 1 2 1 12 31111 6 M78 00002*")</f>
        <v>45468.91</v>
      </c>
      <c r="E24"/>
      <c r="F24" s="31">
        <f>SUMIFS(F25:F3130,K25:K3130,"0",B25:B3130,"1 1 1 2 1 12 31111 6 M78 00002*")</f>
        <v>135771487.80000001</v>
      </c>
      <c r="G24" s="31">
        <f>SUMIFS(G25:G3130,K25:K3130,"0",B25:B3130,"1 1 1 2 1 12 31111 6 M78 00002*")</f>
        <v>135771114.57999998</v>
      </c>
      <c r="H24" s="31">
        <f t="shared" si="0"/>
        <v>45842.130000025034</v>
      </c>
      <c r="I24" s="31"/>
      <c r="K24" t="s">
        <v>13</v>
      </c>
    </row>
    <row r="25" spans="2:11" ht="13" x14ac:dyDescent="0.15">
      <c r="B25" s="29" t="s">
        <v>44</v>
      </c>
      <c r="C25" s="29" t="s">
        <v>34</v>
      </c>
      <c r="D25" s="31">
        <f>SUMIFS(D26:D3130,K26:K3130,"0",B26:B3130,"1 1 1 2 1 12 31111 6 M78 00002 002*")-SUMIFS(E26:E3130,K26:K3130,"0",B26:B3130,"1 1 1 2 1 12 31111 6 M78 00002 002*")</f>
        <v>45468.91</v>
      </c>
      <c r="E25"/>
      <c r="F25" s="31">
        <f>SUMIFS(F26:F3130,K26:K3130,"0",B26:B3130,"1 1 1 2 1 12 31111 6 M78 00002 002*")</f>
        <v>135771487.80000001</v>
      </c>
      <c r="G25" s="31">
        <f>SUMIFS(G26:G3130,K26:K3130,"0",B26:B3130,"1 1 1 2 1 12 31111 6 M78 00002 002*")</f>
        <v>135771114.57999998</v>
      </c>
      <c r="H25" s="31">
        <f t="shared" si="0"/>
        <v>45842.130000025034</v>
      </c>
      <c r="I25" s="31"/>
      <c r="K25" t="s">
        <v>13</v>
      </c>
    </row>
    <row r="26" spans="2:11" ht="13" x14ac:dyDescent="0.15">
      <c r="B26" s="27" t="s">
        <v>45</v>
      </c>
      <c r="C26" s="27" t="s">
        <v>46</v>
      </c>
      <c r="D26" s="30">
        <v>16427.53</v>
      </c>
      <c r="E26" s="30"/>
      <c r="F26" s="30">
        <v>0</v>
      </c>
      <c r="G26" s="30">
        <v>0</v>
      </c>
      <c r="H26" s="30">
        <f t="shared" si="0"/>
        <v>16427.53</v>
      </c>
      <c r="I26" s="30"/>
      <c r="K26" t="s">
        <v>37</v>
      </c>
    </row>
    <row r="27" spans="2:11" ht="22" x14ac:dyDescent="0.15">
      <c r="B27" s="27" t="s">
        <v>47</v>
      </c>
      <c r="C27" s="27" t="s">
        <v>48</v>
      </c>
      <c r="D27" s="30">
        <v>0</v>
      </c>
      <c r="E27" s="30"/>
      <c r="F27" s="30">
        <v>32448732.579999998</v>
      </c>
      <c r="G27" s="30">
        <v>32448732.579999998</v>
      </c>
      <c r="H27" s="30">
        <f t="shared" si="0"/>
        <v>0</v>
      </c>
      <c r="I27" s="30"/>
      <c r="K27" t="s">
        <v>37</v>
      </c>
    </row>
    <row r="28" spans="2:11" ht="13" x14ac:dyDescent="0.15">
      <c r="B28" s="27" t="s">
        <v>49</v>
      </c>
      <c r="C28" s="27" t="s">
        <v>50</v>
      </c>
      <c r="D28" s="30">
        <v>29041.38</v>
      </c>
      <c r="E28" s="30"/>
      <c r="F28" s="30">
        <v>0</v>
      </c>
      <c r="G28" s="30">
        <v>0</v>
      </c>
      <c r="H28" s="30">
        <f t="shared" si="0"/>
        <v>29041.38</v>
      </c>
      <c r="I28" s="30"/>
      <c r="K28" t="s">
        <v>37</v>
      </c>
    </row>
    <row r="29" spans="2:11" ht="13" x14ac:dyDescent="0.15">
      <c r="B29" s="27" t="s">
        <v>51</v>
      </c>
      <c r="C29" s="27" t="s">
        <v>52</v>
      </c>
      <c r="D29" s="30">
        <v>0</v>
      </c>
      <c r="E29" s="30"/>
      <c r="F29" s="30">
        <v>103322755.22</v>
      </c>
      <c r="G29" s="30">
        <v>103322382</v>
      </c>
      <c r="H29" s="30">
        <f t="shared" si="0"/>
        <v>373.21999999880791</v>
      </c>
      <c r="I29" s="30"/>
      <c r="K29" t="s">
        <v>37</v>
      </c>
    </row>
    <row r="30" spans="2:11" ht="13" x14ac:dyDescent="0.15">
      <c r="B30" s="29" t="s">
        <v>53</v>
      </c>
      <c r="C30" s="29" t="s">
        <v>54</v>
      </c>
      <c r="D30" s="31">
        <f>SUMIFS(D31:D3130,K31:K3130,"0",B31:B3130,"1 1 1 2 1 12 31111 6 M78 00003*")-SUMIFS(E31:E3130,K31:K3130,"0",B31:B3130,"1 1 1 2 1 12 31111 6 M78 00003*")</f>
        <v>635.36</v>
      </c>
      <c r="E30"/>
      <c r="F30" s="31">
        <f>SUMIFS(F31:F3130,K31:K3130,"0",B31:B3130,"1 1 1 2 1 12 31111 6 M78 00003*")</f>
        <v>16619934.859999999</v>
      </c>
      <c r="G30" s="31">
        <f>SUMIFS(G31:G3130,K31:K3130,"0",B31:B3130,"1 1 1 2 1 12 31111 6 M78 00003*")</f>
        <v>16601718.08</v>
      </c>
      <c r="H30" s="31">
        <f t="shared" si="0"/>
        <v>18852.139999998733</v>
      </c>
      <c r="I30" s="31"/>
      <c r="K30" t="s">
        <v>13</v>
      </c>
    </row>
    <row r="31" spans="2:11" ht="13" x14ac:dyDescent="0.15">
      <c r="B31" s="29" t="s">
        <v>55</v>
      </c>
      <c r="C31" s="29" t="s">
        <v>34</v>
      </c>
      <c r="D31" s="31">
        <f>SUMIFS(D32:D3130,K32:K3130,"0",B32:B3130,"1 1 1 2 1 12 31111 6 M78 00003 002*")-SUMIFS(E32:E3130,K32:K3130,"0",B32:B3130,"1 1 1 2 1 12 31111 6 M78 00003 002*")</f>
        <v>635.36</v>
      </c>
      <c r="E31"/>
      <c r="F31" s="31">
        <f>SUMIFS(F32:F3130,K32:K3130,"0",B32:B3130,"1 1 1 2 1 12 31111 6 M78 00003 002*")</f>
        <v>16619934.859999999</v>
      </c>
      <c r="G31" s="31">
        <f>SUMIFS(G32:G3130,K32:K3130,"0",B32:B3130,"1 1 1 2 1 12 31111 6 M78 00003 002*")</f>
        <v>16601718.08</v>
      </c>
      <c r="H31" s="31">
        <f t="shared" si="0"/>
        <v>18852.139999998733</v>
      </c>
      <c r="I31" s="31"/>
      <c r="K31" t="s">
        <v>13</v>
      </c>
    </row>
    <row r="32" spans="2:11" ht="13" x14ac:dyDescent="0.15">
      <c r="B32" s="27" t="s">
        <v>56</v>
      </c>
      <c r="C32" s="27" t="s">
        <v>57</v>
      </c>
      <c r="D32" s="30">
        <v>0.01</v>
      </c>
      <c r="E32" s="30"/>
      <c r="F32" s="30">
        <v>0</v>
      </c>
      <c r="G32" s="30">
        <v>0</v>
      </c>
      <c r="H32" s="30">
        <f t="shared" si="0"/>
        <v>0.01</v>
      </c>
      <c r="I32" s="30"/>
      <c r="K32" t="s">
        <v>37</v>
      </c>
    </row>
    <row r="33" spans="2:11" ht="13" x14ac:dyDescent="0.15">
      <c r="B33" s="27" t="s">
        <v>58</v>
      </c>
      <c r="C33" s="27" t="s">
        <v>59</v>
      </c>
      <c r="D33" s="30">
        <v>165.08</v>
      </c>
      <c r="E33" s="30"/>
      <c r="F33" s="30">
        <v>0</v>
      </c>
      <c r="G33" s="30">
        <v>0</v>
      </c>
      <c r="H33" s="30">
        <f t="shared" si="0"/>
        <v>165.08</v>
      </c>
      <c r="I33" s="30"/>
      <c r="K33" t="s">
        <v>37</v>
      </c>
    </row>
    <row r="34" spans="2:11" ht="13" x14ac:dyDescent="0.15">
      <c r="B34" s="27" t="s">
        <v>60</v>
      </c>
      <c r="C34" s="27" t="s">
        <v>61</v>
      </c>
      <c r="D34" s="30">
        <v>0</v>
      </c>
      <c r="E34" s="30"/>
      <c r="F34" s="30">
        <v>2214756.52</v>
      </c>
      <c r="G34" s="30">
        <v>2214756.52</v>
      </c>
      <c r="H34" s="30">
        <f t="shared" si="0"/>
        <v>0</v>
      </c>
      <c r="I34" s="30"/>
      <c r="K34" t="s">
        <v>37</v>
      </c>
    </row>
    <row r="35" spans="2:11" ht="13" x14ac:dyDescent="0.15">
      <c r="B35" s="27" t="s">
        <v>62</v>
      </c>
      <c r="C35" s="27" t="s">
        <v>63</v>
      </c>
      <c r="D35" s="30">
        <v>470.27</v>
      </c>
      <c r="E35" s="30"/>
      <c r="F35" s="30">
        <v>352454.83</v>
      </c>
      <c r="G35" s="30">
        <v>334238.05</v>
      </c>
      <c r="H35" s="30">
        <f t="shared" si="0"/>
        <v>18687.050000000047</v>
      </c>
      <c r="I35" s="30"/>
      <c r="K35" t="s">
        <v>37</v>
      </c>
    </row>
    <row r="36" spans="2:11" ht="13" x14ac:dyDescent="0.15">
      <c r="B36" s="27" t="s">
        <v>64</v>
      </c>
      <c r="C36" s="27" t="s">
        <v>65</v>
      </c>
      <c r="D36" s="30">
        <v>0</v>
      </c>
      <c r="E36" s="30"/>
      <c r="F36" s="30">
        <v>14052723.51</v>
      </c>
      <c r="G36" s="30">
        <v>14052723.51</v>
      </c>
      <c r="H36" s="30">
        <f t="shared" si="0"/>
        <v>0</v>
      </c>
      <c r="I36" s="30"/>
      <c r="K36" t="s">
        <v>37</v>
      </c>
    </row>
    <row r="37" spans="2:11" ht="13" x14ac:dyDescent="0.15">
      <c r="B37" s="29" t="s">
        <v>66</v>
      </c>
      <c r="C37" s="29" t="s">
        <v>67</v>
      </c>
      <c r="D37" s="31">
        <f>SUMIFS(D38:D3130,K38:K3130,"0",B38:B3130,"1 1 1 2 1 12 31111 6 M78 00005*")-SUMIFS(E38:E3130,K38:K3130,"0",B38:B3130,"1 1 1 2 1 12 31111 6 M78 00005*")</f>
        <v>12.35</v>
      </c>
      <c r="E37"/>
      <c r="F37" s="31">
        <f>SUMIFS(F38:F3130,K38:K3130,"0",B38:B3130,"1 1 1 2 1 12 31111 6 M78 00005*")</f>
        <v>140430.57</v>
      </c>
      <c r="G37" s="31">
        <f>SUMIFS(G38:G3130,K38:K3130,"0",B38:B3130,"1 1 1 2 1 12 31111 6 M78 00005*")</f>
        <v>140442.92000000001</v>
      </c>
      <c r="H37" s="31">
        <f t="shared" si="0"/>
        <v>0</v>
      </c>
      <c r="I37" s="31"/>
      <c r="K37" t="s">
        <v>13</v>
      </c>
    </row>
    <row r="38" spans="2:11" ht="13" x14ac:dyDescent="0.15">
      <c r="B38" s="27" t="s">
        <v>68</v>
      </c>
      <c r="C38" s="27" t="s">
        <v>69</v>
      </c>
      <c r="D38" s="30">
        <v>12.35</v>
      </c>
      <c r="E38" s="30"/>
      <c r="F38" s="30">
        <v>140430.57</v>
      </c>
      <c r="G38" s="30">
        <v>140442.92000000001</v>
      </c>
      <c r="H38" s="30">
        <f t="shared" si="0"/>
        <v>0</v>
      </c>
      <c r="I38" s="30"/>
      <c r="K38" t="s">
        <v>37</v>
      </c>
    </row>
    <row r="39" spans="2:11" ht="13" x14ac:dyDescent="0.15">
      <c r="B39" s="29" t="s">
        <v>70</v>
      </c>
      <c r="C39" s="29" t="s">
        <v>71</v>
      </c>
      <c r="D39" s="31">
        <f>SUMIFS(D40:D3130,K40:K3130,"0",B40:B3130,"1 1 2*")-SUMIFS(E40:E3130,K40:K3130,"0",B40:B3130,"1 1 2*")</f>
        <v>693356.94000000006</v>
      </c>
      <c r="E39"/>
      <c r="F39" s="31">
        <f>SUMIFS(F40:F3130,K40:K3130,"0",B40:B3130,"1 1 2*")</f>
        <v>105496219.77000003</v>
      </c>
      <c r="G39" s="31">
        <f>SUMIFS(G40:G3130,K40:K3130,"0",B40:B3130,"1 1 2*")</f>
        <v>106188800.01000001</v>
      </c>
      <c r="H39" s="31">
        <f t="shared" si="0"/>
        <v>776.70000001788139</v>
      </c>
      <c r="I39" s="31"/>
      <c r="K39" t="s">
        <v>13</v>
      </c>
    </row>
    <row r="40" spans="2:11" ht="13" x14ac:dyDescent="0.15">
      <c r="B40" s="29" t="s">
        <v>72</v>
      </c>
      <c r="C40" s="29" t="s">
        <v>73</v>
      </c>
      <c r="D40" s="31">
        <f>SUMIFS(D41:D3130,K41:K3130,"0",B41:B3130,"1 1 2 2*")-SUMIFS(E41:E3130,K41:K3130,"0",B41:B3130,"1 1 2 2*")</f>
        <v>-27437.360000000001</v>
      </c>
      <c r="E40"/>
      <c r="F40" s="31">
        <f>SUMIFS(F41:F3130,K41:K3130,"0",B41:B3130,"1 1 2 2*")</f>
        <v>101644317.15000001</v>
      </c>
      <c r="G40" s="31">
        <f>SUMIFS(G41:G3130,K41:K3130,"0",B41:B3130,"1 1 2 2*")</f>
        <v>101619141.39</v>
      </c>
      <c r="H40" s="31">
        <f t="shared" si="0"/>
        <v>-2261.5999999940395</v>
      </c>
      <c r="I40" s="31"/>
      <c r="K40" t="s">
        <v>13</v>
      </c>
    </row>
    <row r="41" spans="2:11" ht="13" x14ac:dyDescent="0.15">
      <c r="B41" s="29" t="s">
        <v>74</v>
      </c>
      <c r="C41" s="29" t="s">
        <v>75</v>
      </c>
      <c r="D41" s="31">
        <f>SUMIFS(D42:D3130,K42:K3130,"0",B42:B3130,"1 1 2 2 5*")-SUMIFS(E42:E3130,K42:K3130,"0",B42:B3130,"1 1 2 2 5*")</f>
        <v>-27437.360000000001</v>
      </c>
      <c r="E41"/>
      <c r="F41" s="31">
        <f>SUMIFS(F42:F3130,K42:K3130,"0",B42:B3130,"1 1 2 2 5*")</f>
        <v>100758999.15000001</v>
      </c>
      <c r="G41" s="31">
        <f>SUMIFS(G42:G3130,K42:K3130,"0",B42:B3130,"1 1 2 2 5*")</f>
        <v>100733823.39</v>
      </c>
      <c r="H41" s="31">
        <f t="shared" si="0"/>
        <v>-2261.5999999940395</v>
      </c>
      <c r="I41" s="31"/>
      <c r="K41" t="s">
        <v>13</v>
      </c>
    </row>
    <row r="42" spans="2:11" ht="13" x14ac:dyDescent="0.15">
      <c r="B42" s="29" t="s">
        <v>76</v>
      </c>
      <c r="C42" s="29" t="s">
        <v>24</v>
      </c>
      <c r="D42" s="31">
        <f>SUMIFS(D43:D3130,K43:K3130,"0",B43:B3130,"1 1 2 2 5 12*")-SUMIFS(E43:E3130,K43:K3130,"0",B43:B3130,"1 1 2 2 5 12*")</f>
        <v>-27437.360000000001</v>
      </c>
      <c r="E42"/>
      <c r="F42" s="31">
        <f>SUMIFS(F43:F3130,K43:K3130,"0",B43:B3130,"1 1 2 2 5 12*")</f>
        <v>100758999.15000001</v>
      </c>
      <c r="G42" s="31">
        <f>SUMIFS(G43:G3130,K43:K3130,"0",B43:B3130,"1 1 2 2 5 12*")</f>
        <v>100733823.39</v>
      </c>
      <c r="H42" s="31">
        <f t="shared" si="0"/>
        <v>-2261.5999999940395</v>
      </c>
      <c r="I42" s="31"/>
      <c r="K42" t="s">
        <v>13</v>
      </c>
    </row>
    <row r="43" spans="2:11" ht="13" x14ac:dyDescent="0.15">
      <c r="B43" s="29" t="s">
        <v>77</v>
      </c>
      <c r="C43" s="29" t="s">
        <v>26</v>
      </c>
      <c r="D43" s="31">
        <f>SUMIFS(D44:D3130,K44:K3130,"0",B44:B3130,"1 1 2 2 5 12 31111*")-SUMIFS(E44:E3130,K44:K3130,"0",B44:B3130,"1 1 2 2 5 12 31111*")</f>
        <v>-27437.360000000001</v>
      </c>
      <c r="E43"/>
      <c r="F43" s="31">
        <f>SUMIFS(F44:F3130,K44:K3130,"0",B44:B3130,"1 1 2 2 5 12 31111*")</f>
        <v>100758999.15000001</v>
      </c>
      <c r="G43" s="31">
        <f>SUMIFS(G44:G3130,K44:K3130,"0",B44:B3130,"1 1 2 2 5 12 31111*")</f>
        <v>100733823.39</v>
      </c>
      <c r="H43" s="31">
        <f t="shared" si="0"/>
        <v>-2261.5999999940395</v>
      </c>
      <c r="I43" s="31"/>
      <c r="K43" t="s">
        <v>13</v>
      </c>
    </row>
    <row r="44" spans="2:11" ht="13" x14ac:dyDescent="0.15">
      <c r="B44" s="29" t="s">
        <v>78</v>
      </c>
      <c r="C44" s="29" t="s">
        <v>28</v>
      </c>
      <c r="D44" s="31">
        <f>SUMIFS(D45:D3130,K45:K3130,"0",B45:B3130,"1 1 2 2 5 12 31111 6*")-SUMIFS(E45:E3130,K45:K3130,"0",B45:B3130,"1 1 2 2 5 12 31111 6*")</f>
        <v>-27437.360000000001</v>
      </c>
      <c r="E44"/>
      <c r="F44" s="31">
        <f>SUMIFS(F45:F3130,K45:K3130,"0",B45:B3130,"1 1 2 2 5 12 31111 6*")</f>
        <v>100758999.15000001</v>
      </c>
      <c r="G44" s="31">
        <f>SUMIFS(G45:G3130,K45:K3130,"0",B45:B3130,"1 1 2 2 5 12 31111 6*")</f>
        <v>100733823.39</v>
      </c>
      <c r="H44" s="31">
        <f t="shared" si="0"/>
        <v>-2261.5999999940395</v>
      </c>
      <c r="I44" s="31"/>
      <c r="K44" t="s">
        <v>13</v>
      </c>
    </row>
    <row r="45" spans="2:11" ht="13" x14ac:dyDescent="0.15">
      <c r="B45" s="29" t="s">
        <v>79</v>
      </c>
      <c r="C45" s="29" t="s">
        <v>30</v>
      </c>
      <c r="D45" s="31">
        <f>SUMIFS(D46:D3130,K46:K3130,"0",B46:B3130,"1 1 2 2 5 12 31111 6 M78*")-SUMIFS(E46:E3130,K46:K3130,"0",B46:B3130,"1 1 2 2 5 12 31111 6 M78*")</f>
        <v>-27437.360000000001</v>
      </c>
      <c r="E45"/>
      <c r="F45" s="31">
        <f>SUMIFS(F46:F3130,K46:K3130,"0",B46:B3130,"1 1 2 2 5 12 31111 6 M78*")</f>
        <v>100758999.15000001</v>
      </c>
      <c r="G45" s="31">
        <f>SUMIFS(G46:G3130,K46:K3130,"0",B46:B3130,"1 1 2 2 5 12 31111 6 M78*")</f>
        <v>100733823.39</v>
      </c>
      <c r="H45" s="31">
        <f t="shared" si="0"/>
        <v>-2261.5999999940395</v>
      </c>
      <c r="I45" s="31"/>
      <c r="K45" t="s">
        <v>13</v>
      </c>
    </row>
    <row r="46" spans="2:11" ht="13" x14ac:dyDescent="0.15">
      <c r="B46" s="29" t="s">
        <v>80</v>
      </c>
      <c r="C46" s="29" t="s">
        <v>32</v>
      </c>
      <c r="D46" s="31">
        <f>SUMIFS(D47:D3130,K47:K3130,"0",B47:B3130,"1 1 2 2 5 12 31111 6 M78 00001*")-SUMIFS(E47:E3130,K47:K3130,"0",B47:B3130,"1 1 2 2 5 12 31111 6 M78 00001*")</f>
        <v>-27619.32</v>
      </c>
      <c r="E46"/>
      <c r="F46" s="31">
        <f>SUMIFS(F47:F3130,K47:K3130,"0",B47:B3130,"1 1 2 2 5 12 31111 6 M78 00001*")</f>
        <v>19846483.449999999</v>
      </c>
      <c r="G46" s="31">
        <f>SUMIFS(G47:G3130,K47:K3130,"0",B47:B3130,"1 1 2 2 5 12 31111 6 M78 00001*")</f>
        <v>19821125.73</v>
      </c>
      <c r="H46" s="31">
        <f t="shared" si="0"/>
        <v>-2261.6000000014901</v>
      </c>
      <c r="I46" s="31"/>
      <c r="K46" t="s">
        <v>13</v>
      </c>
    </row>
    <row r="47" spans="2:11" ht="13" x14ac:dyDescent="0.15">
      <c r="B47" s="29" t="s">
        <v>81</v>
      </c>
      <c r="C47" s="29" t="s">
        <v>34</v>
      </c>
      <c r="D47" s="31">
        <f>SUMIFS(D48:D3130,K48:K3130,"0",B48:B3130,"1 1 2 2 5 12 31111 6 M78 00001 002*")-SUMIFS(E48:E3130,K48:K3130,"0",B48:B3130,"1 1 2 2 5 12 31111 6 M78 00001 002*")</f>
        <v>-27619.32</v>
      </c>
      <c r="E47"/>
      <c r="F47" s="31">
        <f>SUMIFS(F48:F3130,K48:K3130,"0",B48:B3130,"1 1 2 2 5 12 31111 6 M78 00001 002*")</f>
        <v>19846483.449999999</v>
      </c>
      <c r="G47" s="31">
        <f>SUMIFS(G48:G3130,K48:K3130,"0",B48:B3130,"1 1 2 2 5 12 31111 6 M78 00001 002*")</f>
        <v>19821125.73</v>
      </c>
      <c r="H47" s="31">
        <f t="shared" si="0"/>
        <v>-2261.6000000014901</v>
      </c>
      <c r="I47" s="31"/>
      <c r="K47" t="s">
        <v>13</v>
      </c>
    </row>
    <row r="48" spans="2:11" ht="13" x14ac:dyDescent="0.15">
      <c r="B48" s="27" t="s">
        <v>82</v>
      </c>
      <c r="C48" s="27" t="s">
        <v>83</v>
      </c>
      <c r="D48" s="30">
        <v>0</v>
      </c>
      <c r="E48" s="30"/>
      <c r="F48" s="30">
        <v>15187101.27</v>
      </c>
      <c r="G48" s="30">
        <v>15187101.27</v>
      </c>
      <c r="H48" s="30">
        <f t="shared" si="0"/>
        <v>0</v>
      </c>
      <c r="I48" s="30"/>
      <c r="K48" t="s">
        <v>37</v>
      </c>
    </row>
    <row r="49" spans="2:11" ht="13" x14ac:dyDescent="0.15">
      <c r="B49" s="27" t="s">
        <v>84</v>
      </c>
      <c r="C49" s="27" t="s">
        <v>85</v>
      </c>
      <c r="D49" s="30">
        <v>0</v>
      </c>
      <c r="E49" s="30"/>
      <c r="F49" s="30">
        <v>2895427.74</v>
      </c>
      <c r="G49" s="30">
        <v>2895427.74</v>
      </c>
      <c r="H49" s="30">
        <f t="shared" si="0"/>
        <v>0</v>
      </c>
      <c r="I49" s="30"/>
      <c r="K49" t="s">
        <v>37</v>
      </c>
    </row>
    <row r="50" spans="2:11" ht="13" x14ac:dyDescent="0.15">
      <c r="B50" s="27" t="s">
        <v>86</v>
      </c>
      <c r="C50" s="27" t="s">
        <v>87</v>
      </c>
      <c r="D50" s="30">
        <v>-8343.5300000000007</v>
      </c>
      <c r="E50" s="30"/>
      <c r="F50" s="30">
        <v>9177.11</v>
      </c>
      <c r="G50" s="30">
        <v>3208.78</v>
      </c>
      <c r="H50" s="30">
        <f t="shared" si="0"/>
        <v>-2375.2000000000003</v>
      </c>
      <c r="I50" s="30"/>
      <c r="K50" t="s">
        <v>37</v>
      </c>
    </row>
    <row r="51" spans="2:11" ht="13" x14ac:dyDescent="0.15">
      <c r="B51" s="27" t="s">
        <v>88</v>
      </c>
      <c r="C51" s="27" t="s">
        <v>89</v>
      </c>
      <c r="D51" s="30">
        <v>0</v>
      </c>
      <c r="E51" s="30"/>
      <c r="F51" s="30">
        <v>594821.53</v>
      </c>
      <c r="G51" s="30">
        <v>594821.53</v>
      </c>
      <c r="H51" s="30">
        <f t="shared" si="0"/>
        <v>0</v>
      </c>
      <c r="I51" s="30"/>
      <c r="K51" t="s">
        <v>37</v>
      </c>
    </row>
    <row r="52" spans="2:11" ht="22" x14ac:dyDescent="0.15">
      <c r="B52" s="27" t="s">
        <v>90</v>
      </c>
      <c r="C52" s="27" t="s">
        <v>91</v>
      </c>
      <c r="D52" s="30">
        <v>0</v>
      </c>
      <c r="E52" s="30"/>
      <c r="F52" s="30">
        <v>1100657.1299999999</v>
      </c>
      <c r="G52" s="30">
        <v>1100657.1299999999</v>
      </c>
      <c r="H52" s="30">
        <f t="shared" si="0"/>
        <v>0</v>
      </c>
      <c r="I52" s="30"/>
      <c r="K52" t="s">
        <v>37</v>
      </c>
    </row>
    <row r="53" spans="2:11" ht="13" x14ac:dyDescent="0.15">
      <c r="B53" s="27" t="s">
        <v>92</v>
      </c>
      <c r="C53" s="27" t="s">
        <v>93</v>
      </c>
      <c r="D53" s="30">
        <v>-19275.79</v>
      </c>
      <c r="E53" s="30"/>
      <c r="F53" s="30">
        <v>19731.91</v>
      </c>
      <c r="G53" s="30">
        <v>456.12</v>
      </c>
      <c r="H53" s="30">
        <f t="shared" si="0"/>
        <v>-1.0231815394945443E-12</v>
      </c>
      <c r="I53" s="30"/>
      <c r="K53" t="s">
        <v>37</v>
      </c>
    </row>
    <row r="54" spans="2:11" ht="13" x14ac:dyDescent="0.15">
      <c r="B54" s="27" t="s">
        <v>94</v>
      </c>
      <c r="C54" s="27" t="s">
        <v>95</v>
      </c>
      <c r="D54" s="30">
        <v>0</v>
      </c>
      <c r="E54" s="30"/>
      <c r="F54" s="30">
        <v>36579.910000000003</v>
      </c>
      <c r="G54" s="30">
        <v>36580.120000000003</v>
      </c>
      <c r="H54" s="30">
        <f t="shared" si="0"/>
        <v>-0.20999999999912689</v>
      </c>
      <c r="I54" s="30"/>
      <c r="K54" t="s">
        <v>37</v>
      </c>
    </row>
    <row r="55" spans="2:11" ht="13" x14ac:dyDescent="0.15">
      <c r="B55" s="27" t="s">
        <v>96</v>
      </c>
      <c r="C55" s="27" t="s">
        <v>97</v>
      </c>
      <c r="D55" s="30">
        <v>0</v>
      </c>
      <c r="E55" s="30"/>
      <c r="F55" s="30">
        <v>2986.85</v>
      </c>
      <c r="G55" s="30">
        <v>2873.04</v>
      </c>
      <c r="H55" s="30">
        <f t="shared" si="0"/>
        <v>113.80999999999995</v>
      </c>
      <c r="I55" s="30"/>
      <c r="K55" t="s">
        <v>37</v>
      </c>
    </row>
    <row r="56" spans="2:11" ht="13" x14ac:dyDescent="0.15">
      <c r="B56" s="29" t="s">
        <v>98</v>
      </c>
      <c r="C56" s="29" t="s">
        <v>43</v>
      </c>
      <c r="D56" s="31">
        <f>SUMIFS(D57:D3130,K57:K3130,"0",B57:B3130,"1 1 2 2 5 12 31111 6 M78 00002*")-SUMIFS(E57:E3130,K57:K3130,"0",B57:B3130,"1 1 2 2 5 12 31111 6 M78 00002*")</f>
        <v>0</v>
      </c>
      <c r="E56"/>
      <c r="F56" s="31">
        <f>SUMIFS(F57:F3130,K57:K3130,"0",B57:B3130,"1 1 2 2 5 12 31111 6 M78 00002*")</f>
        <v>69748661.599999994</v>
      </c>
      <c r="G56" s="31">
        <f>SUMIFS(G57:G3130,K57:K3130,"0",B57:B3130,"1 1 2 2 5 12 31111 6 M78 00002*")</f>
        <v>69748661.599999994</v>
      </c>
      <c r="H56" s="31">
        <f t="shared" si="0"/>
        <v>0</v>
      </c>
      <c r="I56" s="31"/>
      <c r="K56" t="s">
        <v>13</v>
      </c>
    </row>
    <row r="57" spans="2:11" ht="13" x14ac:dyDescent="0.15">
      <c r="B57" s="29" t="s">
        <v>99</v>
      </c>
      <c r="C57" s="29" t="s">
        <v>34</v>
      </c>
      <c r="D57" s="31">
        <f>SUMIFS(D58:D3130,K58:K3130,"0",B58:B3130,"1 1 2 2 5 12 31111 6 M78 00002 002*")-SUMIFS(E58:E3130,K58:K3130,"0",B58:B3130,"1 1 2 2 5 12 31111 6 M78 00002 002*")</f>
        <v>0</v>
      </c>
      <c r="E57"/>
      <c r="F57" s="31">
        <f>SUMIFS(F58:F3130,K58:K3130,"0",B58:B3130,"1 1 2 2 5 12 31111 6 M78 00002 002*")</f>
        <v>69748661.599999994</v>
      </c>
      <c r="G57" s="31">
        <f>SUMIFS(G58:G3130,K58:K3130,"0",B58:B3130,"1 1 2 2 5 12 31111 6 M78 00002 002*")</f>
        <v>69748661.599999994</v>
      </c>
      <c r="H57" s="31">
        <f t="shared" si="0"/>
        <v>0</v>
      </c>
      <c r="I57" s="31"/>
      <c r="K57" t="s">
        <v>13</v>
      </c>
    </row>
    <row r="58" spans="2:11" ht="13" x14ac:dyDescent="0.15">
      <c r="B58" s="27" t="s">
        <v>100</v>
      </c>
      <c r="C58" s="27" t="s">
        <v>101</v>
      </c>
      <c r="D58" s="30">
        <v>0</v>
      </c>
      <c r="E58" s="30"/>
      <c r="F58" s="30">
        <v>69748661.599999994</v>
      </c>
      <c r="G58" s="30">
        <v>69748661.599999994</v>
      </c>
      <c r="H58" s="30">
        <f t="shared" si="0"/>
        <v>0</v>
      </c>
      <c r="I58" s="30"/>
      <c r="K58" t="s">
        <v>37</v>
      </c>
    </row>
    <row r="59" spans="2:11" ht="13" x14ac:dyDescent="0.15">
      <c r="B59" s="29" t="s">
        <v>102</v>
      </c>
      <c r="C59" s="29" t="s">
        <v>54</v>
      </c>
      <c r="D59" s="31">
        <f>SUMIFS(D60:D3130,K60:K3130,"0",B60:B3130,"1 1 2 2 5 12 31111 6 M78 00003*")-SUMIFS(E60:E3130,K60:K3130,"0",B60:B3130,"1 1 2 2 5 12 31111 6 M78 00003*")</f>
        <v>181.96000000000004</v>
      </c>
      <c r="E59"/>
      <c r="F59" s="31">
        <f>SUMIFS(F60:F3130,K60:K3130,"0",B60:B3130,"1 1 2 2 5 12 31111 6 M78 00003*")</f>
        <v>11163854.099999998</v>
      </c>
      <c r="G59" s="31">
        <f>SUMIFS(G60:G3130,K60:K3130,"0",B60:B3130,"1 1 2 2 5 12 31111 6 M78 00003*")</f>
        <v>11164036.059999999</v>
      </c>
      <c r="H59" s="31">
        <f t="shared" si="0"/>
        <v>0</v>
      </c>
      <c r="I59" s="31"/>
      <c r="K59" t="s">
        <v>13</v>
      </c>
    </row>
    <row r="60" spans="2:11" ht="13" x14ac:dyDescent="0.15">
      <c r="B60" s="29" t="s">
        <v>103</v>
      </c>
      <c r="C60" s="29" t="s">
        <v>34</v>
      </c>
      <c r="D60" s="31">
        <f>SUMIFS(D61:D3130,K61:K3130,"0",B61:B3130,"1 1 2 2 5 12 31111 6 M78 00003 002*")-SUMIFS(E61:E3130,K61:K3130,"0",B61:B3130,"1 1 2 2 5 12 31111 6 M78 00003 002*")</f>
        <v>181.96000000000004</v>
      </c>
      <c r="E60"/>
      <c r="F60" s="31">
        <f>SUMIFS(F61:F3130,K61:K3130,"0",B61:B3130,"1 1 2 2 5 12 31111 6 M78 00003 002*")</f>
        <v>11163854.099999998</v>
      </c>
      <c r="G60" s="31">
        <f>SUMIFS(G61:G3130,K61:K3130,"0",B61:B3130,"1 1 2 2 5 12 31111 6 M78 00003 002*")</f>
        <v>11164036.059999999</v>
      </c>
      <c r="H60" s="31">
        <f t="shared" si="0"/>
        <v>0</v>
      </c>
      <c r="I60" s="31"/>
      <c r="K60" t="s">
        <v>13</v>
      </c>
    </row>
    <row r="61" spans="2:11" ht="13" x14ac:dyDescent="0.15">
      <c r="B61" s="27" t="s">
        <v>104</v>
      </c>
      <c r="C61" s="27" t="s">
        <v>54</v>
      </c>
      <c r="D61" s="30">
        <v>0</v>
      </c>
      <c r="E61" s="30"/>
      <c r="F61" s="30">
        <v>11159573.039999999</v>
      </c>
      <c r="G61" s="30">
        <v>11159573.039999999</v>
      </c>
      <c r="H61" s="30">
        <f t="shared" si="0"/>
        <v>0</v>
      </c>
      <c r="I61" s="30"/>
      <c r="K61" t="s">
        <v>37</v>
      </c>
    </row>
    <row r="62" spans="2:11" ht="13" x14ac:dyDescent="0.15">
      <c r="B62" s="27" t="s">
        <v>105</v>
      </c>
      <c r="C62" s="27" t="s">
        <v>87</v>
      </c>
      <c r="D62" s="30">
        <v>850.27</v>
      </c>
      <c r="E62" s="30"/>
      <c r="F62" s="30">
        <v>0</v>
      </c>
      <c r="G62" s="30">
        <v>850.27</v>
      </c>
      <c r="H62" s="30">
        <f t="shared" si="0"/>
        <v>0</v>
      </c>
      <c r="I62" s="30"/>
      <c r="K62" t="s">
        <v>37</v>
      </c>
    </row>
    <row r="63" spans="2:11" ht="13" x14ac:dyDescent="0.15">
      <c r="B63" s="27" t="s">
        <v>106</v>
      </c>
      <c r="C63" s="27" t="s">
        <v>107</v>
      </c>
      <c r="D63" s="30">
        <v>-668.31</v>
      </c>
      <c r="E63" s="30"/>
      <c r="F63" s="30">
        <v>1294.1199999999999</v>
      </c>
      <c r="G63" s="30">
        <v>625.80999999999995</v>
      </c>
      <c r="H63" s="30">
        <f t="shared" si="0"/>
        <v>0</v>
      </c>
      <c r="I63" s="30"/>
      <c r="K63" t="s">
        <v>37</v>
      </c>
    </row>
    <row r="64" spans="2:11" ht="13" x14ac:dyDescent="0.15">
      <c r="B64" s="27" t="s">
        <v>108</v>
      </c>
      <c r="C64" s="27" t="s">
        <v>109</v>
      </c>
      <c r="D64" s="30">
        <v>0</v>
      </c>
      <c r="E64" s="30"/>
      <c r="F64" s="30">
        <v>2986.94</v>
      </c>
      <c r="G64" s="30">
        <v>2986.94</v>
      </c>
      <c r="H64" s="30">
        <f t="shared" si="0"/>
        <v>0</v>
      </c>
      <c r="I64" s="30"/>
      <c r="K64" t="s">
        <v>37</v>
      </c>
    </row>
    <row r="65" spans="2:11" ht="13" x14ac:dyDescent="0.15">
      <c r="B65" s="29" t="s">
        <v>110</v>
      </c>
      <c r="C65" s="29" t="s">
        <v>111</v>
      </c>
      <c r="D65" s="31">
        <f>SUMIFS(D66:D3130,K66:K3130,"0",B66:B3130,"1 1 2 2 9*")-SUMIFS(E66:E3130,K66:K3130,"0",B66:B3130,"1 1 2 2 9*")</f>
        <v>0</v>
      </c>
      <c r="E65"/>
      <c r="F65" s="31">
        <f>SUMIFS(F66:F3130,K66:K3130,"0",B66:B3130,"1 1 2 2 9*")</f>
        <v>885318</v>
      </c>
      <c r="G65" s="31">
        <f>SUMIFS(G66:G3130,K66:K3130,"0",B66:B3130,"1 1 2 2 9*")</f>
        <v>885318</v>
      </c>
      <c r="H65" s="31">
        <f t="shared" si="0"/>
        <v>0</v>
      </c>
      <c r="I65" s="31"/>
      <c r="K65" t="s">
        <v>13</v>
      </c>
    </row>
    <row r="66" spans="2:11" ht="13" x14ac:dyDescent="0.15">
      <c r="B66" s="29" t="s">
        <v>112</v>
      </c>
      <c r="C66" s="29" t="s">
        <v>24</v>
      </c>
      <c r="D66" s="31">
        <f>SUMIFS(D67:D3130,K67:K3130,"0",B67:B3130,"1 1 2 2 9 12*")-SUMIFS(E67:E3130,K67:K3130,"0",B67:B3130,"1 1 2 2 9 12*")</f>
        <v>0</v>
      </c>
      <c r="E66"/>
      <c r="F66" s="31">
        <f>SUMIFS(F67:F3130,K67:K3130,"0",B67:B3130,"1 1 2 2 9 12*")</f>
        <v>885318</v>
      </c>
      <c r="G66" s="31">
        <f>SUMIFS(G67:G3130,K67:K3130,"0",B67:B3130,"1 1 2 2 9 12*")</f>
        <v>885318</v>
      </c>
      <c r="H66" s="31">
        <f t="shared" si="0"/>
        <v>0</v>
      </c>
      <c r="I66" s="31"/>
      <c r="K66" t="s">
        <v>13</v>
      </c>
    </row>
    <row r="67" spans="2:11" ht="13" x14ac:dyDescent="0.15">
      <c r="B67" s="29" t="s">
        <v>113</v>
      </c>
      <c r="C67" s="29" t="s">
        <v>26</v>
      </c>
      <c r="D67" s="31">
        <f>SUMIFS(D68:D3130,K68:K3130,"0",B68:B3130,"1 1 2 2 9 12 31111*")-SUMIFS(E68:E3130,K68:K3130,"0",B68:B3130,"1 1 2 2 9 12 31111*")</f>
        <v>0</v>
      </c>
      <c r="E67"/>
      <c r="F67" s="31">
        <f>SUMIFS(F68:F3130,K68:K3130,"0",B68:B3130,"1 1 2 2 9 12 31111*")</f>
        <v>885318</v>
      </c>
      <c r="G67" s="31">
        <f>SUMIFS(G68:G3130,K68:K3130,"0",B68:B3130,"1 1 2 2 9 12 31111*")</f>
        <v>885318</v>
      </c>
      <c r="H67" s="31">
        <f t="shared" si="0"/>
        <v>0</v>
      </c>
      <c r="I67" s="31"/>
      <c r="K67" t="s">
        <v>13</v>
      </c>
    </row>
    <row r="68" spans="2:11" ht="13" x14ac:dyDescent="0.15">
      <c r="B68" s="29" t="s">
        <v>114</v>
      </c>
      <c r="C68" s="29" t="s">
        <v>28</v>
      </c>
      <c r="D68" s="31">
        <f>SUMIFS(D69:D3130,K69:K3130,"0",B69:B3130,"1 1 2 2 9 12 31111 6*")-SUMIFS(E69:E3130,K69:K3130,"0",B69:B3130,"1 1 2 2 9 12 31111 6*")</f>
        <v>0</v>
      </c>
      <c r="E68"/>
      <c r="F68" s="31">
        <f>SUMIFS(F69:F3130,K69:K3130,"0",B69:B3130,"1 1 2 2 9 12 31111 6*")</f>
        <v>885318</v>
      </c>
      <c r="G68" s="31">
        <f>SUMIFS(G69:G3130,K69:K3130,"0",B69:B3130,"1 1 2 2 9 12 31111 6*")</f>
        <v>885318</v>
      </c>
      <c r="H68" s="31">
        <f t="shared" si="0"/>
        <v>0</v>
      </c>
      <c r="I68" s="31"/>
      <c r="K68" t="s">
        <v>13</v>
      </c>
    </row>
    <row r="69" spans="2:11" ht="13" x14ac:dyDescent="0.15">
      <c r="B69" s="29" t="s">
        <v>115</v>
      </c>
      <c r="C69" s="29" t="s">
        <v>30</v>
      </c>
      <c r="D69" s="31">
        <f>SUMIFS(D70:D3130,K70:K3130,"0",B70:B3130,"1 1 2 2 9 12 31111 6 M78*")-SUMIFS(E70:E3130,K70:K3130,"0",B70:B3130,"1 1 2 2 9 12 31111 6 M78*")</f>
        <v>0</v>
      </c>
      <c r="E69"/>
      <c r="F69" s="31">
        <f>SUMIFS(F70:F3130,K70:K3130,"0",B70:B3130,"1 1 2 2 9 12 31111 6 M78*")</f>
        <v>885318</v>
      </c>
      <c r="G69" s="31">
        <f>SUMIFS(G70:G3130,K70:K3130,"0",B70:B3130,"1 1 2 2 9 12 31111 6 M78*")</f>
        <v>885318</v>
      </c>
      <c r="H69" s="31">
        <f t="shared" si="0"/>
        <v>0</v>
      </c>
      <c r="I69" s="31"/>
      <c r="K69" t="s">
        <v>13</v>
      </c>
    </row>
    <row r="70" spans="2:11" ht="13" x14ac:dyDescent="0.15">
      <c r="B70" s="29" t="s">
        <v>116</v>
      </c>
      <c r="C70" s="29" t="s">
        <v>32</v>
      </c>
      <c r="D70" s="31">
        <f>SUMIFS(D71:D3130,K71:K3130,"0",B71:B3130,"1 1 2 2 9 12 31111 6 M78 00001*")-SUMIFS(E71:E3130,K71:K3130,"0",B71:B3130,"1 1 2 2 9 12 31111 6 M78 00001*")</f>
        <v>0</v>
      </c>
      <c r="E70"/>
      <c r="F70" s="31">
        <f>SUMIFS(F71:F3130,K71:K3130,"0",B71:B3130,"1 1 2 2 9 12 31111 6 M78 00001*")</f>
        <v>885318</v>
      </c>
      <c r="G70" s="31">
        <f>SUMIFS(G71:G3130,K71:K3130,"0",B71:B3130,"1 1 2 2 9 12 31111 6 M78 00001*")</f>
        <v>885318</v>
      </c>
      <c r="H70" s="31">
        <f t="shared" si="0"/>
        <v>0</v>
      </c>
      <c r="I70" s="31"/>
      <c r="K70" t="s">
        <v>13</v>
      </c>
    </row>
    <row r="71" spans="2:11" ht="13" x14ac:dyDescent="0.15">
      <c r="B71" s="29" t="s">
        <v>117</v>
      </c>
      <c r="C71" s="29" t="s">
        <v>34</v>
      </c>
      <c r="D71" s="31">
        <f>SUMIFS(D72:D3130,K72:K3130,"0",B72:B3130,"1 1 2 2 9 12 31111 6 M78 00001 002*")-SUMIFS(E72:E3130,K72:K3130,"0",B72:B3130,"1 1 2 2 9 12 31111 6 M78 00001 002*")</f>
        <v>0</v>
      </c>
      <c r="E71"/>
      <c r="F71" s="31">
        <f>SUMIFS(F72:F3130,K72:K3130,"0",B72:B3130,"1 1 2 2 9 12 31111 6 M78 00001 002*")</f>
        <v>885318</v>
      </c>
      <c r="G71" s="31">
        <f>SUMIFS(G72:G3130,K72:K3130,"0",B72:B3130,"1 1 2 2 9 12 31111 6 M78 00001 002*")</f>
        <v>885318</v>
      </c>
      <c r="H71" s="31">
        <f t="shared" si="0"/>
        <v>0</v>
      </c>
      <c r="I71" s="31"/>
      <c r="K71" t="s">
        <v>13</v>
      </c>
    </row>
    <row r="72" spans="2:11" ht="13" x14ac:dyDescent="0.15">
      <c r="B72" s="27" t="s">
        <v>118</v>
      </c>
      <c r="C72" s="27" t="s">
        <v>119</v>
      </c>
      <c r="D72" s="30">
        <v>0</v>
      </c>
      <c r="E72" s="30"/>
      <c r="F72" s="30">
        <v>885318</v>
      </c>
      <c r="G72" s="30">
        <v>885318</v>
      </c>
      <c r="H72" s="30">
        <f t="shared" si="0"/>
        <v>0</v>
      </c>
      <c r="I72" s="30"/>
      <c r="K72" t="s">
        <v>37</v>
      </c>
    </row>
    <row r="73" spans="2:11" ht="13" x14ac:dyDescent="0.15">
      <c r="B73" s="29" t="s">
        <v>120</v>
      </c>
      <c r="C73" s="29" t="s">
        <v>121</v>
      </c>
      <c r="D73" s="31">
        <f>SUMIFS(D74:D3130,K74:K3130,"0",B74:B3130,"1 1 2 3*")-SUMIFS(E74:E3130,K74:K3130,"0",B74:B3130,"1 1 2 3*")</f>
        <v>720044.29999999993</v>
      </c>
      <c r="E73"/>
      <c r="F73" s="31">
        <f>SUMIFS(F74:F3130,K74:K3130,"0",B74:B3130,"1 1 2 3*")</f>
        <v>3202007.3600000003</v>
      </c>
      <c r="G73" s="31">
        <f>SUMIFS(G74:G3130,K74:K3130,"0",B74:B3130,"1 1 2 3*")</f>
        <v>3919013.3600000003</v>
      </c>
      <c r="H73" s="31">
        <f t="shared" si="0"/>
        <v>3038.2999999998137</v>
      </c>
      <c r="I73" s="31"/>
      <c r="K73" t="s">
        <v>13</v>
      </c>
    </row>
    <row r="74" spans="2:11" ht="13" x14ac:dyDescent="0.15">
      <c r="B74" s="29" t="s">
        <v>122</v>
      </c>
      <c r="C74" s="29" t="s">
        <v>123</v>
      </c>
      <c r="D74" s="31">
        <f>SUMIFS(D75:D3130,K75:K3130,"0",B75:B3130,"1 1 2 3 1*")-SUMIFS(E75:E3130,K75:K3130,"0",B75:B3130,"1 1 2 3 1*")</f>
        <v>720044.29999999993</v>
      </c>
      <c r="E74"/>
      <c r="F74" s="31">
        <f>SUMIFS(F75:F3130,K75:K3130,"0",B75:B3130,"1 1 2 3 1*")</f>
        <v>3202007.3600000003</v>
      </c>
      <c r="G74" s="31">
        <f>SUMIFS(G75:G3130,K75:K3130,"0",B75:B3130,"1 1 2 3 1*")</f>
        <v>3919013.3600000003</v>
      </c>
      <c r="H74" s="31">
        <f t="shared" ref="H74:H137" si="1">D74 + F74 - G74</f>
        <v>3038.2999999998137</v>
      </c>
      <c r="I74" s="31"/>
      <c r="K74" t="s">
        <v>13</v>
      </c>
    </row>
    <row r="75" spans="2:11" ht="13" x14ac:dyDescent="0.15">
      <c r="B75" s="29" t="s">
        <v>124</v>
      </c>
      <c r="C75" s="29" t="s">
        <v>24</v>
      </c>
      <c r="D75" s="31">
        <f>SUMIFS(D76:D3130,K76:K3130,"0",B76:B3130,"1 1 2 3 1 12*")-SUMIFS(E76:E3130,K76:K3130,"0",B76:B3130,"1 1 2 3 1 12*")</f>
        <v>720044.29999999993</v>
      </c>
      <c r="E75"/>
      <c r="F75" s="31">
        <f>SUMIFS(F76:F3130,K76:K3130,"0",B76:B3130,"1 1 2 3 1 12*")</f>
        <v>3202007.3600000003</v>
      </c>
      <c r="G75" s="31">
        <f>SUMIFS(G76:G3130,K76:K3130,"0",B76:B3130,"1 1 2 3 1 12*")</f>
        <v>3919013.3600000003</v>
      </c>
      <c r="H75" s="31">
        <f t="shared" si="1"/>
        <v>3038.2999999998137</v>
      </c>
      <c r="I75" s="31"/>
      <c r="K75" t="s">
        <v>13</v>
      </c>
    </row>
    <row r="76" spans="2:11" ht="13" x14ac:dyDescent="0.15">
      <c r="B76" s="29" t="s">
        <v>125</v>
      </c>
      <c r="C76" s="29" t="s">
        <v>26</v>
      </c>
      <c r="D76" s="31">
        <f>SUMIFS(D77:D3130,K77:K3130,"0",B77:B3130,"1 1 2 3 1 12 31111*")-SUMIFS(E77:E3130,K77:K3130,"0",B77:B3130,"1 1 2 3 1 12 31111*")</f>
        <v>720044.29999999993</v>
      </c>
      <c r="E76"/>
      <c r="F76" s="31">
        <f>SUMIFS(F77:F3130,K77:K3130,"0",B77:B3130,"1 1 2 3 1 12 31111*")</f>
        <v>3202007.3600000003</v>
      </c>
      <c r="G76" s="31">
        <f>SUMIFS(G77:G3130,K77:K3130,"0",B77:B3130,"1 1 2 3 1 12 31111*")</f>
        <v>3919013.3600000003</v>
      </c>
      <c r="H76" s="31">
        <f t="shared" si="1"/>
        <v>3038.2999999998137</v>
      </c>
      <c r="I76" s="31"/>
      <c r="K76" t="s">
        <v>13</v>
      </c>
    </row>
    <row r="77" spans="2:11" ht="13" x14ac:dyDescent="0.15">
      <c r="B77" s="29" t="s">
        <v>126</v>
      </c>
      <c r="C77" s="29" t="s">
        <v>28</v>
      </c>
      <c r="D77" s="31">
        <f>SUMIFS(D78:D3130,K78:K3130,"0",B78:B3130,"1 1 2 3 1 12 31111 6*")-SUMIFS(E78:E3130,K78:K3130,"0",B78:B3130,"1 1 2 3 1 12 31111 6*")</f>
        <v>720044.29999999993</v>
      </c>
      <c r="E77"/>
      <c r="F77" s="31">
        <f>SUMIFS(F78:F3130,K78:K3130,"0",B78:B3130,"1 1 2 3 1 12 31111 6*")</f>
        <v>3202007.3600000003</v>
      </c>
      <c r="G77" s="31">
        <f>SUMIFS(G78:G3130,K78:K3130,"0",B78:B3130,"1 1 2 3 1 12 31111 6*")</f>
        <v>3919013.3600000003</v>
      </c>
      <c r="H77" s="31">
        <f t="shared" si="1"/>
        <v>3038.2999999998137</v>
      </c>
      <c r="I77" s="31"/>
      <c r="K77" t="s">
        <v>13</v>
      </c>
    </row>
    <row r="78" spans="2:11" ht="13" x14ac:dyDescent="0.15">
      <c r="B78" s="29" t="s">
        <v>127</v>
      </c>
      <c r="C78" s="29" t="s">
        <v>30</v>
      </c>
      <c r="D78" s="31">
        <f>SUMIFS(D79:D3130,K79:K3130,"0",B79:B3130,"1 1 2 3 1 12 31111 6 M78*")-SUMIFS(E79:E3130,K79:K3130,"0",B79:B3130,"1 1 2 3 1 12 31111 6 M78*")</f>
        <v>720044.29999999993</v>
      </c>
      <c r="E78"/>
      <c r="F78" s="31">
        <f>SUMIFS(F79:F3130,K79:K3130,"0",B79:B3130,"1 1 2 3 1 12 31111 6 M78*")</f>
        <v>3202007.3600000003</v>
      </c>
      <c r="G78" s="31">
        <f>SUMIFS(G79:G3130,K79:K3130,"0",B79:B3130,"1 1 2 3 1 12 31111 6 M78*")</f>
        <v>3919013.3600000003</v>
      </c>
      <c r="H78" s="31">
        <f t="shared" si="1"/>
        <v>3038.2999999998137</v>
      </c>
      <c r="I78" s="31"/>
      <c r="K78" t="s">
        <v>13</v>
      </c>
    </row>
    <row r="79" spans="2:11" ht="13" x14ac:dyDescent="0.15">
      <c r="B79" s="29" t="s">
        <v>128</v>
      </c>
      <c r="C79" s="29" t="s">
        <v>32</v>
      </c>
      <c r="D79" s="31">
        <f>SUMIFS(D80:D3130,K80:K3130,"0",B80:B3130,"1 1 2 3 1 12 31111 6 M78 00001*")-SUMIFS(E80:E3130,K80:K3130,"0",B80:B3130,"1 1 2 3 1 12 31111 6 M78 00001*")</f>
        <v>512516.32</v>
      </c>
      <c r="E79"/>
      <c r="F79" s="31">
        <f>SUMIFS(F80:F3130,K80:K3130,"0",B80:B3130,"1 1 2 3 1 12 31111 6 M78 00001*")</f>
        <v>1709810.62</v>
      </c>
      <c r="G79" s="31">
        <f>SUMIFS(G80:G3130,K80:K3130,"0",B80:B3130,"1 1 2 3 1 12 31111 6 M78 00001*")</f>
        <v>2222327.58</v>
      </c>
      <c r="H79" s="31">
        <f t="shared" si="1"/>
        <v>-0.64000000013038516</v>
      </c>
      <c r="I79" s="31"/>
      <c r="K79" t="s">
        <v>13</v>
      </c>
    </row>
    <row r="80" spans="2:11" ht="13" x14ac:dyDescent="0.15">
      <c r="B80" s="29" t="s">
        <v>129</v>
      </c>
      <c r="C80" s="29" t="s">
        <v>130</v>
      </c>
      <c r="D80" s="31">
        <f>SUMIFS(D81:D3130,K81:K3130,"0",B81:B3130,"1 1 2 3 1 12 31111 6 M78 00001 002*")-SUMIFS(E81:E3130,K81:K3130,"0",B81:B3130,"1 1 2 3 1 12 31111 6 M78 00001 002*")</f>
        <v>512516.32</v>
      </c>
      <c r="E80"/>
      <c r="F80" s="31">
        <f>SUMIFS(F81:F3130,K81:K3130,"0",B81:B3130,"1 1 2 3 1 12 31111 6 M78 00001 002*")</f>
        <v>1709810.62</v>
      </c>
      <c r="G80" s="31">
        <f>SUMIFS(G81:G3130,K81:K3130,"0",B81:B3130,"1 1 2 3 1 12 31111 6 M78 00001 002*")</f>
        <v>2222327.58</v>
      </c>
      <c r="H80" s="31">
        <f t="shared" si="1"/>
        <v>-0.64000000013038516</v>
      </c>
      <c r="I80" s="31"/>
      <c r="K80" t="s">
        <v>13</v>
      </c>
    </row>
    <row r="81" spans="2:11" ht="13" x14ac:dyDescent="0.15">
      <c r="B81" s="27" t="s">
        <v>131</v>
      </c>
      <c r="C81" s="27" t="s">
        <v>132</v>
      </c>
      <c r="D81" s="30">
        <v>432695.25</v>
      </c>
      <c r="E81" s="30"/>
      <c r="F81" s="30">
        <v>884221.66</v>
      </c>
      <c r="G81" s="30">
        <v>1316916.9099999999</v>
      </c>
      <c r="H81" s="30">
        <f t="shared" si="1"/>
        <v>0</v>
      </c>
      <c r="I81" s="30"/>
      <c r="K81" t="s">
        <v>37</v>
      </c>
    </row>
    <row r="82" spans="2:11" ht="13" x14ac:dyDescent="0.15">
      <c r="B82" s="27" t="s">
        <v>133</v>
      </c>
      <c r="C82" s="27" t="s">
        <v>134</v>
      </c>
      <c r="D82" s="30">
        <v>-4.3099999999999996</v>
      </c>
      <c r="E82" s="30"/>
      <c r="F82" s="30">
        <v>4.3099999999999996</v>
      </c>
      <c r="G82" s="30">
        <v>0</v>
      </c>
      <c r="H82" s="30">
        <f t="shared" si="1"/>
        <v>0</v>
      </c>
      <c r="I82" s="30"/>
      <c r="K82" t="s">
        <v>37</v>
      </c>
    </row>
    <row r="83" spans="2:11" ht="13" x14ac:dyDescent="0.15">
      <c r="B83" s="27" t="s">
        <v>135</v>
      </c>
      <c r="C83" s="27" t="s">
        <v>136</v>
      </c>
      <c r="D83" s="30">
        <v>12747</v>
      </c>
      <c r="E83" s="30"/>
      <c r="F83" s="30">
        <v>0</v>
      </c>
      <c r="G83" s="30">
        <v>12747</v>
      </c>
      <c r="H83" s="30">
        <f t="shared" si="1"/>
        <v>0</v>
      </c>
      <c r="I83" s="30"/>
      <c r="K83" t="s">
        <v>37</v>
      </c>
    </row>
    <row r="84" spans="2:11" ht="13" x14ac:dyDescent="0.15">
      <c r="B84" s="27" t="s">
        <v>137</v>
      </c>
      <c r="C84" s="27" t="s">
        <v>138</v>
      </c>
      <c r="D84" s="30">
        <v>2510.88</v>
      </c>
      <c r="E84" s="30"/>
      <c r="F84" s="30">
        <v>0</v>
      </c>
      <c r="G84" s="30">
        <v>2510.88</v>
      </c>
      <c r="H84" s="30">
        <f t="shared" si="1"/>
        <v>0</v>
      </c>
      <c r="I84" s="30"/>
      <c r="K84" t="s">
        <v>37</v>
      </c>
    </row>
    <row r="85" spans="2:11" ht="13" x14ac:dyDescent="0.15">
      <c r="B85" s="27" t="s">
        <v>139</v>
      </c>
      <c r="C85" s="27" t="s">
        <v>140</v>
      </c>
      <c r="D85" s="30">
        <v>15000</v>
      </c>
      <c r="E85" s="30"/>
      <c r="F85" s="30">
        <v>0</v>
      </c>
      <c r="G85" s="30">
        <v>15000</v>
      </c>
      <c r="H85" s="30">
        <f t="shared" si="1"/>
        <v>0</v>
      </c>
      <c r="I85" s="30"/>
      <c r="K85" t="s">
        <v>37</v>
      </c>
    </row>
    <row r="86" spans="2:11" ht="13" x14ac:dyDescent="0.15">
      <c r="B86" s="27" t="s">
        <v>141</v>
      </c>
      <c r="C86" s="27" t="s">
        <v>142</v>
      </c>
      <c r="D86" s="30">
        <v>32085.5</v>
      </c>
      <c r="E86" s="30"/>
      <c r="F86" s="30">
        <v>250001.65</v>
      </c>
      <c r="G86" s="30">
        <v>282087.15000000002</v>
      </c>
      <c r="H86" s="30">
        <f t="shared" si="1"/>
        <v>0</v>
      </c>
      <c r="I86" s="30"/>
      <c r="K86" t="s">
        <v>37</v>
      </c>
    </row>
    <row r="87" spans="2:11" ht="13" x14ac:dyDescent="0.15">
      <c r="B87" s="27" t="s">
        <v>143</v>
      </c>
      <c r="C87" s="27" t="s">
        <v>144</v>
      </c>
      <c r="D87" s="30">
        <v>17482</v>
      </c>
      <c r="E87" s="30"/>
      <c r="F87" s="30">
        <v>0</v>
      </c>
      <c r="G87" s="30">
        <v>17482</v>
      </c>
      <c r="H87" s="30">
        <f t="shared" si="1"/>
        <v>0</v>
      </c>
      <c r="I87" s="30"/>
      <c r="K87" t="s">
        <v>37</v>
      </c>
    </row>
    <row r="88" spans="2:11" ht="13" x14ac:dyDescent="0.15">
      <c r="B88" s="27" t="s">
        <v>145</v>
      </c>
      <c r="C88" s="27" t="s">
        <v>146</v>
      </c>
      <c r="D88" s="30">
        <v>0</v>
      </c>
      <c r="E88" s="30"/>
      <c r="F88" s="30">
        <v>125583</v>
      </c>
      <c r="G88" s="30">
        <v>125583</v>
      </c>
      <c r="H88" s="30">
        <f t="shared" si="1"/>
        <v>0</v>
      </c>
      <c r="I88" s="30"/>
      <c r="K88" t="s">
        <v>37</v>
      </c>
    </row>
    <row r="89" spans="2:11" ht="13" x14ac:dyDescent="0.15">
      <c r="B89" s="27" t="s">
        <v>147</v>
      </c>
      <c r="C89" s="27" t="s">
        <v>148</v>
      </c>
      <c r="D89" s="30">
        <v>0</v>
      </c>
      <c r="E89" s="30"/>
      <c r="F89" s="30">
        <v>400000</v>
      </c>
      <c r="G89" s="30">
        <v>400000</v>
      </c>
      <c r="H89" s="30">
        <f t="shared" si="1"/>
        <v>0</v>
      </c>
      <c r="I89" s="30"/>
      <c r="K89" t="s">
        <v>37</v>
      </c>
    </row>
    <row r="90" spans="2:11" ht="13" x14ac:dyDescent="0.15">
      <c r="B90" s="27" t="s">
        <v>149</v>
      </c>
      <c r="C90" s="27" t="s">
        <v>150</v>
      </c>
      <c r="D90" s="30">
        <v>0</v>
      </c>
      <c r="E90" s="30"/>
      <c r="F90" s="30">
        <v>50000</v>
      </c>
      <c r="G90" s="30">
        <v>50000.639999999999</v>
      </c>
      <c r="H90" s="30">
        <f t="shared" si="1"/>
        <v>-0.63999999999941792</v>
      </c>
      <c r="I90" s="30"/>
      <c r="K90" t="s">
        <v>37</v>
      </c>
    </row>
    <row r="91" spans="2:11" ht="13" x14ac:dyDescent="0.15">
      <c r="B91" s="29" t="s">
        <v>151</v>
      </c>
      <c r="C91" s="29" t="s">
        <v>43</v>
      </c>
      <c r="D91" s="31">
        <f>SUMIFS(D92:D3130,K92:K3130,"0",B92:B3130,"1 1 2 3 1 12 31111 6 M78 00002*")-SUMIFS(E92:E3130,K92:K3130,"0",B92:B3130,"1 1 2 3 1 12 31111 6 M78 00002*")</f>
        <v>-1.06</v>
      </c>
      <c r="E91"/>
      <c r="F91" s="31">
        <f>SUMIFS(F92:F3130,K92:K3130,"0",B92:B3130,"1 1 2 3 1 12 31111 6 M78 00002*")</f>
        <v>1050849.95</v>
      </c>
      <c r="G91" s="31">
        <f>SUMIFS(G92:G3130,K92:K3130,"0",B92:B3130,"1 1 2 3 1 12 31111 6 M78 00002*")</f>
        <v>1047809.95</v>
      </c>
      <c r="H91" s="31">
        <f t="shared" si="1"/>
        <v>3038.9399999999441</v>
      </c>
      <c r="I91" s="31"/>
      <c r="K91" t="s">
        <v>13</v>
      </c>
    </row>
    <row r="92" spans="2:11" ht="13" x14ac:dyDescent="0.15">
      <c r="B92" s="29" t="s">
        <v>152</v>
      </c>
      <c r="C92" s="29" t="s">
        <v>130</v>
      </c>
      <c r="D92" s="31">
        <f>SUMIFS(D93:D3130,K93:K3130,"0",B93:B3130,"1 1 2 3 1 12 31111 6 M78 00002 002*")-SUMIFS(E93:E3130,K93:K3130,"0",B93:B3130,"1 1 2 3 1 12 31111 6 M78 00002 002*")</f>
        <v>-1.06</v>
      </c>
      <c r="E92"/>
      <c r="F92" s="31">
        <f>SUMIFS(F93:F3130,K93:K3130,"0",B93:B3130,"1 1 2 3 1 12 31111 6 M78 00002 002*")</f>
        <v>1050849.95</v>
      </c>
      <c r="G92" s="31">
        <f>SUMIFS(G93:G3130,K93:K3130,"0",B93:B3130,"1 1 2 3 1 12 31111 6 M78 00002 002*")</f>
        <v>1047809.95</v>
      </c>
      <c r="H92" s="31">
        <f t="shared" si="1"/>
        <v>3038.9399999999441</v>
      </c>
      <c r="I92" s="31"/>
      <c r="K92" t="s">
        <v>13</v>
      </c>
    </row>
    <row r="93" spans="2:11" ht="13" x14ac:dyDescent="0.15">
      <c r="B93" s="27" t="s">
        <v>153</v>
      </c>
      <c r="C93" s="27" t="s">
        <v>132</v>
      </c>
      <c r="D93" s="30">
        <v>-1.06</v>
      </c>
      <c r="E93" s="30"/>
      <c r="F93" s="30">
        <v>1050849.95</v>
      </c>
      <c r="G93" s="30">
        <v>1047809.95</v>
      </c>
      <c r="H93" s="30">
        <f t="shared" si="1"/>
        <v>3038.9399999999441</v>
      </c>
      <c r="I93" s="30"/>
      <c r="K93" t="s">
        <v>37</v>
      </c>
    </row>
    <row r="94" spans="2:11" ht="13" x14ac:dyDescent="0.15">
      <c r="B94" s="29" t="s">
        <v>154</v>
      </c>
      <c r="C94" s="29" t="s">
        <v>54</v>
      </c>
      <c r="D94" s="31">
        <f>SUMIFS(D95:D3130,K95:K3130,"0",B95:B3130,"1 1 2 3 1 12 31111 6 M78 00003*")-SUMIFS(E95:E3130,K95:K3130,"0",B95:B3130,"1 1 2 3 1 12 31111 6 M78 00003*")</f>
        <v>198105.94</v>
      </c>
      <c r="E94"/>
      <c r="F94" s="31">
        <f>SUMIFS(F95:F3130,K95:K3130,"0",B95:B3130,"1 1 2 3 1 12 31111 6 M78 00003*")</f>
        <v>400769.89</v>
      </c>
      <c r="G94" s="31">
        <f>SUMIFS(G95:G3130,K95:K3130,"0",B95:B3130,"1 1 2 3 1 12 31111 6 M78 00003*")</f>
        <v>598875.82999999996</v>
      </c>
      <c r="H94" s="31">
        <f t="shared" si="1"/>
        <v>0</v>
      </c>
      <c r="I94" s="31"/>
      <c r="K94" t="s">
        <v>13</v>
      </c>
    </row>
    <row r="95" spans="2:11" ht="13" x14ac:dyDescent="0.15">
      <c r="B95" s="29" t="s">
        <v>155</v>
      </c>
      <c r="C95" s="29" t="s">
        <v>156</v>
      </c>
      <c r="D95" s="31">
        <f>SUMIFS(D96:D3130,K96:K3130,"0",B96:B3130,"1 1 2 3 1 12 31111 6 M78 00003 002*")-SUMIFS(E96:E3130,K96:K3130,"0",B96:B3130,"1 1 2 3 1 12 31111 6 M78 00003 002*")</f>
        <v>198105.94</v>
      </c>
      <c r="E95"/>
      <c r="F95" s="31">
        <f>SUMIFS(F96:F3130,K96:K3130,"0",B96:B3130,"1 1 2 3 1 12 31111 6 M78 00003 002*")</f>
        <v>400769.89</v>
      </c>
      <c r="G95" s="31">
        <f>SUMIFS(G96:G3130,K96:K3130,"0",B96:B3130,"1 1 2 3 1 12 31111 6 M78 00003 002*")</f>
        <v>598875.82999999996</v>
      </c>
      <c r="H95" s="31">
        <f t="shared" si="1"/>
        <v>0</v>
      </c>
      <c r="I95" s="31"/>
      <c r="K95" t="s">
        <v>13</v>
      </c>
    </row>
    <row r="96" spans="2:11" ht="13" x14ac:dyDescent="0.15">
      <c r="B96" s="27" t="s">
        <v>157</v>
      </c>
      <c r="C96" s="27" t="s">
        <v>132</v>
      </c>
      <c r="D96" s="30">
        <v>-1894.06</v>
      </c>
      <c r="E96" s="30"/>
      <c r="F96" s="30">
        <v>180769.89</v>
      </c>
      <c r="G96" s="30">
        <v>178875.83</v>
      </c>
      <c r="H96" s="30">
        <f t="shared" si="1"/>
        <v>0</v>
      </c>
      <c r="I96" s="30"/>
      <c r="K96" t="s">
        <v>37</v>
      </c>
    </row>
    <row r="97" spans="2:11" ht="13" x14ac:dyDescent="0.15">
      <c r="B97" s="27" t="s">
        <v>158</v>
      </c>
      <c r="C97" s="27" t="s">
        <v>159</v>
      </c>
      <c r="D97" s="30">
        <v>5000</v>
      </c>
      <c r="E97" s="30"/>
      <c r="F97" s="30">
        <v>0</v>
      </c>
      <c r="G97" s="30">
        <v>5000</v>
      </c>
      <c r="H97" s="30">
        <f t="shared" si="1"/>
        <v>0</v>
      </c>
      <c r="I97" s="30"/>
      <c r="K97" t="s">
        <v>37</v>
      </c>
    </row>
    <row r="98" spans="2:11" ht="13" x14ac:dyDescent="0.15">
      <c r="B98" s="27" t="s">
        <v>160</v>
      </c>
      <c r="C98" s="27" t="s">
        <v>161</v>
      </c>
      <c r="D98" s="30">
        <v>175000</v>
      </c>
      <c r="E98" s="30"/>
      <c r="F98" s="30">
        <v>0</v>
      </c>
      <c r="G98" s="30">
        <v>175000</v>
      </c>
      <c r="H98" s="30">
        <f t="shared" si="1"/>
        <v>0</v>
      </c>
      <c r="I98" s="30"/>
      <c r="K98" t="s">
        <v>37</v>
      </c>
    </row>
    <row r="99" spans="2:11" ht="13" x14ac:dyDescent="0.15">
      <c r="B99" s="27" t="s">
        <v>162</v>
      </c>
      <c r="C99" s="27" t="s">
        <v>163</v>
      </c>
      <c r="D99" s="30">
        <v>20000</v>
      </c>
      <c r="E99" s="30"/>
      <c r="F99" s="30">
        <v>0</v>
      </c>
      <c r="G99" s="30">
        <v>20000</v>
      </c>
      <c r="H99" s="30">
        <f t="shared" si="1"/>
        <v>0</v>
      </c>
      <c r="I99" s="30"/>
      <c r="K99" t="s">
        <v>37</v>
      </c>
    </row>
    <row r="100" spans="2:11" ht="13" x14ac:dyDescent="0.15">
      <c r="B100" s="27" t="s">
        <v>164</v>
      </c>
      <c r="C100" s="27" t="s">
        <v>165</v>
      </c>
      <c r="D100" s="30">
        <v>0</v>
      </c>
      <c r="E100" s="30"/>
      <c r="F100" s="30">
        <v>220000</v>
      </c>
      <c r="G100" s="30">
        <v>220000</v>
      </c>
      <c r="H100" s="30">
        <f t="shared" si="1"/>
        <v>0</v>
      </c>
      <c r="I100" s="30"/>
      <c r="K100" t="s">
        <v>37</v>
      </c>
    </row>
    <row r="101" spans="2:11" ht="13" x14ac:dyDescent="0.15">
      <c r="B101" s="29" t="s">
        <v>166</v>
      </c>
      <c r="C101" s="29" t="s">
        <v>67</v>
      </c>
      <c r="D101" s="31">
        <f>SUMIFS(D102:D3130,K102:K3130,"0",B102:B3130,"1 1 2 3 1 12 31111 6 M78 00005*")-SUMIFS(E102:E3130,K102:K3130,"0",B102:B3130,"1 1 2 3 1 12 31111 6 M78 00005*")</f>
        <v>9423.1</v>
      </c>
      <c r="E101"/>
      <c r="F101" s="31">
        <f>SUMIFS(F102:F3130,K102:K3130,"0",B102:B3130,"1 1 2 3 1 12 31111 6 M78 00005*")</f>
        <v>40576.9</v>
      </c>
      <c r="G101" s="31">
        <f>SUMIFS(G102:G3130,K102:K3130,"0",B102:B3130,"1 1 2 3 1 12 31111 6 M78 00005*")</f>
        <v>50000</v>
      </c>
      <c r="H101" s="31">
        <f t="shared" si="1"/>
        <v>0</v>
      </c>
      <c r="I101" s="31"/>
      <c r="K101" t="s">
        <v>13</v>
      </c>
    </row>
    <row r="102" spans="2:11" ht="13" x14ac:dyDescent="0.15">
      <c r="B102" s="27" t="s">
        <v>167</v>
      </c>
      <c r="C102" s="27" t="s">
        <v>132</v>
      </c>
      <c r="D102" s="30">
        <v>-576.9</v>
      </c>
      <c r="E102" s="30"/>
      <c r="F102" s="30">
        <v>576.9</v>
      </c>
      <c r="G102" s="30">
        <v>0</v>
      </c>
      <c r="H102" s="30">
        <f t="shared" si="1"/>
        <v>0</v>
      </c>
      <c r="I102" s="30"/>
      <c r="K102" t="s">
        <v>37</v>
      </c>
    </row>
    <row r="103" spans="2:11" ht="13" x14ac:dyDescent="0.15">
      <c r="B103" s="27" t="s">
        <v>168</v>
      </c>
      <c r="C103" s="27" t="s">
        <v>161</v>
      </c>
      <c r="D103" s="30">
        <v>10000</v>
      </c>
      <c r="E103" s="30"/>
      <c r="F103" s="30">
        <v>0</v>
      </c>
      <c r="G103" s="30">
        <v>10000</v>
      </c>
      <c r="H103" s="30">
        <f t="shared" si="1"/>
        <v>0</v>
      </c>
      <c r="I103" s="30"/>
      <c r="K103" t="s">
        <v>37</v>
      </c>
    </row>
    <row r="104" spans="2:11" ht="13" x14ac:dyDescent="0.15">
      <c r="B104" s="27" t="s">
        <v>169</v>
      </c>
      <c r="C104" s="27" t="s">
        <v>165</v>
      </c>
      <c r="D104" s="30">
        <v>0</v>
      </c>
      <c r="E104" s="30"/>
      <c r="F104" s="30">
        <v>40000</v>
      </c>
      <c r="G104" s="30">
        <v>40000</v>
      </c>
      <c r="H104" s="30">
        <f t="shared" si="1"/>
        <v>0</v>
      </c>
      <c r="I104" s="30"/>
      <c r="K104" t="s">
        <v>37</v>
      </c>
    </row>
    <row r="105" spans="2:11" ht="13" x14ac:dyDescent="0.15">
      <c r="B105" s="29" t="s">
        <v>170</v>
      </c>
      <c r="C105" s="29" t="s">
        <v>171</v>
      </c>
      <c r="D105" s="31">
        <f>SUMIFS(D106:D3130,K106:K3130,"0",B106:B3130,"1 1 2 4*")-SUMIFS(E106:E3130,K106:K3130,"0",B106:B3130,"1 1 2 4*")</f>
        <v>750</v>
      </c>
      <c r="E105"/>
      <c r="F105" s="31">
        <f>SUMIFS(F106:F3130,K106:K3130,"0",B106:B3130,"1 1 2 4*")</f>
        <v>649895.26</v>
      </c>
      <c r="G105" s="31">
        <f>SUMIFS(G106:G3130,K106:K3130,"0",B106:B3130,"1 1 2 4*")</f>
        <v>650645.26</v>
      </c>
      <c r="H105" s="31">
        <f t="shared" si="1"/>
        <v>0</v>
      </c>
      <c r="I105" s="31"/>
      <c r="K105" t="s">
        <v>13</v>
      </c>
    </row>
    <row r="106" spans="2:11" ht="13" x14ac:dyDescent="0.15">
      <c r="B106" s="29" t="s">
        <v>172</v>
      </c>
      <c r="C106" s="29" t="s">
        <v>173</v>
      </c>
      <c r="D106" s="31">
        <f>SUMIFS(D107:D3130,K107:K3130,"0",B107:B3130,"1 1 2 4 1*")-SUMIFS(E107:E3130,K107:K3130,"0",B107:B3130,"1 1 2 4 1*")</f>
        <v>0</v>
      </c>
      <c r="E106"/>
      <c r="F106" s="31">
        <f>SUMIFS(F107:F3130,K107:K3130,"0",B107:B3130,"1 1 2 4 1*")</f>
        <v>4093.57</v>
      </c>
      <c r="G106" s="31">
        <f>SUMIFS(G107:G3130,K107:K3130,"0",B107:B3130,"1 1 2 4 1*")</f>
        <v>4093.57</v>
      </c>
      <c r="H106" s="31">
        <f t="shared" si="1"/>
        <v>0</v>
      </c>
      <c r="I106" s="31"/>
      <c r="K106" t="s">
        <v>13</v>
      </c>
    </row>
    <row r="107" spans="2:11" ht="13" x14ac:dyDescent="0.15">
      <c r="B107" s="29" t="s">
        <v>174</v>
      </c>
      <c r="C107" s="29" t="s">
        <v>24</v>
      </c>
      <c r="D107" s="31">
        <f>SUMIFS(D108:D3130,K108:K3130,"0",B108:B3130,"1 1 2 4 1 12*")-SUMIFS(E108:E3130,K108:K3130,"0",B108:B3130,"1 1 2 4 1 12*")</f>
        <v>0</v>
      </c>
      <c r="E107"/>
      <c r="F107" s="31">
        <f>SUMIFS(F108:F3130,K108:K3130,"0",B108:B3130,"1 1 2 4 1 12*")</f>
        <v>4093.57</v>
      </c>
      <c r="G107" s="31">
        <f>SUMIFS(G108:G3130,K108:K3130,"0",B108:B3130,"1 1 2 4 1 12*")</f>
        <v>4093.57</v>
      </c>
      <c r="H107" s="31">
        <f t="shared" si="1"/>
        <v>0</v>
      </c>
      <c r="I107" s="31"/>
      <c r="K107" t="s">
        <v>13</v>
      </c>
    </row>
    <row r="108" spans="2:11" ht="13" x14ac:dyDescent="0.15">
      <c r="B108" s="29" t="s">
        <v>175</v>
      </c>
      <c r="C108" s="29" t="s">
        <v>26</v>
      </c>
      <c r="D108" s="31">
        <f>SUMIFS(D109:D3130,K109:K3130,"0",B109:B3130,"1 1 2 4 1 12 31111*")-SUMIFS(E109:E3130,K109:K3130,"0",B109:B3130,"1 1 2 4 1 12 31111*")</f>
        <v>0</v>
      </c>
      <c r="E108"/>
      <c r="F108" s="31">
        <f>SUMIFS(F109:F3130,K109:K3130,"0",B109:B3130,"1 1 2 4 1 12 31111*")</f>
        <v>4093.57</v>
      </c>
      <c r="G108" s="31">
        <f>SUMIFS(G109:G3130,K109:K3130,"0",B109:B3130,"1 1 2 4 1 12 31111*")</f>
        <v>4093.57</v>
      </c>
      <c r="H108" s="31">
        <f t="shared" si="1"/>
        <v>0</v>
      </c>
      <c r="I108" s="31"/>
      <c r="K108" t="s">
        <v>13</v>
      </c>
    </row>
    <row r="109" spans="2:11" ht="13" x14ac:dyDescent="0.15">
      <c r="B109" s="29" t="s">
        <v>176</v>
      </c>
      <c r="C109" s="29" t="s">
        <v>28</v>
      </c>
      <c r="D109" s="31">
        <f>SUMIFS(D110:D3130,K110:K3130,"0",B110:B3130,"1 1 2 4 1 12 31111 6*")-SUMIFS(E110:E3130,K110:K3130,"0",B110:B3130,"1 1 2 4 1 12 31111 6*")</f>
        <v>0</v>
      </c>
      <c r="E109"/>
      <c r="F109" s="31">
        <f>SUMIFS(F110:F3130,K110:K3130,"0",B110:B3130,"1 1 2 4 1 12 31111 6*")</f>
        <v>4093.57</v>
      </c>
      <c r="G109" s="31">
        <f>SUMIFS(G110:G3130,K110:K3130,"0",B110:B3130,"1 1 2 4 1 12 31111 6*")</f>
        <v>4093.57</v>
      </c>
      <c r="H109" s="31">
        <f t="shared" si="1"/>
        <v>0</v>
      </c>
      <c r="I109" s="31"/>
      <c r="K109" t="s">
        <v>13</v>
      </c>
    </row>
    <row r="110" spans="2:11" ht="13" x14ac:dyDescent="0.15">
      <c r="B110" s="29" t="s">
        <v>177</v>
      </c>
      <c r="C110" s="29" t="s">
        <v>30</v>
      </c>
      <c r="D110" s="31">
        <f>SUMIFS(D111:D3130,K111:K3130,"0",B111:B3130,"1 1 2 4 1 12 31111 6 M78*")-SUMIFS(E111:E3130,K111:K3130,"0",B111:B3130,"1 1 2 4 1 12 31111 6 M78*")</f>
        <v>0</v>
      </c>
      <c r="E110"/>
      <c r="F110" s="31">
        <f>SUMIFS(F111:F3130,K111:K3130,"0",B111:B3130,"1 1 2 4 1 12 31111 6 M78*")</f>
        <v>4093.57</v>
      </c>
      <c r="G110" s="31">
        <f>SUMIFS(G111:G3130,K111:K3130,"0",B111:B3130,"1 1 2 4 1 12 31111 6 M78*")</f>
        <v>4093.57</v>
      </c>
      <c r="H110" s="31">
        <f t="shared" si="1"/>
        <v>0</v>
      </c>
      <c r="I110" s="31"/>
      <c r="K110" t="s">
        <v>13</v>
      </c>
    </row>
    <row r="111" spans="2:11" ht="13" x14ac:dyDescent="0.15">
      <c r="B111" s="29" t="s">
        <v>178</v>
      </c>
      <c r="C111" s="29" t="s">
        <v>67</v>
      </c>
      <c r="D111" s="31">
        <f>SUMIFS(D112:D3130,K112:K3130,"0",B112:B3130,"1 1 2 4 1 12 31111 6 M78 00005*")-SUMIFS(E112:E3130,K112:K3130,"0",B112:B3130,"1 1 2 4 1 12 31111 6 M78 00005*")</f>
        <v>0</v>
      </c>
      <c r="E111"/>
      <c r="F111" s="31">
        <f>SUMIFS(F112:F3130,K112:K3130,"0",B112:B3130,"1 1 2 4 1 12 31111 6 M78 00005*")</f>
        <v>4093.57</v>
      </c>
      <c r="G111" s="31">
        <f>SUMIFS(G112:G3130,K112:K3130,"0",B112:B3130,"1 1 2 4 1 12 31111 6 M78 00005*")</f>
        <v>4093.57</v>
      </c>
      <c r="H111" s="31">
        <f t="shared" si="1"/>
        <v>0</v>
      </c>
      <c r="I111" s="31"/>
      <c r="K111" t="s">
        <v>13</v>
      </c>
    </row>
    <row r="112" spans="2:11" ht="13" x14ac:dyDescent="0.15">
      <c r="B112" s="27" t="s">
        <v>179</v>
      </c>
      <c r="C112" s="27" t="s">
        <v>173</v>
      </c>
      <c r="D112" s="30">
        <v>0</v>
      </c>
      <c r="E112" s="30"/>
      <c r="F112" s="30">
        <v>4093.57</v>
      </c>
      <c r="G112" s="30">
        <v>4093.57</v>
      </c>
      <c r="H112" s="30">
        <f t="shared" si="1"/>
        <v>0</v>
      </c>
      <c r="I112" s="30"/>
      <c r="K112" t="s">
        <v>37</v>
      </c>
    </row>
    <row r="113" spans="2:11" ht="13" x14ac:dyDescent="0.15">
      <c r="B113" s="29" t="s">
        <v>180</v>
      </c>
      <c r="C113" s="29" t="s">
        <v>181</v>
      </c>
      <c r="D113" s="31">
        <f>SUMIFS(D114:D3130,K114:K3130,"0",B114:B3130,"1 1 2 4 3*")-SUMIFS(E114:E3130,K114:K3130,"0",B114:B3130,"1 1 2 4 3*")</f>
        <v>750</v>
      </c>
      <c r="E113"/>
      <c r="F113" s="31">
        <f>SUMIFS(F114:F3130,K114:K3130,"0",B114:B3130,"1 1 2 4 3*")</f>
        <v>75226.58</v>
      </c>
      <c r="G113" s="31">
        <f>SUMIFS(G114:G3130,K114:K3130,"0",B114:B3130,"1 1 2 4 3*")</f>
        <v>75976.58</v>
      </c>
      <c r="H113" s="31">
        <f t="shared" si="1"/>
        <v>0</v>
      </c>
      <c r="I113" s="31"/>
      <c r="K113" t="s">
        <v>13</v>
      </c>
    </row>
    <row r="114" spans="2:11" ht="13" x14ac:dyDescent="0.15">
      <c r="B114" s="29" t="s">
        <v>182</v>
      </c>
      <c r="C114" s="29" t="s">
        <v>24</v>
      </c>
      <c r="D114" s="31">
        <f>SUMIFS(D115:D3130,K115:K3130,"0",B115:B3130,"1 1 2 4 3 12*")-SUMIFS(E115:E3130,K115:K3130,"0",B115:B3130,"1 1 2 4 3 12*")</f>
        <v>750</v>
      </c>
      <c r="E114"/>
      <c r="F114" s="31">
        <f>SUMIFS(F115:F3130,K115:K3130,"0",B115:B3130,"1 1 2 4 3 12*")</f>
        <v>75226.58</v>
      </c>
      <c r="G114" s="31">
        <f>SUMIFS(G115:G3130,K115:K3130,"0",B115:B3130,"1 1 2 4 3 12*")</f>
        <v>75976.58</v>
      </c>
      <c r="H114" s="31">
        <f t="shared" si="1"/>
        <v>0</v>
      </c>
      <c r="I114" s="31"/>
      <c r="K114" t="s">
        <v>13</v>
      </c>
    </row>
    <row r="115" spans="2:11" ht="13" x14ac:dyDescent="0.15">
      <c r="B115" s="29" t="s">
        <v>183</v>
      </c>
      <c r="C115" s="29" t="s">
        <v>26</v>
      </c>
      <c r="D115" s="31">
        <f>SUMIFS(D116:D3130,K116:K3130,"0",B116:B3130,"1 1 2 4 3 12 31111*")-SUMIFS(E116:E3130,K116:K3130,"0",B116:B3130,"1 1 2 4 3 12 31111*")</f>
        <v>750</v>
      </c>
      <c r="E115"/>
      <c r="F115" s="31">
        <f>SUMIFS(F116:F3130,K116:K3130,"0",B116:B3130,"1 1 2 4 3 12 31111*")</f>
        <v>75226.58</v>
      </c>
      <c r="G115" s="31">
        <f>SUMIFS(G116:G3130,K116:K3130,"0",B116:B3130,"1 1 2 4 3 12 31111*")</f>
        <v>75976.58</v>
      </c>
      <c r="H115" s="31">
        <f t="shared" si="1"/>
        <v>0</v>
      </c>
      <c r="I115" s="31"/>
      <c r="K115" t="s">
        <v>13</v>
      </c>
    </row>
    <row r="116" spans="2:11" ht="13" x14ac:dyDescent="0.15">
      <c r="B116" s="29" t="s">
        <v>184</v>
      </c>
      <c r="C116" s="29" t="s">
        <v>28</v>
      </c>
      <c r="D116" s="31">
        <f>SUMIFS(D117:D3130,K117:K3130,"0",B117:B3130,"1 1 2 4 3 12 31111 6*")-SUMIFS(E117:E3130,K117:K3130,"0",B117:B3130,"1 1 2 4 3 12 31111 6*")</f>
        <v>750</v>
      </c>
      <c r="E116"/>
      <c r="F116" s="31">
        <f>SUMIFS(F117:F3130,K117:K3130,"0",B117:B3130,"1 1 2 4 3 12 31111 6*")</f>
        <v>75226.58</v>
      </c>
      <c r="G116" s="31">
        <f>SUMIFS(G117:G3130,K117:K3130,"0",B117:B3130,"1 1 2 4 3 12 31111 6*")</f>
        <v>75976.58</v>
      </c>
      <c r="H116" s="31">
        <f t="shared" si="1"/>
        <v>0</v>
      </c>
      <c r="I116" s="31"/>
      <c r="K116" t="s">
        <v>13</v>
      </c>
    </row>
    <row r="117" spans="2:11" ht="13" x14ac:dyDescent="0.15">
      <c r="B117" s="29" t="s">
        <v>185</v>
      </c>
      <c r="C117" s="29" t="s">
        <v>30</v>
      </c>
      <c r="D117" s="31">
        <f>SUMIFS(D118:D3130,K118:K3130,"0",B118:B3130,"1 1 2 4 3 12 31111 6 M78*")-SUMIFS(E118:E3130,K118:K3130,"0",B118:B3130,"1 1 2 4 3 12 31111 6 M78*")</f>
        <v>750</v>
      </c>
      <c r="E117"/>
      <c r="F117" s="31">
        <f>SUMIFS(F118:F3130,K118:K3130,"0",B118:B3130,"1 1 2 4 3 12 31111 6 M78*")</f>
        <v>75226.58</v>
      </c>
      <c r="G117" s="31">
        <f>SUMIFS(G118:G3130,K118:K3130,"0",B118:B3130,"1 1 2 4 3 12 31111 6 M78*")</f>
        <v>75976.58</v>
      </c>
      <c r="H117" s="31">
        <f t="shared" si="1"/>
        <v>0</v>
      </c>
      <c r="I117" s="31"/>
      <c r="K117" t="s">
        <v>13</v>
      </c>
    </row>
    <row r="118" spans="2:11" ht="13" x14ac:dyDescent="0.15">
      <c r="B118" s="29" t="s">
        <v>186</v>
      </c>
      <c r="C118" s="29" t="s">
        <v>67</v>
      </c>
      <c r="D118" s="31">
        <f>SUMIFS(D119:D3130,K119:K3130,"0",B119:B3130,"1 1 2 4 3 12 31111 6 M78 00005*")-SUMIFS(E119:E3130,K119:K3130,"0",B119:B3130,"1 1 2 4 3 12 31111 6 M78 00005*")</f>
        <v>750</v>
      </c>
      <c r="E118"/>
      <c r="F118" s="31">
        <f>SUMIFS(F119:F3130,K119:K3130,"0",B119:B3130,"1 1 2 4 3 12 31111 6 M78 00005*")</f>
        <v>75226.58</v>
      </c>
      <c r="G118" s="31">
        <f>SUMIFS(G119:G3130,K119:K3130,"0",B119:B3130,"1 1 2 4 3 12 31111 6 M78 00005*")</f>
        <v>75976.58</v>
      </c>
      <c r="H118" s="31">
        <f t="shared" si="1"/>
        <v>0</v>
      </c>
      <c r="I118" s="31"/>
      <c r="K118" t="s">
        <v>13</v>
      </c>
    </row>
    <row r="119" spans="2:11" ht="13" x14ac:dyDescent="0.15">
      <c r="B119" s="27" t="s">
        <v>187</v>
      </c>
      <c r="C119" s="27" t="s">
        <v>181</v>
      </c>
      <c r="D119" s="30">
        <v>750</v>
      </c>
      <c r="E119" s="30"/>
      <c r="F119" s="30">
        <v>75226.58</v>
      </c>
      <c r="G119" s="30">
        <v>75976.58</v>
      </c>
      <c r="H119" s="30">
        <f t="shared" si="1"/>
        <v>0</v>
      </c>
      <c r="I119" s="30"/>
      <c r="K119" t="s">
        <v>37</v>
      </c>
    </row>
    <row r="120" spans="2:11" ht="13" x14ac:dyDescent="0.15">
      <c r="B120" s="29" t="s">
        <v>188</v>
      </c>
      <c r="C120" s="29" t="s">
        <v>189</v>
      </c>
      <c r="D120" s="31">
        <f>SUMIFS(D121:D3130,K121:K3130,"0",B121:B3130,"1 1 2 4 4*")-SUMIFS(E121:E3130,K121:K3130,"0",B121:B3130,"1 1 2 4 4*")</f>
        <v>0</v>
      </c>
      <c r="E120"/>
      <c r="F120" s="31">
        <f>SUMIFS(F121:F3130,K121:K3130,"0",B121:B3130,"1 1 2 4 4*")</f>
        <v>570575.11</v>
      </c>
      <c r="G120" s="31">
        <f>SUMIFS(G121:G3130,K121:K3130,"0",B121:B3130,"1 1 2 4 4*")</f>
        <v>570575.11</v>
      </c>
      <c r="H120" s="31">
        <f t="shared" si="1"/>
        <v>0</v>
      </c>
      <c r="I120" s="31"/>
      <c r="K120" t="s">
        <v>13</v>
      </c>
    </row>
    <row r="121" spans="2:11" ht="13" x14ac:dyDescent="0.15">
      <c r="B121" s="29" t="s">
        <v>190</v>
      </c>
      <c r="C121" s="29" t="s">
        <v>24</v>
      </c>
      <c r="D121" s="31">
        <f>SUMIFS(D122:D3130,K122:K3130,"0",B122:B3130,"1 1 2 4 4 12*")-SUMIFS(E122:E3130,K122:K3130,"0",B122:B3130,"1 1 2 4 4 12*")</f>
        <v>0</v>
      </c>
      <c r="E121"/>
      <c r="F121" s="31">
        <f>SUMIFS(F122:F3130,K122:K3130,"0",B122:B3130,"1 1 2 4 4 12*")</f>
        <v>570575.11</v>
      </c>
      <c r="G121" s="31">
        <f>SUMIFS(G122:G3130,K122:K3130,"0",B122:B3130,"1 1 2 4 4 12*")</f>
        <v>570575.11</v>
      </c>
      <c r="H121" s="31">
        <f t="shared" si="1"/>
        <v>0</v>
      </c>
      <c r="I121" s="31"/>
      <c r="K121" t="s">
        <v>13</v>
      </c>
    </row>
    <row r="122" spans="2:11" ht="13" x14ac:dyDescent="0.15">
      <c r="B122" s="29" t="s">
        <v>191</v>
      </c>
      <c r="C122" s="29" t="s">
        <v>26</v>
      </c>
      <c r="D122" s="31">
        <f>SUMIFS(D123:D3130,K123:K3130,"0",B123:B3130,"1 1 2 4 4 12 31111*")-SUMIFS(E123:E3130,K123:K3130,"0",B123:B3130,"1 1 2 4 4 12 31111*")</f>
        <v>0</v>
      </c>
      <c r="E122"/>
      <c r="F122" s="31">
        <f>SUMIFS(F123:F3130,K123:K3130,"0",B123:B3130,"1 1 2 4 4 12 31111*")</f>
        <v>570575.11</v>
      </c>
      <c r="G122" s="31">
        <f>SUMIFS(G123:G3130,K123:K3130,"0",B123:B3130,"1 1 2 4 4 12 31111*")</f>
        <v>570575.11</v>
      </c>
      <c r="H122" s="31">
        <f t="shared" si="1"/>
        <v>0</v>
      </c>
      <c r="I122" s="31"/>
      <c r="K122" t="s">
        <v>13</v>
      </c>
    </row>
    <row r="123" spans="2:11" ht="13" x14ac:dyDescent="0.15">
      <c r="B123" s="29" t="s">
        <v>192</v>
      </c>
      <c r="C123" s="29" t="s">
        <v>28</v>
      </c>
      <c r="D123" s="31">
        <f>SUMIFS(D124:D3130,K124:K3130,"0",B124:B3130,"1 1 2 4 4 12 31111 6*")-SUMIFS(E124:E3130,K124:K3130,"0",B124:B3130,"1 1 2 4 4 12 31111 6*")</f>
        <v>0</v>
      </c>
      <c r="E123"/>
      <c r="F123" s="31">
        <f>SUMIFS(F124:F3130,K124:K3130,"0",B124:B3130,"1 1 2 4 4 12 31111 6*")</f>
        <v>570575.11</v>
      </c>
      <c r="G123" s="31">
        <f>SUMIFS(G124:G3130,K124:K3130,"0",B124:B3130,"1 1 2 4 4 12 31111 6*")</f>
        <v>570575.11</v>
      </c>
      <c r="H123" s="31">
        <f t="shared" si="1"/>
        <v>0</v>
      </c>
      <c r="I123" s="31"/>
      <c r="K123" t="s">
        <v>13</v>
      </c>
    </row>
    <row r="124" spans="2:11" ht="13" x14ac:dyDescent="0.15">
      <c r="B124" s="29" t="s">
        <v>193</v>
      </c>
      <c r="C124" s="29" t="s">
        <v>30</v>
      </c>
      <c r="D124" s="31">
        <f>SUMIFS(D125:D3130,K125:K3130,"0",B125:B3130,"1 1 2 4 4 12 31111 6 M78*")-SUMIFS(E125:E3130,K125:K3130,"0",B125:B3130,"1 1 2 4 4 12 31111 6 M78*")</f>
        <v>0</v>
      </c>
      <c r="E124"/>
      <c r="F124" s="31">
        <f>SUMIFS(F125:F3130,K125:K3130,"0",B125:B3130,"1 1 2 4 4 12 31111 6 M78*")</f>
        <v>570575.11</v>
      </c>
      <c r="G124" s="31">
        <f>SUMIFS(G125:G3130,K125:K3130,"0",B125:B3130,"1 1 2 4 4 12 31111 6 M78*")</f>
        <v>570575.11</v>
      </c>
      <c r="H124" s="31">
        <f t="shared" si="1"/>
        <v>0</v>
      </c>
      <c r="I124" s="31"/>
      <c r="K124" t="s">
        <v>13</v>
      </c>
    </row>
    <row r="125" spans="2:11" ht="13" x14ac:dyDescent="0.15">
      <c r="B125" s="29" t="s">
        <v>194</v>
      </c>
      <c r="C125" s="29" t="s">
        <v>32</v>
      </c>
      <c r="D125" s="31">
        <f>SUMIFS(D126:D3130,K126:K3130,"0",B126:B3130,"1 1 2 4 4 12 31111 6 M78 00001*")-SUMIFS(E126:E3130,K126:K3130,"0",B126:B3130,"1 1 2 4 4 12 31111 6 M78 00001*")</f>
        <v>0</v>
      </c>
      <c r="E125"/>
      <c r="F125" s="31">
        <f>SUMIFS(F126:F3130,K126:K3130,"0",B126:B3130,"1 1 2 4 4 12 31111 6 M78 00001*")</f>
        <v>9776.58</v>
      </c>
      <c r="G125" s="31">
        <f>SUMIFS(G126:G3130,K126:K3130,"0",B126:B3130,"1 1 2 4 4 12 31111 6 M78 00001*")</f>
        <v>9776.58</v>
      </c>
      <c r="H125" s="31">
        <f t="shared" si="1"/>
        <v>0</v>
      </c>
      <c r="I125" s="31"/>
      <c r="K125" t="s">
        <v>13</v>
      </c>
    </row>
    <row r="126" spans="2:11" ht="13" x14ac:dyDescent="0.15">
      <c r="B126" s="29" t="s">
        <v>195</v>
      </c>
      <c r="C126" s="29" t="s">
        <v>196</v>
      </c>
      <c r="D126" s="31">
        <f>SUMIFS(D127:D3130,K127:K3130,"0",B127:B3130,"1 1 2 4 4 12 31111 6 M78 00001 002*")-SUMIFS(E127:E3130,K127:K3130,"0",B127:B3130,"1 1 2 4 4 12 31111 6 M78 00001 002*")</f>
        <v>0</v>
      </c>
      <c r="E126"/>
      <c r="F126" s="31">
        <f>SUMIFS(F127:F3130,K127:K3130,"0",B127:B3130,"1 1 2 4 4 12 31111 6 M78 00001 002*")</f>
        <v>9776.58</v>
      </c>
      <c r="G126" s="31">
        <f>SUMIFS(G127:G3130,K127:K3130,"0",B127:B3130,"1 1 2 4 4 12 31111 6 M78 00001 002*")</f>
        <v>9776.58</v>
      </c>
      <c r="H126" s="31">
        <f t="shared" si="1"/>
        <v>0</v>
      </c>
      <c r="I126" s="31"/>
      <c r="K126" t="s">
        <v>13</v>
      </c>
    </row>
    <row r="127" spans="2:11" ht="13" x14ac:dyDescent="0.15">
      <c r="B127" s="27" t="s">
        <v>197</v>
      </c>
      <c r="C127" s="27" t="s">
        <v>198</v>
      </c>
      <c r="D127" s="30">
        <v>0</v>
      </c>
      <c r="E127" s="30"/>
      <c r="F127" s="30">
        <v>9776.58</v>
      </c>
      <c r="G127" s="30">
        <v>9776.58</v>
      </c>
      <c r="H127" s="30">
        <f t="shared" si="1"/>
        <v>0</v>
      </c>
      <c r="I127" s="30"/>
      <c r="K127" t="s">
        <v>37</v>
      </c>
    </row>
    <row r="128" spans="2:11" ht="13" x14ac:dyDescent="0.15">
      <c r="B128" s="29" t="s">
        <v>199</v>
      </c>
      <c r="C128" s="29" t="s">
        <v>43</v>
      </c>
      <c r="D128" s="31">
        <f>SUMIFS(D129:D3130,K129:K3130,"0",B129:B3130,"1 1 2 4 4 12 31111 6 M78 00002*")-SUMIFS(E129:E3130,K129:K3130,"0",B129:B3130,"1 1 2 4 4 12 31111 6 M78 00002*")</f>
        <v>0</v>
      </c>
      <c r="E128"/>
      <c r="F128" s="31">
        <f>SUMIFS(F129:F3130,K129:K3130,"0",B129:B3130,"1 1 2 4 4 12 31111 6 M78 00002*")</f>
        <v>526283.65</v>
      </c>
      <c r="G128" s="31">
        <f>SUMIFS(G129:G3130,K129:K3130,"0",B129:B3130,"1 1 2 4 4 12 31111 6 M78 00002*")</f>
        <v>526283.65</v>
      </c>
      <c r="H128" s="31">
        <f t="shared" si="1"/>
        <v>0</v>
      </c>
      <c r="I128" s="31"/>
      <c r="K128" t="s">
        <v>13</v>
      </c>
    </row>
    <row r="129" spans="2:11" ht="13" x14ac:dyDescent="0.15">
      <c r="B129" s="29" t="s">
        <v>200</v>
      </c>
      <c r="C129" s="29" t="s">
        <v>196</v>
      </c>
      <c r="D129" s="31">
        <f>SUMIFS(D130:D3130,K130:K3130,"0",B130:B3130,"1 1 2 4 4 12 31111 6 M78 00002 002*")-SUMIFS(E130:E3130,K130:K3130,"0",B130:B3130,"1 1 2 4 4 12 31111 6 M78 00002 002*")</f>
        <v>0</v>
      </c>
      <c r="E129"/>
      <c r="F129" s="31">
        <f>SUMIFS(F130:F3130,K130:K3130,"0",B130:B3130,"1 1 2 4 4 12 31111 6 M78 00002 002*")</f>
        <v>526283.65</v>
      </c>
      <c r="G129" s="31">
        <f>SUMIFS(G130:G3130,K130:K3130,"0",B130:B3130,"1 1 2 4 4 12 31111 6 M78 00002 002*")</f>
        <v>526283.65</v>
      </c>
      <c r="H129" s="31">
        <f t="shared" si="1"/>
        <v>0</v>
      </c>
      <c r="I129" s="31"/>
      <c r="K129" t="s">
        <v>13</v>
      </c>
    </row>
    <row r="130" spans="2:11" ht="13" x14ac:dyDescent="0.15">
      <c r="B130" s="27" t="s">
        <v>201</v>
      </c>
      <c r="C130" s="27" t="s">
        <v>202</v>
      </c>
      <c r="D130" s="30">
        <v>0</v>
      </c>
      <c r="E130" s="30"/>
      <c r="F130" s="30">
        <v>526283.65</v>
      </c>
      <c r="G130" s="30">
        <v>526283.65</v>
      </c>
      <c r="H130" s="30">
        <f t="shared" si="1"/>
        <v>0</v>
      </c>
      <c r="I130" s="30"/>
      <c r="K130" t="s">
        <v>37</v>
      </c>
    </row>
    <row r="131" spans="2:11" ht="13" x14ac:dyDescent="0.15">
      <c r="B131" s="29" t="s">
        <v>203</v>
      </c>
      <c r="C131" s="29" t="s">
        <v>54</v>
      </c>
      <c r="D131" s="31">
        <f>SUMIFS(D132:D3130,K132:K3130,"0",B132:B3130,"1 1 2 4 4 12 31111 6 M78 00003*")-SUMIFS(E132:E3130,K132:K3130,"0",B132:B3130,"1 1 2 4 4 12 31111 6 M78 00003*")</f>
        <v>0</v>
      </c>
      <c r="E131"/>
      <c r="F131" s="31">
        <f>SUMIFS(F132:F3130,K132:K3130,"0",B132:B3130,"1 1 2 4 4 12 31111 6 M78 00003*")</f>
        <v>16436.84</v>
      </c>
      <c r="G131" s="31">
        <f>SUMIFS(G132:G3130,K132:K3130,"0",B132:B3130,"1 1 2 4 4 12 31111 6 M78 00003*")</f>
        <v>16436.84</v>
      </c>
      <c r="H131" s="31">
        <f t="shared" si="1"/>
        <v>0</v>
      </c>
      <c r="I131" s="31"/>
      <c r="K131" t="s">
        <v>13</v>
      </c>
    </row>
    <row r="132" spans="2:11" ht="13" x14ac:dyDescent="0.15">
      <c r="B132" s="29" t="s">
        <v>204</v>
      </c>
      <c r="C132" s="29" t="s">
        <v>156</v>
      </c>
      <c r="D132" s="31">
        <f>SUMIFS(D133:D3130,K133:K3130,"0",B133:B3130,"1 1 2 4 4 12 31111 6 M78 00003 002*")-SUMIFS(E133:E3130,K133:K3130,"0",B133:B3130,"1 1 2 4 4 12 31111 6 M78 00003 002*")</f>
        <v>0</v>
      </c>
      <c r="E132"/>
      <c r="F132" s="31">
        <f>SUMIFS(F133:F3130,K133:K3130,"0",B133:B3130,"1 1 2 4 4 12 31111 6 M78 00003 002*")</f>
        <v>16436.84</v>
      </c>
      <c r="G132" s="31">
        <f>SUMIFS(G133:G3130,K133:K3130,"0",B133:B3130,"1 1 2 4 4 12 31111 6 M78 00003 002*")</f>
        <v>16436.84</v>
      </c>
      <c r="H132" s="31">
        <f t="shared" si="1"/>
        <v>0</v>
      </c>
      <c r="I132" s="31"/>
      <c r="K132" t="s">
        <v>13</v>
      </c>
    </row>
    <row r="133" spans="2:11" ht="13" x14ac:dyDescent="0.15">
      <c r="B133" s="27" t="s">
        <v>205</v>
      </c>
      <c r="C133" s="27" t="s">
        <v>198</v>
      </c>
      <c r="D133" s="30">
        <v>0</v>
      </c>
      <c r="E133" s="30"/>
      <c r="F133" s="30">
        <v>16436.84</v>
      </c>
      <c r="G133" s="30">
        <v>16436.84</v>
      </c>
      <c r="H133" s="30">
        <f t="shared" si="1"/>
        <v>0</v>
      </c>
      <c r="I133" s="30"/>
      <c r="K133" t="s">
        <v>37</v>
      </c>
    </row>
    <row r="134" spans="2:11" ht="13" x14ac:dyDescent="0.15">
      <c r="B134" s="29" t="s">
        <v>206</v>
      </c>
      <c r="C134" s="29" t="s">
        <v>67</v>
      </c>
      <c r="D134" s="31">
        <f>SUMIFS(D135:D3130,K135:K3130,"0",B135:B3130,"1 1 2 4 4 12 31111 6 M78 00005*")-SUMIFS(E135:E3130,K135:K3130,"0",B135:B3130,"1 1 2 4 4 12 31111 6 M78 00005*")</f>
        <v>0</v>
      </c>
      <c r="E134"/>
      <c r="F134" s="31">
        <f>SUMIFS(F135:F3130,K135:K3130,"0",B135:B3130,"1 1 2 4 4 12 31111 6 M78 00005*")</f>
        <v>18078.04</v>
      </c>
      <c r="G134" s="31">
        <f>SUMIFS(G135:G3130,K135:K3130,"0",B135:B3130,"1 1 2 4 4 12 31111 6 M78 00005*")</f>
        <v>18078.04</v>
      </c>
      <c r="H134" s="31">
        <f t="shared" si="1"/>
        <v>0</v>
      </c>
      <c r="I134" s="31"/>
      <c r="K134" t="s">
        <v>13</v>
      </c>
    </row>
    <row r="135" spans="2:11" ht="13" x14ac:dyDescent="0.15">
      <c r="B135" s="27" t="s">
        <v>207</v>
      </c>
      <c r="C135" s="27" t="s">
        <v>189</v>
      </c>
      <c r="D135" s="30">
        <v>0</v>
      </c>
      <c r="E135" s="30"/>
      <c r="F135" s="30">
        <v>18078.04</v>
      </c>
      <c r="G135" s="30">
        <v>18078.04</v>
      </c>
      <c r="H135" s="30">
        <f t="shared" si="1"/>
        <v>0</v>
      </c>
      <c r="I135" s="30"/>
      <c r="K135" t="s">
        <v>37</v>
      </c>
    </row>
    <row r="136" spans="2:11" ht="13" x14ac:dyDescent="0.15">
      <c r="B136" s="29" t="s">
        <v>208</v>
      </c>
      <c r="C136" s="29" t="s">
        <v>209</v>
      </c>
      <c r="D136" s="31">
        <f>SUMIFS(D137:D3130,K137:K3130,"0",B137:B3130,"1 1 3*")-SUMIFS(E137:E3130,K137:K3130,"0",B137:B3130,"1 1 3*")</f>
        <v>195536.24</v>
      </c>
      <c r="E136"/>
      <c r="F136" s="31">
        <f>SUMIFS(F137:F3130,K137:K3130,"0",B137:B3130,"1 1 3*")</f>
        <v>0</v>
      </c>
      <c r="G136" s="31">
        <f>SUMIFS(G137:G3130,K137:K3130,"0",B137:B3130,"1 1 3*")</f>
        <v>2510.88</v>
      </c>
      <c r="H136" s="31">
        <f t="shared" si="1"/>
        <v>193025.36</v>
      </c>
      <c r="I136" s="31"/>
      <c r="K136" t="s">
        <v>13</v>
      </c>
    </row>
    <row r="137" spans="2:11" ht="22" x14ac:dyDescent="0.15">
      <c r="B137" s="29" t="s">
        <v>210</v>
      </c>
      <c r="C137" s="29" t="s">
        <v>211</v>
      </c>
      <c r="D137" s="31">
        <f>SUMIFS(D138:D3130,K138:K3130,"0",B138:B3130,"1 1 3 1*")-SUMIFS(E138:E3130,K138:K3130,"0",B138:B3130,"1 1 3 1*")</f>
        <v>193025.36</v>
      </c>
      <c r="E137"/>
      <c r="F137" s="31">
        <f>SUMIFS(F138:F3130,K138:K3130,"0",B138:B3130,"1 1 3 1*")</f>
        <v>0</v>
      </c>
      <c r="G137" s="31">
        <f>SUMIFS(G138:G3130,K138:K3130,"0",B138:B3130,"1 1 3 1*")</f>
        <v>0</v>
      </c>
      <c r="H137" s="31">
        <f t="shared" si="1"/>
        <v>193025.36</v>
      </c>
      <c r="I137" s="31"/>
      <c r="K137" t="s">
        <v>13</v>
      </c>
    </row>
    <row r="138" spans="2:11" ht="22" x14ac:dyDescent="0.15">
      <c r="B138" s="29" t="s">
        <v>212</v>
      </c>
      <c r="C138" s="29" t="s">
        <v>211</v>
      </c>
      <c r="D138" s="31">
        <f>SUMIFS(D139:D3130,K139:K3130,"0",B139:B3130,"1 1 3 1 1*")-SUMIFS(E139:E3130,K139:K3130,"0",B139:B3130,"1 1 3 1 1*")</f>
        <v>193025.36</v>
      </c>
      <c r="E138"/>
      <c r="F138" s="31">
        <f>SUMIFS(F139:F3130,K139:K3130,"0",B139:B3130,"1 1 3 1 1*")</f>
        <v>0</v>
      </c>
      <c r="G138" s="31">
        <f>SUMIFS(G139:G3130,K139:K3130,"0",B139:B3130,"1 1 3 1 1*")</f>
        <v>0</v>
      </c>
      <c r="H138" s="31">
        <f t="shared" ref="H138:H201" si="2">D138 + F138 - G138</f>
        <v>193025.36</v>
      </c>
      <c r="I138" s="31"/>
      <c r="K138" t="s">
        <v>13</v>
      </c>
    </row>
    <row r="139" spans="2:11" ht="13" x14ac:dyDescent="0.15">
      <c r="B139" s="29" t="s">
        <v>213</v>
      </c>
      <c r="C139" s="29" t="s">
        <v>24</v>
      </c>
      <c r="D139" s="31">
        <f>SUMIFS(D140:D3130,K140:K3130,"0",B140:B3130,"1 1 3 1 1 12*")-SUMIFS(E140:E3130,K140:K3130,"0",B140:B3130,"1 1 3 1 1 12*")</f>
        <v>193025.36</v>
      </c>
      <c r="E139"/>
      <c r="F139" s="31">
        <f>SUMIFS(F140:F3130,K140:K3130,"0",B140:B3130,"1 1 3 1 1 12*")</f>
        <v>0</v>
      </c>
      <c r="G139" s="31">
        <f>SUMIFS(G140:G3130,K140:K3130,"0",B140:B3130,"1 1 3 1 1 12*")</f>
        <v>0</v>
      </c>
      <c r="H139" s="31">
        <f t="shared" si="2"/>
        <v>193025.36</v>
      </c>
      <c r="I139" s="31"/>
      <c r="K139" t="s">
        <v>13</v>
      </c>
    </row>
    <row r="140" spans="2:11" ht="13" x14ac:dyDescent="0.15">
      <c r="B140" s="29" t="s">
        <v>214</v>
      </c>
      <c r="C140" s="29" t="s">
        <v>26</v>
      </c>
      <c r="D140" s="31">
        <f>SUMIFS(D141:D3130,K141:K3130,"0",B141:B3130,"1 1 3 1 1 12 31111*")-SUMIFS(E141:E3130,K141:K3130,"0",B141:B3130,"1 1 3 1 1 12 31111*")</f>
        <v>193025.36</v>
      </c>
      <c r="E140"/>
      <c r="F140" s="31">
        <f>SUMIFS(F141:F3130,K141:K3130,"0",B141:B3130,"1 1 3 1 1 12 31111*")</f>
        <v>0</v>
      </c>
      <c r="G140" s="31">
        <f>SUMIFS(G141:G3130,K141:K3130,"0",B141:B3130,"1 1 3 1 1 12 31111*")</f>
        <v>0</v>
      </c>
      <c r="H140" s="31">
        <f t="shared" si="2"/>
        <v>193025.36</v>
      </c>
      <c r="I140" s="31"/>
      <c r="K140" t="s">
        <v>13</v>
      </c>
    </row>
    <row r="141" spans="2:11" ht="13" x14ac:dyDescent="0.15">
      <c r="B141" s="29" t="s">
        <v>215</v>
      </c>
      <c r="C141" s="29" t="s">
        <v>28</v>
      </c>
      <c r="D141" s="31">
        <f>SUMIFS(D142:D3130,K142:K3130,"0",B142:B3130,"1 1 3 1 1 12 31111 6*")-SUMIFS(E142:E3130,K142:K3130,"0",B142:B3130,"1 1 3 1 1 12 31111 6*")</f>
        <v>193025.36</v>
      </c>
      <c r="E141"/>
      <c r="F141" s="31">
        <f>SUMIFS(F142:F3130,K142:K3130,"0",B142:B3130,"1 1 3 1 1 12 31111 6*")</f>
        <v>0</v>
      </c>
      <c r="G141" s="31">
        <f>SUMIFS(G142:G3130,K142:K3130,"0",B142:B3130,"1 1 3 1 1 12 31111 6*")</f>
        <v>0</v>
      </c>
      <c r="H141" s="31">
        <f t="shared" si="2"/>
        <v>193025.36</v>
      </c>
      <c r="I141" s="31"/>
      <c r="K141" t="s">
        <v>13</v>
      </c>
    </row>
    <row r="142" spans="2:11" ht="13" x14ac:dyDescent="0.15">
      <c r="B142" s="29" t="s">
        <v>216</v>
      </c>
      <c r="C142" s="29" t="s">
        <v>217</v>
      </c>
      <c r="D142" s="31">
        <f>SUMIFS(D143:D3130,K143:K3130,"0",B143:B3130,"1 1 3 1 1 12 31111 6 M78*")-SUMIFS(E143:E3130,K143:K3130,"0",B143:B3130,"1 1 3 1 1 12 31111 6 M78*")</f>
        <v>193025.36</v>
      </c>
      <c r="E142"/>
      <c r="F142" s="31">
        <f>SUMIFS(F143:F3130,K143:K3130,"0",B143:B3130,"1 1 3 1 1 12 31111 6 M78*")</f>
        <v>0</v>
      </c>
      <c r="G142" s="31">
        <f>SUMIFS(G143:G3130,K143:K3130,"0",B143:B3130,"1 1 3 1 1 12 31111 6 M78*")</f>
        <v>0</v>
      </c>
      <c r="H142" s="31">
        <f t="shared" si="2"/>
        <v>193025.36</v>
      </c>
      <c r="I142" s="31"/>
      <c r="K142" t="s">
        <v>13</v>
      </c>
    </row>
    <row r="143" spans="2:11" ht="13" x14ac:dyDescent="0.15">
      <c r="B143" s="29" t="s">
        <v>218</v>
      </c>
      <c r="C143" s="29" t="s">
        <v>219</v>
      </c>
      <c r="D143" s="31">
        <f>SUMIFS(D144:D3130,K144:K3130,"0",B144:B3130,"1 1 3 1 1 12 31111 6 M78 00003*")-SUMIFS(E144:E3130,K144:K3130,"0",B144:B3130,"1 1 3 1 1 12 31111 6 M78 00003*")</f>
        <v>193025.36</v>
      </c>
      <c r="E143"/>
      <c r="F143" s="31">
        <f>SUMIFS(F144:F3130,K144:K3130,"0",B144:B3130,"1 1 3 1 1 12 31111 6 M78 00003*")</f>
        <v>0</v>
      </c>
      <c r="G143" s="31">
        <f>SUMIFS(G144:G3130,K144:K3130,"0",B144:B3130,"1 1 3 1 1 12 31111 6 M78 00003*")</f>
        <v>0</v>
      </c>
      <c r="H143" s="31">
        <f t="shared" si="2"/>
        <v>193025.36</v>
      </c>
      <c r="I143" s="31"/>
      <c r="K143" t="s">
        <v>13</v>
      </c>
    </row>
    <row r="144" spans="2:11" ht="13" x14ac:dyDescent="0.15">
      <c r="B144" s="29" t="s">
        <v>220</v>
      </c>
      <c r="C144" s="29" t="s">
        <v>221</v>
      </c>
      <c r="D144" s="31">
        <f>SUMIFS(D145:D3130,K145:K3130,"0",B145:B3130,"1 1 3 1 1 12 31111 6 M78 00003 002*")-SUMIFS(E145:E3130,K145:K3130,"0",B145:B3130,"1 1 3 1 1 12 31111 6 M78 00003 002*")</f>
        <v>193025.36</v>
      </c>
      <c r="E144"/>
      <c r="F144" s="31">
        <f>SUMIFS(F145:F3130,K145:K3130,"0",B145:B3130,"1 1 3 1 1 12 31111 6 M78 00003 002*")</f>
        <v>0</v>
      </c>
      <c r="G144" s="31">
        <f>SUMIFS(G145:G3130,K145:K3130,"0",B145:B3130,"1 1 3 1 1 12 31111 6 M78 00003 002*")</f>
        <v>0</v>
      </c>
      <c r="H144" s="31">
        <f t="shared" si="2"/>
        <v>193025.36</v>
      </c>
      <c r="I144" s="31"/>
      <c r="K144" t="s">
        <v>13</v>
      </c>
    </row>
    <row r="145" spans="2:11" ht="13" x14ac:dyDescent="0.15">
      <c r="B145" s="27" t="s">
        <v>222</v>
      </c>
      <c r="C145" s="27" t="s">
        <v>223</v>
      </c>
      <c r="D145" s="30">
        <v>193025.36</v>
      </c>
      <c r="E145" s="30"/>
      <c r="F145" s="30">
        <v>0</v>
      </c>
      <c r="G145" s="30">
        <v>0</v>
      </c>
      <c r="H145" s="30">
        <f t="shared" si="2"/>
        <v>193025.36</v>
      </c>
      <c r="I145" s="30"/>
      <c r="K145" t="s">
        <v>37</v>
      </c>
    </row>
    <row r="146" spans="2:11" ht="13" x14ac:dyDescent="0.15">
      <c r="B146" s="29" t="s">
        <v>224</v>
      </c>
      <c r="C146" s="29" t="s">
        <v>225</v>
      </c>
      <c r="D146" s="31">
        <f>SUMIFS(D147:D3130,K147:K3130,"0",B147:B3130,"1 1 3 4*")-SUMIFS(E147:E3130,K147:K3130,"0",B147:B3130,"1 1 3 4*")</f>
        <v>2510.88</v>
      </c>
      <c r="E146"/>
      <c r="F146" s="31">
        <f>SUMIFS(F147:F3130,K147:K3130,"0",B147:B3130,"1 1 3 4*")</f>
        <v>0</v>
      </c>
      <c r="G146" s="31">
        <f>SUMIFS(G147:G3130,K147:K3130,"0",B147:B3130,"1 1 3 4*")</f>
        <v>2510.88</v>
      </c>
      <c r="H146" s="31">
        <f t="shared" si="2"/>
        <v>0</v>
      </c>
      <c r="I146" s="31"/>
      <c r="K146" t="s">
        <v>13</v>
      </c>
    </row>
    <row r="147" spans="2:11" ht="22" x14ac:dyDescent="0.15">
      <c r="B147" s="29" t="s">
        <v>226</v>
      </c>
      <c r="C147" s="29" t="s">
        <v>227</v>
      </c>
      <c r="D147" s="31">
        <f>SUMIFS(D148:D3130,K148:K3130,"0",B148:B3130,"1 1 3 4 1*")-SUMIFS(E148:E3130,K148:K3130,"0",B148:B3130,"1 1 3 4 1*")</f>
        <v>2510.88</v>
      </c>
      <c r="E147"/>
      <c r="F147" s="31">
        <f>SUMIFS(F148:F3130,K148:K3130,"0",B148:B3130,"1 1 3 4 1*")</f>
        <v>0</v>
      </c>
      <c r="G147" s="31">
        <f>SUMIFS(G148:G3130,K148:K3130,"0",B148:B3130,"1 1 3 4 1*")</f>
        <v>2510.88</v>
      </c>
      <c r="H147" s="31">
        <f t="shared" si="2"/>
        <v>0</v>
      </c>
      <c r="I147" s="31"/>
      <c r="K147" t="s">
        <v>13</v>
      </c>
    </row>
    <row r="148" spans="2:11" ht="13" x14ac:dyDescent="0.15">
      <c r="B148" s="29" t="s">
        <v>228</v>
      </c>
      <c r="C148" s="29" t="s">
        <v>24</v>
      </c>
      <c r="D148" s="31">
        <f>SUMIFS(D149:D3130,K149:K3130,"0",B149:B3130,"1 1 3 4 1 12*")-SUMIFS(E149:E3130,K149:K3130,"0",B149:B3130,"1 1 3 4 1 12*")</f>
        <v>2510.88</v>
      </c>
      <c r="E148"/>
      <c r="F148" s="31">
        <f>SUMIFS(F149:F3130,K149:K3130,"0",B149:B3130,"1 1 3 4 1 12*")</f>
        <v>0</v>
      </c>
      <c r="G148" s="31">
        <f>SUMIFS(G149:G3130,K149:K3130,"0",B149:B3130,"1 1 3 4 1 12*")</f>
        <v>2510.88</v>
      </c>
      <c r="H148" s="31">
        <f t="shared" si="2"/>
        <v>0</v>
      </c>
      <c r="I148" s="31"/>
      <c r="K148" t="s">
        <v>13</v>
      </c>
    </row>
    <row r="149" spans="2:11" ht="13" x14ac:dyDescent="0.15">
      <c r="B149" s="29" t="s">
        <v>229</v>
      </c>
      <c r="C149" s="29" t="s">
        <v>26</v>
      </c>
      <c r="D149" s="31">
        <f>SUMIFS(D150:D3130,K150:K3130,"0",B150:B3130,"1 1 3 4 1 12 31111*")-SUMIFS(E150:E3130,K150:K3130,"0",B150:B3130,"1 1 3 4 1 12 31111*")</f>
        <v>2510.88</v>
      </c>
      <c r="E149"/>
      <c r="F149" s="31">
        <f>SUMIFS(F150:F3130,K150:K3130,"0",B150:B3130,"1 1 3 4 1 12 31111*")</f>
        <v>0</v>
      </c>
      <c r="G149" s="31">
        <f>SUMIFS(G150:G3130,K150:K3130,"0",B150:B3130,"1 1 3 4 1 12 31111*")</f>
        <v>2510.88</v>
      </c>
      <c r="H149" s="31">
        <f t="shared" si="2"/>
        <v>0</v>
      </c>
      <c r="I149" s="31"/>
      <c r="K149" t="s">
        <v>13</v>
      </c>
    </row>
    <row r="150" spans="2:11" ht="13" x14ac:dyDescent="0.15">
      <c r="B150" s="29" t="s">
        <v>230</v>
      </c>
      <c r="C150" s="29" t="s">
        <v>28</v>
      </c>
      <c r="D150" s="31">
        <f>SUMIFS(D151:D3130,K151:K3130,"0",B151:B3130,"1 1 3 4 1 12 31111 6*")-SUMIFS(E151:E3130,K151:K3130,"0",B151:B3130,"1 1 3 4 1 12 31111 6*")</f>
        <v>2510.88</v>
      </c>
      <c r="E150"/>
      <c r="F150" s="31">
        <f>SUMIFS(F151:F3130,K151:K3130,"0",B151:B3130,"1 1 3 4 1 12 31111 6*")</f>
        <v>0</v>
      </c>
      <c r="G150" s="31">
        <f>SUMIFS(G151:G3130,K151:K3130,"0",B151:B3130,"1 1 3 4 1 12 31111 6*")</f>
        <v>2510.88</v>
      </c>
      <c r="H150" s="31">
        <f t="shared" si="2"/>
        <v>0</v>
      </c>
      <c r="I150" s="31"/>
      <c r="K150" t="s">
        <v>13</v>
      </c>
    </row>
    <row r="151" spans="2:11" ht="13" x14ac:dyDescent="0.15">
      <c r="B151" s="29" t="s">
        <v>231</v>
      </c>
      <c r="C151" s="29" t="s">
        <v>30</v>
      </c>
      <c r="D151" s="31">
        <f>SUMIFS(D152:D3130,K152:K3130,"0",B152:B3130,"1 1 3 4 1 12 31111 6 M78*")-SUMIFS(E152:E3130,K152:K3130,"0",B152:B3130,"1 1 3 4 1 12 31111 6 M78*")</f>
        <v>2510.88</v>
      </c>
      <c r="E151"/>
      <c r="F151" s="31">
        <f>SUMIFS(F152:F3130,K152:K3130,"0",B152:B3130,"1 1 3 4 1 12 31111 6 M78*")</f>
        <v>0</v>
      </c>
      <c r="G151" s="31">
        <f>SUMIFS(G152:G3130,K152:K3130,"0",B152:B3130,"1 1 3 4 1 12 31111 6 M78*")</f>
        <v>2510.88</v>
      </c>
      <c r="H151" s="31">
        <f t="shared" si="2"/>
        <v>0</v>
      </c>
      <c r="I151" s="31"/>
      <c r="K151" t="s">
        <v>13</v>
      </c>
    </row>
    <row r="152" spans="2:11" ht="13" x14ac:dyDescent="0.15">
      <c r="B152" s="29" t="s">
        <v>232</v>
      </c>
      <c r="C152" s="29" t="s">
        <v>43</v>
      </c>
      <c r="D152" s="31">
        <f>SUMIFS(D153:D3130,K153:K3130,"0",B153:B3130,"1 1 3 4 1 12 31111 6 M78 00002*")-SUMIFS(E153:E3130,K153:K3130,"0",B153:B3130,"1 1 3 4 1 12 31111 6 M78 00002*")</f>
        <v>2510.88</v>
      </c>
      <c r="E152"/>
      <c r="F152" s="31">
        <f>SUMIFS(F153:F3130,K153:K3130,"0",B153:B3130,"1 1 3 4 1 12 31111 6 M78 00002*")</f>
        <v>0</v>
      </c>
      <c r="G152" s="31">
        <f>SUMIFS(G153:G3130,K153:K3130,"0",B153:B3130,"1 1 3 4 1 12 31111 6 M78 00002*")</f>
        <v>2510.88</v>
      </c>
      <c r="H152" s="31">
        <f t="shared" si="2"/>
        <v>0</v>
      </c>
      <c r="I152" s="31"/>
      <c r="K152" t="s">
        <v>13</v>
      </c>
    </row>
    <row r="153" spans="2:11" ht="13" x14ac:dyDescent="0.15">
      <c r="B153" s="29" t="s">
        <v>233</v>
      </c>
      <c r="C153" s="29" t="s">
        <v>130</v>
      </c>
      <c r="D153" s="31">
        <f>SUMIFS(D154:D3130,K154:K3130,"0",B154:B3130,"1 1 3 4 1 12 31111 6 M78 00002 002*")-SUMIFS(E154:E3130,K154:K3130,"0",B154:B3130,"1 1 3 4 1 12 31111 6 M78 00002 002*")</f>
        <v>2510.88</v>
      </c>
      <c r="E153"/>
      <c r="F153" s="31">
        <f>SUMIFS(F154:F3130,K154:K3130,"0",B154:B3130,"1 1 3 4 1 12 31111 6 M78 00002 002*")</f>
        <v>0</v>
      </c>
      <c r="G153" s="31">
        <f>SUMIFS(G154:G3130,K154:K3130,"0",B154:B3130,"1 1 3 4 1 12 31111 6 M78 00002 002*")</f>
        <v>2510.88</v>
      </c>
      <c r="H153" s="31">
        <f t="shared" si="2"/>
        <v>0</v>
      </c>
      <c r="I153" s="31"/>
      <c r="K153" t="s">
        <v>13</v>
      </c>
    </row>
    <row r="154" spans="2:11" ht="13" x14ac:dyDescent="0.15">
      <c r="B154" s="27" t="s">
        <v>234</v>
      </c>
      <c r="C154" s="27" t="s">
        <v>235</v>
      </c>
      <c r="D154" s="30">
        <v>2510.88</v>
      </c>
      <c r="E154" s="30"/>
      <c r="F154" s="30">
        <v>0</v>
      </c>
      <c r="G154" s="30">
        <v>2510.88</v>
      </c>
      <c r="H154" s="30">
        <f t="shared" si="2"/>
        <v>0</v>
      </c>
      <c r="I154" s="30"/>
      <c r="K154" t="s">
        <v>37</v>
      </c>
    </row>
    <row r="155" spans="2:11" ht="13" x14ac:dyDescent="0.15">
      <c r="B155" s="29" t="s">
        <v>236</v>
      </c>
      <c r="C155" s="29" t="s">
        <v>237</v>
      </c>
      <c r="D155" s="31">
        <f>SUMIFS(D156:D3130,K156:K3130,"0",B156:B3130,"1 1 4*")-SUMIFS(E156:E3130,K156:K3130,"0",B156:B3130,"1 1 4*")</f>
        <v>0</v>
      </c>
      <c r="E155"/>
      <c r="F155" s="31">
        <f>SUMIFS(F156:F3130,K156:K3130,"0",B156:B3130,"1 1 4*")</f>
        <v>0</v>
      </c>
      <c r="G155" s="31">
        <f>SUMIFS(G156:G3130,K156:K3130,"0",B156:B3130,"1 1 4*")</f>
        <v>0</v>
      </c>
      <c r="H155" s="31">
        <f t="shared" si="2"/>
        <v>0</v>
      </c>
      <c r="I155" s="31"/>
      <c r="K155" t="s">
        <v>13</v>
      </c>
    </row>
    <row r="156" spans="2:11" ht="13" x14ac:dyDescent="0.15">
      <c r="B156" s="29" t="s">
        <v>238</v>
      </c>
      <c r="C156" s="29" t="s">
        <v>239</v>
      </c>
      <c r="D156" s="31">
        <f>SUMIFS(D157:D3130,K157:K3130,"0",B157:B3130,"1 1 5*")-SUMIFS(E157:E3130,K157:K3130,"0",B157:B3130,"1 1 5*")</f>
        <v>0</v>
      </c>
      <c r="E156"/>
      <c r="F156" s="31">
        <f>SUMIFS(F157:F3130,K157:K3130,"0",B157:B3130,"1 1 5*")</f>
        <v>0</v>
      </c>
      <c r="G156" s="31">
        <f>SUMIFS(G157:G3130,K157:K3130,"0",B157:B3130,"1 1 5*")</f>
        <v>0</v>
      </c>
      <c r="H156" s="31">
        <f t="shared" si="2"/>
        <v>0</v>
      </c>
      <c r="I156" s="31"/>
      <c r="K156" t="s">
        <v>13</v>
      </c>
    </row>
    <row r="157" spans="2:11" ht="13" x14ac:dyDescent="0.15">
      <c r="B157" s="29" t="s">
        <v>240</v>
      </c>
      <c r="C157" s="29" t="s">
        <v>241</v>
      </c>
      <c r="D157" s="31">
        <f>SUMIFS(D158:D3130,K158:K3130,"0",B158:B3130,"1 1 6*")-SUMIFS(E158:E3130,K158:K3130,"0",B158:B3130,"1 1 6*")</f>
        <v>0</v>
      </c>
      <c r="E157"/>
      <c r="F157" s="31">
        <f>SUMIFS(F158:F3130,K158:K3130,"0",B158:B3130,"1 1 6*")</f>
        <v>0</v>
      </c>
      <c r="G157" s="31">
        <f>SUMIFS(G158:G3130,K158:K3130,"0",B158:B3130,"1 1 6*")</f>
        <v>0</v>
      </c>
      <c r="H157" s="31">
        <f t="shared" si="2"/>
        <v>0</v>
      </c>
      <c r="I157" s="31"/>
      <c r="K157" t="s">
        <v>13</v>
      </c>
    </row>
    <row r="158" spans="2:11" ht="13" x14ac:dyDescent="0.15">
      <c r="B158" s="29" t="s">
        <v>242</v>
      </c>
      <c r="C158" s="29" t="s">
        <v>243</v>
      </c>
      <c r="D158" s="31">
        <f>SUMIFS(D159:D3130,K159:K3130,"0",B159:B3130,"1 1 9*")-SUMIFS(E159:E3130,K159:K3130,"0",B159:B3130,"1 1 9*")</f>
        <v>0</v>
      </c>
      <c r="E158"/>
      <c r="F158" s="31">
        <f>SUMIFS(F159:F3130,K159:K3130,"0",B159:B3130,"1 1 9*")</f>
        <v>0</v>
      </c>
      <c r="G158" s="31">
        <f>SUMIFS(G159:G3130,K159:K3130,"0",B159:B3130,"1 1 9*")</f>
        <v>0</v>
      </c>
      <c r="H158" s="31">
        <f t="shared" si="2"/>
        <v>0</v>
      </c>
      <c r="I158" s="31"/>
      <c r="K158" t="s">
        <v>13</v>
      </c>
    </row>
    <row r="159" spans="2:11" ht="13" x14ac:dyDescent="0.15">
      <c r="B159" s="29" t="s">
        <v>244</v>
      </c>
      <c r="C159" s="29" t="s">
        <v>245</v>
      </c>
      <c r="D159" s="31">
        <f>SUMIFS(D160:D3130,K160:K3130,"0",B160:B3130,"1 2*")-SUMIFS(E160:E3130,K160:K3130,"0",B160:B3130,"1 2*")</f>
        <v>5818306.2300000014</v>
      </c>
      <c r="E159"/>
      <c r="F159" s="31">
        <f>SUMIFS(F160:F3130,K160:K3130,"0",B160:B3130,"1 2*")</f>
        <v>69459817.089999989</v>
      </c>
      <c r="G159" s="31">
        <f>SUMIFS(G160:G3130,K160:K3130,"0",B160:B3130,"1 2*")</f>
        <v>2032708.53</v>
      </c>
      <c r="H159" s="31">
        <f t="shared" si="2"/>
        <v>73245414.789999992</v>
      </c>
      <c r="I159" s="31"/>
      <c r="K159" t="s">
        <v>13</v>
      </c>
    </row>
    <row r="160" spans="2:11" ht="13" x14ac:dyDescent="0.15">
      <c r="B160" s="29" t="s">
        <v>246</v>
      </c>
      <c r="C160" s="29" t="s">
        <v>247</v>
      </c>
      <c r="D160" s="31">
        <f>SUMIFS(D161:D3130,K161:K3130,"0",B161:B3130,"1 2 1*")-SUMIFS(E161:E3130,K161:K3130,"0",B161:B3130,"1 2 1*")</f>
        <v>0</v>
      </c>
      <c r="E160"/>
      <c r="F160" s="31">
        <f>SUMIFS(F161:F3130,K161:K3130,"0",B161:B3130,"1 2 1*")</f>
        <v>0</v>
      </c>
      <c r="G160" s="31">
        <f>SUMIFS(G161:G3130,K161:K3130,"0",B161:B3130,"1 2 1*")</f>
        <v>0</v>
      </c>
      <c r="H160" s="31">
        <f t="shared" si="2"/>
        <v>0</v>
      </c>
      <c r="I160" s="31"/>
      <c r="K160" t="s">
        <v>13</v>
      </c>
    </row>
    <row r="161" spans="2:11" ht="13" x14ac:dyDescent="0.15">
      <c r="B161" s="29" t="s">
        <v>248</v>
      </c>
      <c r="C161" s="29" t="s">
        <v>249</v>
      </c>
      <c r="D161" s="31">
        <f>SUMIFS(D162:D3130,K162:K3130,"0",B162:B3130,"1 2 2*")-SUMIFS(E162:E3130,K162:K3130,"0",B162:B3130,"1 2 2*")</f>
        <v>0</v>
      </c>
      <c r="E161"/>
      <c r="F161" s="31">
        <f>SUMIFS(F162:F3130,K162:K3130,"0",B162:B3130,"1 2 2*")</f>
        <v>0</v>
      </c>
      <c r="G161" s="31">
        <f>SUMIFS(G162:G3130,K162:K3130,"0",B162:B3130,"1 2 2*")</f>
        <v>0</v>
      </c>
      <c r="H161" s="31">
        <f t="shared" si="2"/>
        <v>0</v>
      </c>
      <c r="I161" s="31"/>
      <c r="K161" t="s">
        <v>13</v>
      </c>
    </row>
    <row r="162" spans="2:11" ht="13" x14ac:dyDescent="0.15">
      <c r="B162" s="29" t="s">
        <v>250</v>
      </c>
      <c r="C162" s="29" t="s">
        <v>251</v>
      </c>
      <c r="D162" s="31">
        <f>SUMIFS(D163:D3130,K163:K3130,"0",B163:B3130,"1 2 3*")-SUMIFS(E163:E3130,K163:K3130,"0",B163:B3130,"1 2 3*")</f>
        <v>0</v>
      </c>
      <c r="E162"/>
      <c r="F162" s="31">
        <f>SUMIFS(F163:F3130,K163:K3130,"0",B163:B3130,"1 2 3*")</f>
        <v>68529431.089999989</v>
      </c>
      <c r="G162" s="31">
        <f>SUMIFS(G163:G3130,K163:K3130,"0",B163:B3130,"1 2 3*")</f>
        <v>0</v>
      </c>
      <c r="H162" s="31">
        <f t="shared" si="2"/>
        <v>68529431.089999989</v>
      </c>
      <c r="I162" s="31"/>
      <c r="K162" t="s">
        <v>13</v>
      </c>
    </row>
    <row r="163" spans="2:11" ht="13" x14ac:dyDescent="0.15">
      <c r="B163" s="29" t="s">
        <v>252</v>
      </c>
      <c r="C163" s="29" t="s">
        <v>253</v>
      </c>
      <c r="D163" s="31">
        <f>SUMIFS(D164:D3130,K164:K3130,"0",B164:B3130,"1 2 3 5*")-SUMIFS(E164:E3130,K164:K3130,"0",B164:B3130,"1 2 3 5*")</f>
        <v>0</v>
      </c>
      <c r="E163"/>
      <c r="F163" s="31">
        <f>SUMIFS(F164:F3130,K164:K3130,"0",B164:B3130,"1 2 3 5*")</f>
        <v>68529431.089999989</v>
      </c>
      <c r="G163" s="31">
        <f>SUMIFS(G164:G3130,K164:K3130,"0",B164:B3130,"1 2 3 5*")</f>
        <v>0</v>
      </c>
      <c r="H163" s="31">
        <f t="shared" si="2"/>
        <v>68529431.089999989</v>
      </c>
      <c r="I163" s="31"/>
      <c r="K163" t="s">
        <v>13</v>
      </c>
    </row>
    <row r="164" spans="2:11" ht="13" x14ac:dyDescent="0.15">
      <c r="B164" s="29" t="s">
        <v>254</v>
      </c>
      <c r="C164" s="29" t="s">
        <v>255</v>
      </c>
      <c r="D164" s="31">
        <f>SUMIFS(D165:D3130,K165:K3130,"0",B165:B3130,"1 2 3 5 2*")-SUMIFS(E165:E3130,K165:K3130,"0",B165:B3130,"1 2 3 5 2*")</f>
        <v>0</v>
      </c>
      <c r="E164"/>
      <c r="F164" s="31">
        <f>SUMIFS(F165:F3130,K165:K3130,"0",B165:B3130,"1 2 3 5 2*")</f>
        <v>11802779.359999999</v>
      </c>
      <c r="G164" s="31">
        <f>SUMIFS(G165:G3130,K165:K3130,"0",B165:B3130,"1 2 3 5 2*")</f>
        <v>0</v>
      </c>
      <c r="H164" s="31">
        <f t="shared" si="2"/>
        <v>11802779.359999999</v>
      </c>
      <c r="I164" s="31"/>
      <c r="K164" t="s">
        <v>13</v>
      </c>
    </row>
    <row r="165" spans="2:11" ht="13" x14ac:dyDescent="0.15">
      <c r="B165" s="29" t="s">
        <v>256</v>
      </c>
      <c r="C165" s="29" t="s">
        <v>24</v>
      </c>
      <c r="D165" s="31">
        <f>SUMIFS(D166:D3130,K166:K3130,"0",B166:B3130,"1 2 3 5 2 12*")-SUMIFS(E166:E3130,K166:K3130,"0",B166:B3130,"1 2 3 5 2 12*")</f>
        <v>0</v>
      </c>
      <c r="E165"/>
      <c r="F165" s="31">
        <f>SUMIFS(F166:F3130,K166:K3130,"0",B166:B3130,"1 2 3 5 2 12*")</f>
        <v>11802779.359999999</v>
      </c>
      <c r="G165" s="31">
        <f>SUMIFS(G166:G3130,K166:K3130,"0",B166:B3130,"1 2 3 5 2 12*")</f>
        <v>0</v>
      </c>
      <c r="H165" s="31">
        <f t="shared" si="2"/>
        <v>11802779.359999999</v>
      </c>
      <c r="I165" s="31"/>
      <c r="K165" t="s">
        <v>13</v>
      </c>
    </row>
    <row r="166" spans="2:11" ht="13" x14ac:dyDescent="0.15">
      <c r="B166" s="29" t="s">
        <v>257</v>
      </c>
      <c r="C166" s="29" t="s">
        <v>26</v>
      </c>
      <c r="D166" s="31">
        <f>SUMIFS(D167:D3130,K167:K3130,"0",B167:B3130,"1 2 3 5 2 12 31111*")-SUMIFS(E167:E3130,K167:K3130,"0",B167:B3130,"1 2 3 5 2 12 31111*")</f>
        <v>0</v>
      </c>
      <c r="E166"/>
      <c r="F166" s="31">
        <f>SUMIFS(F167:F3130,K167:K3130,"0",B167:B3130,"1 2 3 5 2 12 31111*")</f>
        <v>11802779.359999999</v>
      </c>
      <c r="G166" s="31">
        <f>SUMIFS(G167:G3130,K167:K3130,"0",B167:B3130,"1 2 3 5 2 12 31111*")</f>
        <v>0</v>
      </c>
      <c r="H166" s="31">
        <f t="shared" si="2"/>
        <v>11802779.359999999</v>
      </c>
      <c r="I166" s="31"/>
      <c r="K166" t="s">
        <v>13</v>
      </c>
    </row>
    <row r="167" spans="2:11" ht="13" x14ac:dyDescent="0.15">
      <c r="B167" s="29" t="s">
        <v>258</v>
      </c>
      <c r="C167" s="29" t="s">
        <v>28</v>
      </c>
      <c r="D167" s="31">
        <f>SUMIFS(D168:D3130,K168:K3130,"0",B168:B3130,"1 2 3 5 2 12 31111 6*")-SUMIFS(E168:E3130,K168:K3130,"0",B168:B3130,"1 2 3 5 2 12 31111 6*")</f>
        <v>0</v>
      </c>
      <c r="E167"/>
      <c r="F167" s="31">
        <f>SUMIFS(F168:F3130,K168:K3130,"0",B168:B3130,"1 2 3 5 2 12 31111 6*")</f>
        <v>11802779.359999999</v>
      </c>
      <c r="G167" s="31">
        <f>SUMIFS(G168:G3130,K168:K3130,"0",B168:B3130,"1 2 3 5 2 12 31111 6*")</f>
        <v>0</v>
      </c>
      <c r="H167" s="31">
        <f t="shared" si="2"/>
        <v>11802779.359999999</v>
      </c>
      <c r="I167" s="31"/>
      <c r="K167" t="s">
        <v>13</v>
      </c>
    </row>
    <row r="168" spans="2:11" ht="13" x14ac:dyDescent="0.15">
      <c r="B168" s="29" t="s">
        <v>259</v>
      </c>
      <c r="C168" s="29" t="s">
        <v>217</v>
      </c>
      <c r="D168" s="31">
        <f>SUMIFS(D169:D3130,K169:K3130,"0",B169:B3130,"1 2 3 5 2 12 31111 6 M78*")-SUMIFS(E169:E3130,K169:K3130,"0",B169:B3130,"1 2 3 5 2 12 31111 6 M78*")</f>
        <v>0</v>
      </c>
      <c r="E168"/>
      <c r="F168" s="31">
        <f>SUMIFS(F169:F3130,K169:K3130,"0",B169:B3130,"1 2 3 5 2 12 31111 6 M78*")</f>
        <v>11802779.359999999</v>
      </c>
      <c r="G168" s="31">
        <f>SUMIFS(G169:G3130,K169:K3130,"0",B169:B3130,"1 2 3 5 2 12 31111 6 M78*")</f>
        <v>0</v>
      </c>
      <c r="H168" s="31">
        <f t="shared" si="2"/>
        <v>11802779.359999999</v>
      </c>
      <c r="I168" s="31"/>
      <c r="K168" t="s">
        <v>13</v>
      </c>
    </row>
    <row r="169" spans="2:11" ht="13" x14ac:dyDescent="0.15">
      <c r="B169" s="29" t="s">
        <v>260</v>
      </c>
      <c r="C169" s="29" t="s">
        <v>261</v>
      </c>
      <c r="D169" s="31">
        <f>SUMIFS(D170:D3130,K170:K3130,"0",B170:B3130,"1 2 3 5 2 12 31111 6 M78 09000*")-SUMIFS(E170:E3130,K170:K3130,"0",B170:B3130,"1 2 3 5 2 12 31111 6 M78 09000*")</f>
        <v>0</v>
      </c>
      <c r="E169"/>
      <c r="F169" s="31">
        <f>SUMIFS(F170:F3130,K170:K3130,"0",B170:B3130,"1 2 3 5 2 12 31111 6 M78 09000*")</f>
        <v>350000</v>
      </c>
      <c r="G169" s="31">
        <f>SUMIFS(G170:G3130,K170:K3130,"0",B170:B3130,"1 2 3 5 2 12 31111 6 M78 09000*")</f>
        <v>0</v>
      </c>
      <c r="H169" s="31">
        <f t="shared" si="2"/>
        <v>350000</v>
      </c>
      <c r="I169" s="31"/>
      <c r="K169" t="s">
        <v>13</v>
      </c>
    </row>
    <row r="170" spans="2:11" ht="13" x14ac:dyDescent="0.15">
      <c r="B170" s="29" t="s">
        <v>262</v>
      </c>
      <c r="C170" s="29" t="s">
        <v>263</v>
      </c>
      <c r="D170" s="31">
        <f>SUMIFS(D171:D3130,K171:K3130,"0",B171:B3130,"1 2 3 5 2 12 31111 6 M78 09000 134*")-SUMIFS(E171:E3130,K171:K3130,"0",B171:B3130,"1 2 3 5 2 12 31111 6 M78 09000 134*")</f>
        <v>0</v>
      </c>
      <c r="E170"/>
      <c r="F170" s="31">
        <f>SUMIFS(F171:F3130,K171:K3130,"0",B171:B3130,"1 2 3 5 2 12 31111 6 M78 09000 134*")</f>
        <v>350000</v>
      </c>
      <c r="G170" s="31">
        <f>SUMIFS(G171:G3130,K171:K3130,"0",B171:B3130,"1 2 3 5 2 12 31111 6 M78 09000 134*")</f>
        <v>0</v>
      </c>
      <c r="H170" s="31">
        <f t="shared" si="2"/>
        <v>350000</v>
      </c>
      <c r="I170" s="31"/>
      <c r="K170" t="s">
        <v>13</v>
      </c>
    </row>
    <row r="171" spans="2:11" ht="13" x14ac:dyDescent="0.15">
      <c r="B171" s="29" t="s">
        <v>264</v>
      </c>
      <c r="C171" s="29" t="s">
        <v>265</v>
      </c>
      <c r="D171" s="31">
        <f>SUMIFS(D172:D3130,K172:K3130,"0",B172:B3130,"1 2 3 5 2 12 31111 6 M78 09000 134 00C*")-SUMIFS(E172:E3130,K172:K3130,"0",B172:B3130,"1 2 3 5 2 12 31111 6 M78 09000 134 00C*")</f>
        <v>0</v>
      </c>
      <c r="E171"/>
      <c r="F171" s="31">
        <f>SUMIFS(F172:F3130,K172:K3130,"0",B172:B3130,"1 2 3 5 2 12 31111 6 M78 09000 134 00C*")</f>
        <v>350000</v>
      </c>
      <c r="G171" s="31">
        <f>SUMIFS(G172:G3130,K172:K3130,"0",B172:B3130,"1 2 3 5 2 12 31111 6 M78 09000 134 00C*")</f>
        <v>0</v>
      </c>
      <c r="H171" s="31">
        <f t="shared" si="2"/>
        <v>350000</v>
      </c>
      <c r="I171" s="31"/>
      <c r="K171" t="s">
        <v>13</v>
      </c>
    </row>
    <row r="172" spans="2:11" ht="13" x14ac:dyDescent="0.15">
      <c r="B172" s="29" t="s">
        <v>266</v>
      </c>
      <c r="C172" s="29" t="s">
        <v>267</v>
      </c>
      <c r="D172" s="31">
        <f>SUMIFS(D173:D3130,K173:K3130,"0",B173:B3130,"1 2 3 5 2 12 31111 6 M78 09000 134 00C 002*")-SUMIFS(E173:E3130,K173:K3130,"0",B173:B3130,"1 2 3 5 2 12 31111 6 M78 09000 134 00C 002*")</f>
        <v>0</v>
      </c>
      <c r="E172"/>
      <c r="F172" s="31">
        <f>SUMIFS(F173:F3130,K173:K3130,"0",B173:B3130,"1 2 3 5 2 12 31111 6 M78 09000 134 00C 002*")</f>
        <v>350000</v>
      </c>
      <c r="G172" s="31">
        <f>SUMIFS(G173:G3130,K173:K3130,"0",B173:B3130,"1 2 3 5 2 12 31111 6 M78 09000 134 00C 002*")</f>
        <v>0</v>
      </c>
      <c r="H172" s="31">
        <f t="shared" si="2"/>
        <v>350000</v>
      </c>
      <c r="I172" s="31"/>
      <c r="K172" t="s">
        <v>13</v>
      </c>
    </row>
    <row r="173" spans="2:11" ht="13" x14ac:dyDescent="0.15">
      <c r="B173" s="29" t="s">
        <v>268</v>
      </c>
      <c r="C173" s="29" t="s">
        <v>269</v>
      </c>
      <c r="D173" s="31">
        <f>SUMIFS(D174:D3130,K174:K3130,"0",B174:B3130,"1 2 3 5 2 12 31111 6 M78 09000 134 00C 002 61200*")-SUMIFS(E174:E3130,K174:K3130,"0",B174:B3130,"1 2 3 5 2 12 31111 6 M78 09000 134 00C 002 61200*")</f>
        <v>0</v>
      </c>
      <c r="E173"/>
      <c r="F173" s="31">
        <f>SUMIFS(F174:F3130,K174:K3130,"0",B174:B3130,"1 2 3 5 2 12 31111 6 M78 09000 134 00C 002 61200*")</f>
        <v>350000</v>
      </c>
      <c r="G173" s="31">
        <f>SUMIFS(G174:G3130,K174:K3130,"0",B174:B3130,"1 2 3 5 2 12 31111 6 M78 09000 134 00C 002 61200*")</f>
        <v>0</v>
      </c>
      <c r="H173" s="31">
        <f t="shared" si="2"/>
        <v>350000</v>
      </c>
      <c r="I173" s="31"/>
      <c r="K173" t="s">
        <v>13</v>
      </c>
    </row>
    <row r="174" spans="2:11" ht="22" x14ac:dyDescent="0.15">
      <c r="B174" s="29" t="s">
        <v>270</v>
      </c>
      <c r="C174" s="29" t="s">
        <v>271</v>
      </c>
      <c r="D174" s="31">
        <f>SUMIFS(D175:D3130,K175:K3130,"0",B175:B3130,"1 2 3 5 2 12 31111 6 M78 09000 134 00C 002 61200 015*")-SUMIFS(E175:E3130,K175:K3130,"0",B175:B3130,"1 2 3 5 2 12 31111 6 M78 09000 134 00C 002 61200 015*")</f>
        <v>0</v>
      </c>
      <c r="E174"/>
      <c r="F174" s="31">
        <f>SUMIFS(F175:F3130,K175:K3130,"0",B175:B3130,"1 2 3 5 2 12 31111 6 M78 09000 134 00C 002 61200 015*")</f>
        <v>350000</v>
      </c>
      <c r="G174" s="31">
        <f>SUMIFS(G175:G3130,K175:K3130,"0",B175:B3130,"1 2 3 5 2 12 31111 6 M78 09000 134 00C 002 61200 015*")</f>
        <v>0</v>
      </c>
      <c r="H174" s="31">
        <f t="shared" si="2"/>
        <v>350000</v>
      </c>
      <c r="I174" s="31"/>
      <c r="K174" t="s">
        <v>13</v>
      </c>
    </row>
    <row r="175" spans="2:11" ht="22" x14ac:dyDescent="0.15">
      <c r="B175" s="29" t="s">
        <v>272</v>
      </c>
      <c r="C175" s="29" t="s">
        <v>273</v>
      </c>
      <c r="D175" s="31">
        <f>SUMIFS(D176:D3130,K176:K3130,"0",B176:B3130,"1 2 3 5 2 12 31111 6 M78 09000 134 00C 002 61200 015 2210000*")-SUMIFS(E176:E3130,K176:K3130,"0",B176:B3130,"1 2 3 5 2 12 31111 6 M78 09000 134 00C 002 61200 015 2210000*")</f>
        <v>0</v>
      </c>
      <c r="E175"/>
      <c r="F175" s="31">
        <f>SUMIFS(F176:F3130,K176:K3130,"0",B176:B3130,"1 2 3 5 2 12 31111 6 M78 09000 134 00C 002 61200 015 2210000*")</f>
        <v>350000</v>
      </c>
      <c r="G175" s="31">
        <f>SUMIFS(G176:G3130,K176:K3130,"0",B176:B3130,"1 2 3 5 2 12 31111 6 M78 09000 134 00C 002 61200 015 2210000*")</f>
        <v>0</v>
      </c>
      <c r="H175" s="31">
        <f t="shared" si="2"/>
        <v>350000</v>
      </c>
      <c r="I175" s="31"/>
      <c r="K175" t="s">
        <v>13</v>
      </c>
    </row>
    <row r="176" spans="2:11" ht="22" x14ac:dyDescent="0.15">
      <c r="B176" s="29" t="s">
        <v>274</v>
      </c>
      <c r="C176" s="29" t="s">
        <v>275</v>
      </c>
      <c r="D176" s="31">
        <f>SUMIFS(D177:D3130,K177:K3130,"0",B177:B3130,"1 2 3 5 2 12 31111 6 M78 09000 134 00C 002 61200 015 2210000 2024*")-SUMIFS(E177:E3130,K177:K3130,"0",B177:B3130,"1 2 3 5 2 12 31111 6 M78 09000 134 00C 002 61200 015 2210000 2024*")</f>
        <v>0</v>
      </c>
      <c r="E176"/>
      <c r="F176" s="31">
        <f>SUMIFS(F177:F3130,K177:K3130,"0",B177:B3130,"1 2 3 5 2 12 31111 6 M78 09000 134 00C 002 61200 015 2210000 2024*")</f>
        <v>350000</v>
      </c>
      <c r="G176" s="31">
        <f>SUMIFS(G177:G3130,K177:K3130,"0",B177:B3130,"1 2 3 5 2 12 31111 6 M78 09000 134 00C 002 61200 015 2210000 2024*")</f>
        <v>0</v>
      </c>
      <c r="H176" s="31">
        <f t="shared" si="2"/>
        <v>350000</v>
      </c>
      <c r="I176" s="31"/>
      <c r="K176" t="s">
        <v>13</v>
      </c>
    </row>
    <row r="177" spans="2:11" ht="22" x14ac:dyDescent="0.15">
      <c r="B177" s="29" t="s">
        <v>276</v>
      </c>
      <c r="C177" s="29" t="s">
        <v>277</v>
      </c>
      <c r="D177" s="31">
        <f>SUMIFS(D178:D3130,K178:K3130,"0",B178:B3130,"1 2 3 5 2 12 31111 6 M78 09000 134 00C 002 61200 015 2210000 2024 00000000*")-SUMIFS(E178:E3130,K178:K3130,"0",B178:B3130,"1 2 3 5 2 12 31111 6 M78 09000 134 00C 002 61200 015 2210000 2024 00000000*")</f>
        <v>0</v>
      </c>
      <c r="E177"/>
      <c r="F177" s="31">
        <f>SUMIFS(F178:F3130,K178:K3130,"0",B178:B3130,"1 2 3 5 2 12 31111 6 M78 09000 134 00C 002 61200 015 2210000 2024 00000000*")</f>
        <v>350000</v>
      </c>
      <c r="G177" s="31">
        <f>SUMIFS(G178:G3130,K178:K3130,"0",B178:B3130,"1 2 3 5 2 12 31111 6 M78 09000 134 00C 002 61200 015 2210000 2024 00000000*")</f>
        <v>0</v>
      </c>
      <c r="H177" s="31">
        <f t="shared" si="2"/>
        <v>350000</v>
      </c>
      <c r="I177" s="31"/>
      <c r="K177" t="s">
        <v>13</v>
      </c>
    </row>
    <row r="178" spans="2:11" ht="22" x14ac:dyDescent="0.15">
      <c r="B178" s="29" t="s">
        <v>278</v>
      </c>
      <c r="C178" s="29" t="s">
        <v>32</v>
      </c>
      <c r="D178" s="31">
        <f>SUMIFS(D179:D3130,K179:K3130,"0",B179:B3130,"1 2 3 5 2 12 31111 6 M78 09000 134 00C 002 61200 015 2210000 2024 00000000 001*")-SUMIFS(E179:E3130,K179:K3130,"0",B179:B3130,"1 2 3 5 2 12 31111 6 M78 09000 134 00C 002 61200 015 2210000 2024 00000000 001*")</f>
        <v>0</v>
      </c>
      <c r="E178"/>
      <c r="F178" s="31">
        <f>SUMIFS(F179:F3130,K179:K3130,"0",B179:B3130,"1 2 3 5 2 12 31111 6 M78 09000 134 00C 002 61200 015 2210000 2024 00000000 001*")</f>
        <v>350000</v>
      </c>
      <c r="G178" s="31">
        <f>SUMIFS(G179:G3130,K179:K3130,"0",B179:B3130,"1 2 3 5 2 12 31111 6 M78 09000 134 00C 002 61200 015 2210000 2024 00000000 001*")</f>
        <v>0</v>
      </c>
      <c r="H178" s="31">
        <f t="shared" si="2"/>
        <v>350000</v>
      </c>
      <c r="I178" s="31"/>
      <c r="K178" t="s">
        <v>13</v>
      </c>
    </row>
    <row r="179" spans="2:11" ht="22" x14ac:dyDescent="0.15">
      <c r="B179" s="27" t="s">
        <v>279</v>
      </c>
      <c r="C179" s="27" t="s">
        <v>280</v>
      </c>
      <c r="D179" s="30">
        <v>0</v>
      </c>
      <c r="E179" s="30"/>
      <c r="F179" s="30">
        <v>350000</v>
      </c>
      <c r="G179" s="30">
        <v>0</v>
      </c>
      <c r="H179" s="30">
        <f t="shared" si="2"/>
        <v>350000</v>
      </c>
      <c r="I179" s="30"/>
      <c r="K179" t="s">
        <v>37</v>
      </c>
    </row>
    <row r="180" spans="2:11" ht="13" x14ac:dyDescent="0.15">
      <c r="B180" s="29" t="s">
        <v>281</v>
      </c>
      <c r="C180" s="29" t="s">
        <v>261</v>
      </c>
      <c r="D180" s="31">
        <f>SUMIFS(D181:D3130,K181:K3130,"0",B181:B3130,"1 2 3 5 2 12 31111 6 M78 10000*")-SUMIFS(E181:E3130,K181:K3130,"0",B181:B3130,"1 2 3 5 2 12 31111 6 M78 10000*")</f>
        <v>0</v>
      </c>
      <c r="E180"/>
      <c r="F180" s="31">
        <f>SUMIFS(F181:F3130,K181:K3130,"0",B181:B3130,"1 2 3 5 2 12 31111 6 M78 10000*")</f>
        <v>11452779.359999999</v>
      </c>
      <c r="G180" s="31">
        <f>SUMIFS(G181:G3130,K181:K3130,"0",B181:B3130,"1 2 3 5 2 12 31111 6 M78 10000*")</f>
        <v>0</v>
      </c>
      <c r="H180" s="31">
        <f t="shared" si="2"/>
        <v>11452779.359999999</v>
      </c>
      <c r="I180" s="31"/>
      <c r="K180" t="s">
        <v>13</v>
      </c>
    </row>
    <row r="181" spans="2:11" ht="13" x14ac:dyDescent="0.15">
      <c r="B181" s="29" t="s">
        <v>282</v>
      </c>
      <c r="C181" s="29" t="s">
        <v>283</v>
      </c>
      <c r="D181" s="31">
        <f>SUMIFS(D182:D3130,K182:K3130,"0",B182:B3130,"1 2 3 5 2 12 31111 6 M78 10000 222*")-SUMIFS(E182:E3130,K182:K3130,"0",B182:B3130,"1 2 3 5 2 12 31111 6 M78 10000 222*")</f>
        <v>0</v>
      </c>
      <c r="E181"/>
      <c r="F181" s="31">
        <f>SUMIFS(F182:F3130,K182:K3130,"0",B182:B3130,"1 2 3 5 2 12 31111 6 M78 10000 222*")</f>
        <v>4606401.4700000007</v>
      </c>
      <c r="G181" s="31">
        <f>SUMIFS(G182:G3130,K182:K3130,"0",B182:B3130,"1 2 3 5 2 12 31111 6 M78 10000 222*")</f>
        <v>0</v>
      </c>
      <c r="H181" s="31">
        <f t="shared" si="2"/>
        <v>4606401.4700000007</v>
      </c>
      <c r="I181" s="31"/>
      <c r="K181" t="s">
        <v>13</v>
      </c>
    </row>
    <row r="182" spans="2:11" ht="13" x14ac:dyDescent="0.15">
      <c r="B182" s="29" t="s">
        <v>284</v>
      </c>
      <c r="C182" s="29" t="s">
        <v>285</v>
      </c>
      <c r="D182" s="31">
        <f>SUMIFS(D183:D3130,K183:K3130,"0",B183:B3130,"1 2 3 5 2 12 31111 6 M78 10000 222 00I*")-SUMIFS(E183:E3130,K183:K3130,"0",B183:B3130,"1 2 3 5 2 12 31111 6 M78 10000 222 00I*")</f>
        <v>0</v>
      </c>
      <c r="E182"/>
      <c r="F182" s="31">
        <f>SUMIFS(F183:F3130,K183:K3130,"0",B183:B3130,"1 2 3 5 2 12 31111 6 M78 10000 222 00I*")</f>
        <v>4606401.4700000007</v>
      </c>
      <c r="G182" s="31">
        <f>SUMIFS(G183:G3130,K183:K3130,"0",B183:B3130,"1 2 3 5 2 12 31111 6 M78 10000 222 00I*")</f>
        <v>0</v>
      </c>
      <c r="H182" s="31">
        <f t="shared" si="2"/>
        <v>4606401.4700000007</v>
      </c>
      <c r="I182" s="31"/>
      <c r="K182" t="s">
        <v>13</v>
      </c>
    </row>
    <row r="183" spans="2:11" ht="13" x14ac:dyDescent="0.15">
      <c r="B183" s="29" t="s">
        <v>286</v>
      </c>
      <c r="C183" s="29" t="s">
        <v>267</v>
      </c>
      <c r="D183" s="31">
        <f>SUMIFS(D184:D3130,K184:K3130,"0",B184:B3130,"1 2 3 5 2 12 31111 6 M78 10000 222 00I 002*")-SUMIFS(E184:E3130,K184:K3130,"0",B184:B3130,"1 2 3 5 2 12 31111 6 M78 10000 222 00I 002*")</f>
        <v>0</v>
      </c>
      <c r="E183"/>
      <c r="F183" s="31">
        <f>SUMIFS(F184:F3130,K184:K3130,"0",B184:B3130,"1 2 3 5 2 12 31111 6 M78 10000 222 00I 002*")</f>
        <v>4606401.4700000007</v>
      </c>
      <c r="G183" s="31">
        <f>SUMIFS(G184:G3130,K184:K3130,"0",B184:B3130,"1 2 3 5 2 12 31111 6 M78 10000 222 00I 002*")</f>
        <v>0</v>
      </c>
      <c r="H183" s="31">
        <f t="shared" si="2"/>
        <v>4606401.4700000007</v>
      </c>
      <c r="I183" s="31"/>
      <c r="K183" t="s">
        <v>13</v>
      </c>
    </row>
    <row r="184" spans="2:11" ht="13" x14ac:dyDescent="0.15">
      <c r="B184" s="29" t="s">
        <v>287</v>
      </c>
      <c r="C184" s="29" t="s">
        <v>288</v>
      </c>
      <c r="D184" s="31">
        <f>SUMIFS(D185:D3130,K185:K3130,"0",B185:B3130,"1 2 3 5 2 12 31111 6 M78 10000 222 00I 002 61200*")-SUMIFS(E185:E3130,K185:K3130,"0",B185:B3130,"1 2 3 5 2 12 31111 6 M78 10000 222 00I 002 61200*")</f>
        <v>0</v>
      </c>
      <c r="E184"/>
      <c r="F184" s="31">
        <f>SUMIFS(F185:F3130,K185:K3130,"0",B185:B3130,"1 2 3 5 2 12 31111 6 M78 10000 222 00I 002 61200*")</f>
        <v>4606401.4700000007</v>
      </c>
      <c r="G184" s="31">
        <f>SUMIFS(G185:G3130,K185:K3130,"0",B185:B3130,"1 2 3 5 2 12 31111 6 M78 10000 222 00I 002 61200*")</f>
        <v>0</v>
      </c>
      <c r="H184" s="31">
        <f t="shared" si="2"/>
        <v>4606401.4700000007</v>
      </c>
      <c r="I184" s="31"/>
      <c r="K184" t="s">
        <v>13</v>
      </c>
    </row>
    <row r="185" spans="2:11" ht="22" x14ac:dyDescent="0.15">
      <c r="B185" s="29" t="s">
        <v>289</v>
      </c>
      <c r="C185" s="29" t="s">
        <v>290</v>
      </c>
      <c r="D185" s="31">
        <f>SUMIFS(D186:D3130,K186:K3130,"0",B186:B3130,"1 2 3 5 2 12 31111 6 M78 10000 222 00I 002 61200 025*")-SUMIFS(E186:E3130,K186:K3130,"0",B186:B3130,"1 2 3 5 2 12 31111 6 M78 10000 222 00I 002 61200 025*")</f>
        <v>0</v>
      </c>
      <c r="E185"/>
      <c r="F185" s="31">
        <f>SUMIFS(F186:F3130,K186:K3130,"0",B186:B3130,"1 2 3 5 2 12 31111 6 M78 10000 222 00I 002 61200 025*")</f>
        <v>4606401.4700000007</v>
      </c>
      <c r="G185" s="31">
        <f>SUMIFS(G186:G3130,K186:K3130,"0",B186:B3130,"1 2 3 5 2 12 31111 6 M78 10000 222 00I 002 61200 025*")</f>
        <v>0</v>
      </c>
      <c r="H185" s="31">
        <f t="shared" si="2"/>
        <v>4606401.4700000007</v>
      </c>
      <c r="I185" s="31"/>
      <c r="K185" t="s">
        <v>13</v>
      </c>
    </row>
    <row r="186" spans="2:11" ht="22" x14ac:dyDescent="0.15">
      <c r="B186" s="29" t="s">
        <v>291</v>
      </c>
      <c r="C186" s="29" t="s">
        <v>273</v>
      </c>
      <c r="D186" s="31">
        <f>SUMIFS(D187:D3130,K187:K3130,"0",B187:B3130,"1 2 3 5 2 12 31111 6 M78 10000 222 00I 002 61200 025 2210000*")-SUMIFS(E187:E3130,K187:K3130,"0",B187:B3130,"1 2 3 5 2 12 31111 6 M78 10000 222 00I 002 61200 025 2210000*")</f>
        <v>0</v>
      </c>
      <c r="E186"/>
      <c r="F186" s="31">
        <f>SUMIFS(F187:F3130,K187:K3130,"0",B187:B3130,"1 2 3 5 2 12 31111 6 M78 10000 222 00I 002 61200 025 2210000*")</f>
        <v>4606401.4700000007</v>
      </c>
      <c r="G186" s="31">
        <f>SUMIFS(G187:G3130,K187:K3130,"0",B187:B3130,"1 2 3 5 2 12 31111 6 M78 10000 222 00I 002 61200 025 2210000*")</f>
        <v>0</v>
      </c>
      <c r="H186" s="31">
        <f t="shared" si="2"/>
        <v>4606401.4700000007</v>
      </c>
      <c r="I186" s="31"/>
      <c r="K186" t="s">
        <v>13</v>
      </c>
    </row>
    <row r="187" spans="2:11" ht="22" x14ac:dyDescent="0.15">
      <c r="B187" s="29" t="s">
        <v>292</v>
      </c>
      <c r="C187" s="29" t="s">
        <v>275</v>
      </c>
      <c r="D187" s="31">
        <f>SUMIFS(D188:D3130,K188:K3130,"0",B188:B3130,"1 2 3 5 2 12 31111 6 M78 10000 222 00I 002 61200 025 2210000 2024*")-SUMIFS(E188:E3130,K188:K3130,"0",B188:B3130,"1 2 3 5 2 12 31111 6 M78 10000 222 00I 002 61200 025 2210000 2024*")</f>
        <v>0</v>
      </c>
      <c r="E187"/>
      <c r="F187" s="31">
        <f>SUMIFS(F188:F3130,K188:K3130,"0",B188:B3130,"1 2 3 5 2 12 31111 6 M78 10000 222 00I 002 61200 025 2210000 2024*")</f>
        <v>4606401.4700000007</v>
      </c>
      <c r="G187" s="31">
        <f>SUMIFS(G188:G3130,K188:K3130,"0",B188:B3130,"1 2 3 5 2 12 31111 6 M78 10000 222 00I 002 61200 025 2210000 2024*")</f>
        <v>0</v>
      </c>
      <c r="H187" s="31">
        <f t="shared" si="2"/>
        <v>4606401.4700000007</v>
      </c>
      <c r="I187" s="31"/>
      <c r="K187" t="s">
        <v>13</v>
      </c>
    </row>
    <row r="188" spans="2:11" ht="22" x14ac:dyDescent="0.15">
      <c r="B188" s="29" t="s">
        <v>293</v>
      </c>
      <c r="C188" s="29" t="s">
        <v>277</v>
      </c>
      <c r="D188" s="31">
        <f>SUMIFS(D189:D3130,K189:K3130,"0",B189:B3130,"1 2 3 5 2 12 31111 6 M78 10000 222 00I 002 61200 025 2210000 2024 00000000*")-SUMIFS(E189:E3130,K189:K3130,"0",B189:B3130,"1 2 3 5 2 12 31111 6 M78 10000 222 00I 002 61200 025 2210000 2024 00000000*")</f>
        <v>0</v>
      </c>
      <c r="E188"/>
      <c r="F188" s="31">
        <f>SUMIFS(F189:F3130,K189:K3130,"0",B189:B3130,"1 2 3 5 2 12 31111 6 M78 10000 222 00I 002 61200 025 2210000 2024 00000000*")</f>
        <v>4606401.4700000007</v>
      </c>
      <c r="G188" s="31">
        <f>SUMIFS(G189:G3130,K189:K3130,"0",B189:B3130,"1 2 3 5 2 12 31111 6 M78 10000 222 00I 002 61200 025 2210000 2024 00000000*")</f>
        <v>0</v>
      </c>
      <c r="H188" s="31">
        <f t="shared" si="2"/>
        <v>4606401.4700000007</v>
      </c>
      <c r="I188" s="31"/>
      <c r="K188" t="s">
        <v>13</v>
      </c>
    </row>
    <row r="189" spans="2:11" ht="22" x14ac:dyDescent="0.15">
      <c r="B189" s="29" t="s">
        <v>294</v>
      </c>
      <c r="C189" s="29" t="s">
        <v>295</v>
      </c>
      <c r="D189" s="31">
        <f>SUMIFS(D190:D3130,K190:K3130,"0",B190:B3130,"1 2 3 5 2 12 31111 6 M78 10000 222 00I 002 61200 025 2210000 2024 00000000 002*")-SUMIFS(E190:E3130,K190:K3130,"0",B190:B3130,"1 2 3 5 2 12 31111 6 M78 10000 222 00I 002 61200 025 2210000 2024 00000000 002*")</f>
        <v>0</v>
      </c>
      <c r="E189"/>
      <c r="F189" s="31">
        <f>SUMIFS(F190:F3130,K190:K3130,"0",B190:B3130,"1 2 3 5 2 12 31111 6 M78 10000 222 00I 002 61200 025 2210000 2024 00000000 002*")</f>
        <v>4606401.4700000007</v>
      </c>
      <c r="G189" s="31">
        <f>SUMIFS(G190:G3130,K190:K3130,"0",B190:B3130,"1 2 3 5 2 12 31111 6 M78 10000 222 00I 002 61200 025 2210000 2024 00000000 002*")</f>
        <v>0</v>
      </c>
      <c r="H189" s="31">
        <f t="shared" si="2"/>
        <v>4606401.4700000007</v>
      </c>
      <c r="I189" s="31"/>
      <c r="K189" t="s">
        <v>13</v>
      </c>
    </row>
    <row r="190" spans="2:11" ht="22" x14ac:dyDescent="0.15">
      <c r="B190" s="27" t="s">
        <v>296</v>
      </c>
      <c r="C190" s="27" t="s">
        <v>297</v>
      </c>
      <c r="D190" s="30">
        <v>0</v>
      </c>
      <c r="E190" s="30"/>
      <c r="F190" s="30">
        <v>2168469.7400000002</v>
      </c>
      <c r="G190" s="30">
        <v>0</v>
      </c>
      <c r="H190" s="30">
        <f t="shared" si="2"/>
        <v>2168469.7400000002</v>
      </c>
      <c r="I190" s="30"/>
      <c r="K190" t="s">
        <v>37</v>
      </c>
    </row>
    <row r="191" spans="2:11" ht="22" x14ac:dyDescent="0.15">
      <c r="B191" s="27" t="s">
        <v>298</v>
      </c>
      <c r="C191" s="27" t="s">
        <v>299</v>
      </c>
      <c r="D191" s="30">
        <v>0</v>
      </c>
      <c r="E191" s="30"/>
      <c r="F191" s="30">
        <v>2168469.75</v>
      </c>
      <c r="G191" s="30">
        <v>0</v>
      </c>
      <c r="H191" s="30">
        <f t="shared" si="2"/>
        <v>2168469.75</v>
      </c>
      <c r="I191" s="30"/>
      <c r="K191" t="s">
        <v>37</v>
      </c>
    </row>
    <row r="192" spans="2:11" ht="22" x14ac:dyDescent="0.15">
      <c r="B192" s="27" t="s">
        <v>300</v>
      </c>
      <c r="C192" s="27" t="s">
        <v>301</v>
      </c>
      <c r="D192" s="30">
        <v>0</v>
      </c>
      <c r="E192" s="30"/>
      <c r="F192" s="30">
        <v>269461.98</v>
      </c>
      <c r="G192" s="30">
        <v>0</v>
      </c>
      <c r="H192" s="30">
        <f t="shared" si="2"/>
        <v>269461.98</v>
      </c>
      <c r="I192" s="30"/>
      <c r="K192" t="s">
        <v>37</v>
      </c>
    </row>
    <row r="193" spans="2:11" ht="13" x14ac:dyDescent="0.15">
      <c r="B193" s="29" t="s">
        <v>302</v>
      </c>
      <c r="C193" s="29" t="s">
        <v>303</v>
      </c>
      <c r="D193" s="31">
        <f>SUMIFS(D194:D3130,K194:K3130,"0",B194:B3130,"1 2 3 5 2 12 31111 6 M78 10000 241*")-SUMIFS(E194:E3130,K194:K3130,"0",B194:B3130,"1 2 3 5 2 12 31111 6 M78 10000 241*")</f>
        <v>0</v>
      </c>
      <c r="E193"/>
      <c r="F193" s="31">
        <f>SUMIFS(F194:F3130,K194:K3130,"0",B194:B3130,"1 2 3 5 2 12 31111 6 M78 10000 241*")</f>
        <v>2168889.79</v>
      </c>
      <c r="G193" s="31">
        <f>SUMIFS(G194:G3130,K194:K3130,"0",B194:B3130,"1 2 3 5 2 12 31111 6 M78 10000 241*")</f>
        <v>0</v>
      </c>
      <c r="H193" s="31">
        <f t="shared" si="2"/>
        <v>2168889.79</v>
      </c>
      <c r="I193" s="31"/>
      <c r="K193" t="s">
        <v>13</v>
      </c>
    </row>
    <row r="194" spans="2:11" ht="13" x14ac:dyDescent="0.15">
      <c r="B194" s="29" t="s">
        <v>304</v>
      </c>
      <c r="C194" s="29" t="s">
        <v>285</v>
      </c>
      <c r="D194" s="31">
        <f>SUMIFS(D195:D3130,K195:K3130,"0",B195:B3130,"1 2 3 5 2 12 31111 6 M78 10000 241 00I*")-SUMIFS(E195:E3130,K195:K3130,"0",B195:B3130,"1 2 3 5 2 12 31111 6 M78 10000 241 00I*")</f>
        <v>0</v>
      </c>
      <c r="E194"/>
      <c r="F194" s="31">
        <f>SUMIFS(F195:F3130,K195:K3130,"0",B195:B3130,"1 2 3 5 2 12 31111 6 M78 10000 241 00I*")</f>
        <v>2168889.79</v>
      </c>
      <c r="G194" s="31">
        <f>SUMIFS(G195:G3130,K195:K3130,"0",B195:B3130,"1 2 3 5 2 12 31111 6 M78 10000 241 00I*")</f>
        <v>0</v>
      </c>
      <c r="H194" s="31">
        <f t="shared" si="2"/>
        <v>2168889.79</v>
      </c>
      <c r="I194" s="31"/>
      <c r="K194" t="s">
        <v>13</v>
      </c>
    </row>
    <row r="195" spans="2:11" ht="13" x14ac:dyDescent="0.15">
      <c r="B195" s="29" t="s">
        <v>305</v>
      </c>
      <c r="C195" s="29" t="s">
        <v>267</v>
      </c>
      <c r="D195" s="31">
        <f>SUMIFS(D196:D3130,K196:K3130,"0",B196:B3130,"1 2 3 5 2 12 31111 6 M78 10000 241 00I 002*")-SUMIFS(E196:E3130,K196:K3130,"0",B196:B3130,"1 2 3 5 2 12 31111 6 M78 10000 241 00I 002*")</f>
        <v>0</v>
      </c>
      <c r="E195"/>
      <c r="F195" s="31">
        <f>SUMIFS(F196:F3130,K196:K3130,"0",B196:B3130,"1 2 3 5 2 12 31111 6 M78 10000 241 00I 002*")</f>
        <v>2168889.79</v>
      </c>
      <c r="G195" s="31">
        <f>SUMIFS(G196:G3130,K196:K3130,"0",B196:B3130,"1 2 3 5 2 12 31111 6 M78 10000 241 00I 002*")</f>
        <v>0</v>
      </c>
      <c r="H195" s="31">
        <f t="shared" si="2"/>
        <v>2168889.79</v>
      </c>
      <c r="I195" s="31"/>
      <c r="K195" t="s">
        <v>13</v>
      </c>
    </row>
    <row r="196" spans="2:11" ht="13" x14ac:dyDescent="0.15">
      <c r="B196" s="29" t="s">
        <v>306</v>
      </c>
      <c r="C196" s="29" t="s">
        <v>288</v>
      </c>
      <c r="D196" s="31">
        <f>SUMIFS(D197:D3130,K197:K3130,"0",B197:B3130,"1 2 3 5 2 12 31111 6 M78 10000 241 00I 002 61200*")-SUMIFS(E197:E3130,K197:K3130,"0",B197:B3130,"1 2 3 5 2 12 31111 6 M78 10000 241 00I 002 61200*")</f>
        <v>0</v>
      </c>
      <c r="E196"/>
      <c r="F196" s="31">
        <f>SUMIFS(F197:F3130,K197:K3130,"0",B197:B3130,"1 2 3 5 2 12 31111 6 M78 10000 241 00I 002 61200*")</f>
        <v>2168889.79</v>
      </c>
      <c r="G196" s="31">
        <f>SUMIFS(G197:G3130,K197:K3130,"0",B197:B3130,"1 2 3 5 2 12 31111 6 M78 10000 241 00I 002 61200*")</f>
        <v>0</v>
      </c>
      <c r="H196" s="31">
        <f t="shared" si="2"/>
        <v>2168889.79</v>
      </c>
      <c r="I196" s="31"/>
      <c r="K196" t="s">
        <v>13</v>
      </c>
    </row>
    <row r="197" spans="2:11" ht="22" x14ac:dyDescent="0.15">
      <c r="B197" s="29" t="s">
        <v>307</v>
      </c>
      <c r="C197" s="29" t="s">
        <v>290</v>
      </c>
      <c r="D197" s="31">
        <f>SUMIFS(D198:D3130,K198:K3130,"0",B198:B3130,"1 2 3 5 2 12 31111 6 M78 10000 241 00I 002 61200 025*")-SUMIFS(E198:E3130,K198:K3130,"0",B198:B3130,"1 2 3 5 2 12 31111 6 M78 10000 241 00I 002 61200 025*")</f>
        <v>0</v>
      </c>
      <c r="E197"/>
      <c r="F197" s="31">
        <f>SUMIFS(F198:F3130,K198:K3130,"0",B198:B3130,"1 2 3 5 2 12 31111 6 M78 10000 241 00I 002 61200 025*")</f>
        <v>2168889.79</v>
      </c>
      <c r="G197" s="31">
        <f>SUMIFS(G198:G3130,K198:K3130,"0",B198:B3130,"1 2 3 5 2 12 31111 6 M78 10000 241 00I 002 61200 025*")</f>
        <v>0</v>
      </c>
      <c r="H197" s="31">
        <f t="shared" si="2"/>
        <v>2168889.79</v>
      </c>
      <c r="I197" s="31"/>
      <c r="K197" t="s">
        <v>13</v>
      </c>
    </row>
    <row r="198" spans="2:11" ht="22" x14ac:dyDescent="0.15">
      <c r="B198" s="29" t="s">
        <v>308</v>
      </c>
      <c r="C198" s="29" t="s">
        <v>273</v>
      </c>
      <c r="D198" s="31">
        <f>SUMIFS(D199:D3130,K199:K3130,"0",B199:B3130,"1 2 3 5 2 12 31111 6 M78 10000 241 00I 002 61200 025 2210000*")-SUMIFS(E199:E3130,K199:K3130,"0",B199:B3130,"1 2 3 5 2 12 31111 6 M78 10000 241 00I 002 61200 025 2210000*")</f>
        <v>0</v>
      </c>
      <c r="E198"/>
      <c r="F198" s="31">
        <f>SUMIFS(F199:F3130,K199:K3130,"0",B199:B3130,"1 2 3 5 2 12 31111 6 M78 10000 241 00I 002 61200 025 2210000*")</f>
        <v>2168889.79</v>
      </c>
      <c r="G198" s="31">
        <f>SUMIFS(G199:G3130,K199:K3130,"0",B199:B3130,"1 2 3 5 2 12 31111 6 M78 10000 241 00I 002 61200 025 2210000*")</f>
        <v>0</v>
      </c>
      <c r="H198" s="31">
        <f t="shared" si="2"/>
        <v>2168889.79</v>
      </c>
      <c r="I198" s="31"/>
      <c r="K198" t="s">
        <v>13</v>
      </c>
    </row>
    <row r="199" spans="2:11" ht="22" x14ac:dyDescent="0.15">
      <c r="B199" s="29" t="s">
        <v>309</v>
      </c>
      <c r="C199" s="29" t="s">
        <v>275</v>
      </c>
      <c r="D199" s="31">
        <f>SUMIFS(D200:D3130,K200:K3130,"0",B200:B3130,"1 2 3 5 2 12 31111 6 M78 10000 241 00I 002 61200 025 2210000 2024*")-SUMIFS(E200:E3130,K200:K3130,"0",B200:B3130,"1 2 3 5 2 12 31111 6 M78 10000 241 00I 002 61200 025 2210000 2024*")</f>
        <v>0</v>
      </c>
      <c r="E199"/>
      <c r="F199" s="31">
        <f>SUMIFS(F200:F3130,K200:K3130,"0",B200:B3130,"1 2 3 5 2 12 31111 6 M78 10000 241 00I 002 61200 025 2210000 2024*")</f>
        <v>2168889.79</v>
      </c>
      <c r="G199" s="31">
        <f>SUMIFS(G200:G3130,K200:K3130,"0",B200:B3130,"1 2 3 5 2 12 31111 6 M78 10000 241 00I 002 61200 025 2210000 2024*")</f>
        <v>0</v>
      </c>
      <c r="H199" s="31">
        <f t="shared" si="2"/>
        <v>2168889.79</v>
      </c>
      <c r="I199" s="31"/>
      <c r="K199" t="s">
        <v>13</v>
      </c>
    </row>
    <row r="200" spans="2:11" ht="22" x14ac:dyDescent="0.15">
      <c r="B200" s="29" t="s">
        <v>310</v>
      </c>
      <c r="C200" s="29" t="s">
        <v>277</v>
      </c>
      <c r="D200" s="31">
        <f>SUMIFS(D201:D3130,K201:K3130,"0",B201:B3130,"1 2 3 5 2 12 31111 6 M78 10000 241 00I 002 61200 025 2210000 2024 00000000*")-SUMIFS(E201:E3130,K201:K3130,"0",B201:B3130,"1 2 3 5 2 12 31111 6 M78 10000 241 00I 002 61200 025 2210000 2024 00000000*")</f>
        <v>0</v>
      </c>
      <c r="E200"/>
      <c r="F200" s="31">
        <f>SUMIFS(F201:F3130,K201:K3130,"0",B201:B3130,"1 2 3 5 2 12 31111 6 M78 10000 241 00I 002 61200 025 2210000 2024 00000000*")</f>
        <v>2168889.79</v>
      </c>
      <c r="G200" s="31">
        <f>SUMIFS(G201:G3130,K201:K3130,"0",B201:B3130,"1 2 3 5 2 12 31111 6 M78 10000 241 00I 002 61200 025 2210000 2024 00000000*")</f>
        <v>0</v>
      </c>
      <c r="H200" s="31">
        <f t="shared" si="2"/>
        <v>2168889.79</v>
      </c>
      <c r="I200" s="31"/>
      <c r="K200" t="s">
        <v>13</v>
      </c>
    </row>
    <row r="201" spans="2:11" ht="22" x14ac:dyDescent="0.15">
      <c r="B201" s="29" t="s">
        <v>311</v>
      </c>
      <c r="C201" s="29" t="s">
        <v>295</v>
      </c>
      <c r="D201" s="31">
        <f>SUMIFS(D202:D3130,K202:K3130,"0",B202:B3130,"1 2 3 5 2 12 31111 6 M78 10000 241 00I 002 61200 025 2210000 2024 00000000 002*")-SUMIFS(E202:E3130,K202:K3130,"0",B202:B3130,"1 2 3 5 2 12 31111 6 M78 10000 241 00I 002 61200 025 2210000 2024 00000000 002*")</f>
        <v>0</v>
      </c>
      <c r="E201"/>
      <c r="F201" s="31">
        <f>SUMIFS(F202:F3130,K202:K3130,"0",B202:B3130,"1 2 3 5 2 12 31111 6 M78 10000 241 00I 002 61200 025 2210000 2024 00000000 002*")</f>
        <v>2168889.79</v>
      </c>
      <c r="G201" s="31">
        <f>SUMIFS(G202:G3130,K202:K3130,"0",B202:B3130,"1 2 3 5 2 12 31111 6 M78 10000 241 00I 002 61200 025 2210000 2024 00000000 002*")</f>
        <v>0</v>
      </c>
      <c r="H201" s="31">
        <f t="shared" si="2"/>
        <v>2168889.79</v>
      </c>
      <c r="I201" s="31"/>
      <c r="K201" t="s">
        <v>13</v>
      </c>
    </row>
    <row r="202" spans="2:11" ht="22" x14ac:dyDescent="0.15">
      <c r="B202" s="27" t="s">
        <v>312</v>
      </c>
      <c r="C202" s="27" t="s">
        <v>313</v>
      </c>
      <c r="D202" s="30">
        <v>0</v>
      </c>
      <c r="E202" s="30"/>
      <c r="F202" s="30">
        <v>2168889.79</v>
      </c>
      <c r="G202" s="30">
        <v>0</v>
      </c>
      <c r="H202" s="30">
        <f t="shared" ref="H202:H265" si="3">D202 + F202 - G202</f>
        <v>2168889.79</v>
      </c>
      <c r="I202" s="30"/>
      <c r="K202" t="s">
        <v>37</v>
      </c>
    </row>
    <row r="203" spans="2:11" ht="13" x14ac:dyDescent="0.15">
      <c r="B203" s="29" t="s">
        <v>314</v>
      </c>
      <c r="C203" s="29" t="s">
        <v>315</v>
      </c>
      <c r="D203" s="31">
        <f>SUMIFS(D204:D3130,K204:K3130,"0",B204:B3130,"1 2 3 5 2 12 31111 6 M78 10000 251*")-SUMIFS(E204:E3130,K204:K3130,"0",B204:B3130,"1 2 3 5 2 12 31111 6 M78 10000 251*")</f>
        <v>0</v>
      </c>
      <c r="E203"/>
      <c r="F203" s="31">
        <f>SUMIFS(F204:F3130,K204:K3130,"0",B204:B3130,"1 2 3 5 2 12 31111 6 M78 10000 251*")</f>
        <v>4677488.0999999996</v>
      </c>
      <c r="G203" s="31">
        <f>SUMIFS(G204:G3130,K204:K3130,"0",B204:B3130,"1 2 3 5 2 12 31111 6 M78 10000 251*")</f>
        <v>0</v>
      </c>
      <c r="H203" s="31">
        <f t="shared" si="3"/>
        <v>4677488.0999999996</v>
      </c>
      <c r="I203" s="31"/>
      <c r="K203" t="s">
        <v>13</v>
      </c>
    </row>
    <row r="204" spans="2:11" ht="13" x14ac:dyDescent="0.15">
      <c r="B204" s="29" t="s">
        <v>316</v>
      </c>
      <c r="C204" s="29" t="s">
        <v>285</v>
      </c>
      <c r="D204" s="31">
        <f>SUMIFS(D205:D3130,K205:K3130,"0",B205:B3130,"1 2 3 5 2 12 31111 6 M78 10000 251 00I*")-SUMIFS(E205:E3130,K205:K3130,"0",B205:B3130,"1 2 3 5 2 12 31111 6 M78 10000 251 00I*")</f>
        <v>0</v>
      </c>
      <c r="E204"/>
      <c r="F204" s="31">
        <f>SUMIFS(F205:F3130,K205:K3130,"0",B205:B3130,"1 2 3 5 2 12 31111 6 M78 10000 251 00I*")</f>
        <v>4677488.0999999996</v>
      </c>
      <c r="G204" s="31">
        <f>SUMIFS(G205:G3130,K205:K3130,"0",B205:B3130,"1 2 3 5 2 12 31111 6 M78 10000 251 00I*")</f>
        <v>0</v>
      </c>
      <c r="H204" s="31">
        <f t="shared" si="3"/>
        <v>4677488.0999999996</v>
      </c>
      <c r="I204" s="31"/>
      <c r="K204" t="s">
        <v>13</v>
      </c>
    </row>
    <row r="205" spans="2:11" ht="13" x14ac:dyDescent="0.15">
      <c r="B205" s="29" t="s">
        <v>317</v>
      </c>
      <c r="C205" s="29" t="s">
        <v>267</v>
      </c>
      <c r="D205" s="31">
        <f>SUMIFS(D206:D3130,K206:K3130,"0",B206:B3130,"1 2 3 5 2 12 31111 6 M78 10000 251 00I 002*")-SUMIFS(E206:E3130,K206:K3130,"0",B206:B3130,"1 2 3 5 2 12 31111 6 M78 10000 251 00I 002*")</f>
        <v>0</v>
      </c>
      <c r="E205"/>
      <c r="F205" s="31">
        <f>SUMIFS(F206:F3130,K206:K3130,"0",B206:B3130,"1 2 3 5 2 12 31111 6 M78 10000 251 00I 002*")</f>
        <v>4677488.0999999996</v>
      </c>
      <c r="G205" s="31">
        <f>SUMIFS(G206:G3130,K206:K3130,"0",B206:B3130,"1 2 3 5 2 12 31111 6 M78 10000 251 00I 002*")</f>
        <v>0</v>
      </c>
      <c r="H205" s="31">
        <f t="shared" si="3"/>
        <v>4677488.0999999996</v>
      </c>
      <c r="I205" s="31"/>
      <c r="K205" t="s">
        <v>13</v>
      </c>
    </row>
    <row r="206" spans="2:11" ht="13" x14ac:dyDescent="0.15">
      <c r="B206" s="29" t="s">
        <v>318</v>
      </c>
      <c r="C206" s="29" t="s">
        <v>288</v>
      </c>
      <c r="D206" s="31">
        <f>SUMIFS(D207:D3130,K207:K3130,"0",B207:B3130,"1 2 3 5 2 12 31111 6 M78 10000 251 00I 002 61200*")-SUMIFS(E207:E3130,K207:K3130,"0",B207:B3130,"1 2 3 5 2 12 31111 6 M78 10000 251 00I 002 61200*")</f>
        <v>0</v>
      </c>
      <c r="E206"/>
      <c r="F206" s="31">
        <f>SUMIFS(F207:F3130,K207:K3130,"0",B207:B3130,"1 2 3 5 2 12 31111 6 M78 10000 251 00I 002 61200*")</f>
        <v>4677488.0999999996</v>
      </c>
      <c r="G206" s="31">
        <f>SUMIFS(G207:G3130,K207:K3130,"0",B207:B3130,"1 2 3 5 2 12 31111 6 M78 10000 251 00I 002 61200*")</f>
        <v>0</v>
      </c>
      <c r="H206" s="31">
        <f t="shared" si="3"/>
        <v>4677488.0999999996</v>
      </c>
      <c r="I206" s="31"/>
      <c r="K206" t="s">
        <v>13</v>
      </c>
    </row>
    <row r="207" spans="2:11" ht="22" x14ac:dyDescent="0.15">
      <c r="B207" s="29" t="s">
        <v>319</v>
      </c>
      <c r="C207" s="29" t="s">
        <v>290</v>
      </c>
      <c r="D207" s="31">
        <f>SUMIFS(D208:D3130,K208:K3130,"0",B208:B3130,"1 2 3 5 2 12 31111 6 M78 10000 251 00I 002 61200 025*")-SUMIFS(E208:E3130,K208:K3130,"0",B208:B3130,"1 2 3 5 2 12 31111 6 M78 10000 251 00I 002 61200 025*")</f>
        <v>0</v>
      </c>
      <c r="E207"/>
      <c r="F207" s="31">
        <f>SUMIFS(F208:F3130,K208:K3130,"0",B208:B3130,"1 2 3 5 2 12 31111 6 M78 10000 251 00I 002 61200 025*")</f>
        <v>4677488.0999999996</v>
      </c>
      <c r="G207" s="31">
        <f>SUMIFS(G208:G3130,K208:K3130,"0",B208:B3130,"1 2 3 5 2 12 31111 6 M78 10000 251 00I 002 61200 025*")</f>
        <v>0</v>
      </c>
      <c r="H207" s="31">
        <f t="shared" si="3"/>
        <v>4677488.0999999996</v>
      </c>
      <c r="I207" s="31"/>
      <c r="K207" t="s">
        <v>13</v>
      </c>
    </row>
    <row r="208" spans="2:11" ht="22" x14ac:dyDescent="0.15">
      <c r="B208" s="29" t="s">
        <v>320</v>
      </c>
      <c r="C208" s="29" t="s">
        <v>273</v>
      </c>
      <c r="D208" s="31">
        <f>SUMIFS(D209:D3130,K209:K3130,"0",B209:B3130,"1 2 3 5 2 12 31111 6 M78 10000 251 00I 002 61200 025 2210000*")-SUMIFS(E209:E3130,K209:K3130,"0",B209:B3130,"1 2 3 5 2 12 31111 6 M78 10000 251 00I 002 61200 025 2210000*")</f>
        <v>0</v>
      </c>
      <c r="E208"/>
      <c r="F208" s="31">
        <f>SUMIFS(F209:F3130,K209:K3130,"0",B209:B3130,"1 2 3 5 2 12 31111 6 M78 10000 251 00I 002 61200 025 2210000*")</f>
        <v>4677488.0999999996</v>
      </c>
      <c r="G208" s="31">
        <f>SUMIFS(G209:G3130,K209:K3130,"0",B209:B3130,"1 2 3 5 2 12 31111 6 M78 10000 251 00I 002 61200 025 2210000*")</f>
        <v>0</v>
      </c>
      <c r="H208" s="31">
        <f t="shared" si="3"/>
        <v>4677488.0999999996</v>
      </c>
      <c r="I208" s="31"/>
      <c r="K208" t="s">
        <v>13</v>
      </c>
    </row>
    <row r="209" spans="2:11" ht="22" x14ac:dyDescent="0.15">
      <c r="B209" s="29" t="s">
        <v>321</v>
      </c>
      <c r="C209" s="29" t="s">
        <v>275</v>
      </c>
      <c r="D209" s="31">
        <f>SUMIFS(D210:D3130,K210:K3130,"0",B210:B3130,"1 2 3 5 2 12 31111 6 M78 10000 251 00I 002 61200 025 2210000 2024*")-SUMIFS(E210:E3130,K210:K3130,"0",B210:B3130,"1 2 3 5 2 12 31111 6 M78 10000 251 00I 002 61200 025 2210000 2024*")</f>
        <v>0</v>
      </c>
      <c r="E209"/>
      <c r="F209" s="31">
        <f>SUMIFS(F210:F3130,K210:K3130,"0",B210:B3130,"1 2 3 5 2 12 31111 6 M78 10000 251 00I 002 61200 025 2210000 2024*")</f>
        <v>4677488.0999999996</v>
      </c>
      <c r="G209" s="31">
        <f>SUMIFS(G210:G3130,K210:K3130,"0",B210:B3130,"1 2 3 5 2 12 31111 6 M78 10000 251 00I 002 61200 025 2210000 2024*")</f>
        <v>0</v>
      </c>
      <c r="H209" s="31">
        <f t="shared" si="3"/>
        <v>4677488.0999999996</v>
      </c>
      <c r="I209" s="31"/>
      <c r="K209" t="s">
        <v>13</v>
      </c>
    </row>
    <row r="210" spans="2:11" ht="22" x14ac:dyDescent="0.15">
      <c r="B210" s="29" t="s">
        <v>322</v>
      </c>
      <c r="C210" s="29" t="s">
        <v>277</v>
      </c>
      <c r="D210" s="31">
        <f>SUMIFS(D211:D3130,K211:K3130,"0",B211:B3130,"1 2 3 5 2 12 31111 6 M78 10000 251 00I 002 61200 025 2210000 2024 00000000*")-SUMIFS(E211:E3130,K211:K3130,"0",B211:B3130,"1 2 3 5 2 12 31111 6 M78 10000 251 00I 002 61200 025 2210000 2024 00000000*")</f>
        <v>0</v>
      </c>
      <c r="E210"/>
      <c r="F210" s="31">
        <f>SUMIFS(F211:F3130,K211:K3130,"0",B211:B3130,"1 2 3 5 2 12 31111 6 M78 10000 251 00I 002 61200 025 2210000 2024 00000000*")</f>
        <v>4677488.0999999996</v>
      </c>
      <c r="G210" s="31">
        <f>SUMIFS(G211:G3130,K211:K3130,"0",B211:B3130,"1 2 3 5 2 12 31111 6 M78 10000 251 00I 002 61200 025 2210000 2024 00000000*")</f>
        <v>0</v>
      </c>
      <c r="H210" s="31">
        <f t="shared" si="3"/>
        <v>4677488.0999999996</v>
      </c>
      <c r="I210" s="31"/>
      <c r="K210" t="s">
        <v>13</v>
      </c>
    </row>
    <row r="211" spans="2:11" ht="22" x14ac:dyDescent="0.15">
      <c r="B211" s="29" t="s">
        <v>323</v>
      </c>
      <c r="C211" s="29" t="s">
        <v>295</v>
      </c>
      <c r="D211" s="31">
        <f>SUMIFS(D212:D3130,K212:K3130,"0",B212:B3130,"1 2 3 5 2 12 31111 6 M78 10000 251 00I 002 61200 025 2210000 2024 00000000 002*")-SUMIFS(E212:E3130,K212:K3130,"0",B212:B3130,"1 2 3 5 2 12 31111 6 M78 10000 251 00I 002 61200 025 2210000 2024 00000000 002*")</f>
        <v>0</v>
      </c>
      <c r="E211"/>
      <c r="F211" s="31">
        <f>SUMIFS(F212:F3130,K212:K3130,"0",B212:B3130,"1 2 3 5 2 12 31111 6 M78 10000 251 00I 002 61200 025 2210000 2024 00000000 002*")</f>
        <v>4677488.0999999996</v>
      </c>
      <c r="G211" s="31">
        <f>SUMIFS(G212:G3130,K212:K3130,"0",B212:B3130,"1 2 3 5 2 12 31111 6 M78 10000 251 00I 002 61200 025 2210000 2024 00000000 002*")</f>
        <v>0</v>
      </c>
      <c r="H211" s="31">
        <f t="shared" si="3"/>
        <v>4677488.0999999996</v>
      </c>
      <c r="I211" s="31"/>
      <c r="K211" t="s">
        <v>13</v>
      </c>
    </row>
    <row r="212" spans="2:11" ht="22" x14ac:dyDescent="0.15">
      <c r="B212" s="27" t="s">
        <v>324</v>
      </c>
      <c r="C212" s="27" t="s">
        <v>325</v>
      </c>
      <c r="D212" s="30">
        <v>0</v>
      </c>
      <c r="E212" s="30"/>
      <c r="F212" s="30">
        <v>474325.4</v>
      </c>
      <c r="G212" s="30">
        <v>0</v>
      </c>
      <c r="H212" s="30">
        <f t="shared" si="3"/>
        <v>474325.4</v>
      </c>
      <c r="I212" s="30"/>
      <c r="K212" t="s">
        <v>37</v>
      </c>
    </row>
    <row r="213" spans="2:11" ht="22" x14ac:dyDescent="0.15">
      <c r="B213" s="27" t="s">
        <v>326</v>
      </c>
      <c r="C213" s="27" t="s">
        <v>327</v>
      </c>
      <c r="D213" s="30">
        <v>0</v>
      </c>
      <c r="E213" s="30"/>
      <c r="F213" s="30">
        <v>1056080.46</v>
      </c>
      <c r="G213" s="30">
        <v>0</v>
      </c>
      <c r="H213" s="30">
        <f t="shared" si="3"/>
        <v>1056080.46</v>
      </c>
      <c r="I213" s="30"/>
      <c r="K213" t="s">
        <v>37</v>
      </c>
    </row>
    <row r="214" spans="2:11" ht="22" x14ac:dyDescent="0.15">
      <c r="B214" s="27" t="s">
        <v>328</v>
      </c>
      <c r="C214" s="27" t="s">
        <v>329</v>
      </c>
      <c r="D214" s="30">
        <v>0</v>
      </c>
      <c r="E214" s="30"/>
      <c r="F214" s="30">
        <v>494289.75</v>
      </c>
      <c r="G214" s="30">
        <v>0</v>
      </c>
      <c r="H214" s="30">
        <f t="shared" si="3"/>
        <v>494289.75</v>
      </c>
      <c r="I214" s="30"/>
      <c r="K214" t="s">
        <v>37</v>
      </c>
    </row>
    <row r="215" spans="2:11" ht="22" x14ac:dyDescent="0.15">
      <c r="B215" s="27" t="s">
        <v>330</v>
      </c>
      <c r="C215" s="27" t="s">
        <v>331</v>
      </c>
      <c r="D215" s="30">
        <v>0</v>
      </c>
      <c r="E215" s="30"/>
      <c r="F215" s="30">
        <v>662671.62</v>
      </c>
      <c r="G215" s="30">
        <v>0</v>
      </c>
      <c r="H215" s="30">
        <f t="shared" si="3"/>
        <v>662671.62</v>
      </c>
      <c r="I215" s="30"/>
      <c r="K215" t="s">
        <v>37</v>
      </c>
    </row>
    <row r="216" spans="2:11" ht="22" x14ac:dyDescent="0.15">
      <c r="B216" s="27" t="s">
        <v>332</v>
      </c>
      <c r="C216" s="27" t="s">
        <v>333</v>
      </c>
      <c r="D216" s="30">
        <v>0</v>
      </c>
      <c r="E216" s="30"/>
      <c r="F216" s="30">
        <v>493604.83</v>
      </c>
      <c r="G216" s="30">
        <v>0</v>
      </c>
      <c r="H216" s="30">
        <f t="shared" si="3"/>
        <v>493604.83</v>
      </c>
      <c r="I216" s="30"/>
      <c r="K216" t="s">
        <v>37</v>
      </c>
    </row>
    <row r="217" spans="2:11" ht="22" x14ac:dyDescent="0.15">
      <c r="B217" s="27" t="s">
        <v>334</v>
      </c>
      <c r="C217" s="27" t="s">
        <v>335</v>
      </c>
      <c r="D217" s="30">
        <v>0</v>
      </c>
      <c r="E217" s="30"/>
      <c r="F217" s="30">
        <v>389796.85</v>
      </c>
      <c r="G217" s="30">
        <v>0</v>
      </c>
      <c r="H217" s="30">
        <f t="shared" si="3"/>
        <v>389796.85</v>
      </c>
      <c r="I217" s="30"/>
      <c r="K217" t="s">
        <v>37</v>
      </c>
    </row>
    <row r="218" spans="2:11" ht="22" x14ac:dyDescent="0.15">
      <c r="B218" s="27" t="s">
        <v>336</v>
      </c>
      <c r="C218" s="27" t="s">
        <v>337</v>
      </c>
      <c r="D218" s="30">
        <v>0</v>
      </c>
      <c r="E218" s="30"/>
      <c r="F218" s="30">
        <v>1106719.19</v>
      </c>
      <c r="G218" s="30">
        <v>0</v>
      </c>
      <c r="H218" s="30">
        <f t="shared" si="3"/>
        <v>1106719.19</v>
      </c>
      <c r="I218" s="30"/>
      <c r="K218" t="s">
        <v>37</v>
      </c>
    </row>
    <row r="219" spans="2:11" ht="22" x14ac:dyDescent="0.15">
      <c r="B219" s="29" t="s">
        <v>338</v>
      </c>
      <c r="C219" s="29" t="s">
        <v>339</v>
      </c>
      <c r="D219" s="31">
        <f>SUMIFS(D220:D3130,K220:K3130,"0",B220:B3130,"1 2 3 5 3*")-SUMIFS(E220:E3130,K220:K3130,"0",B220:B3130,"1 2 3 5 3*")</f>
        <v>0</v>
      </c>
      <c r="E219"/>
      <c r="F219" s="31">
        <f>SUMIFS(F220:F3130,K220:K3130,"0",B220:B3130,"1 2 3 5 3*")</f>
        <v>4308654.0800000001</v>
      </c>
      <c r="G219" s="31">
        <f>SUMIFS(G220:G3130,K220:K3130,"0",B220:B3130,"1 2 3 5 3*")</f>
        <v>0</v>
      </c>
      <c r="H219" s="31">
        <f t="shared" si="3"/>
        <v>4308654.0800000001</v>
      </c>
      <c r="I219" s="31"/>
      <c r="K219" t="s">
        <v>13</v>
      </c>
    </row>
    <row r="220" spans="2:11" ht="13" x14ac:dyDescent="0.15">
      <c r="B220" s="29" t="s">
        <v>340</v>
      </c>
      <c r="C220" s="29" t="s">
        <v>24</v>
      </c>
      <c r="D220" s="31">
        <f>SUMIFS(D221:D3130,K221:K3130,"0",B221:B3130,"1 2 3 5 3 12*")-SUMIFS(E221:E3130,K221:K3130,"0",B221:B3130,"1 2 3 5 3 12*")</f>
        <v>0</v>
      </c>
      <c r="E220"/>
      <c r="F220" s="31">
        <f>SUMIFS(F221:F3130,K221:K3130,"0",B221:B3130,"1 2 3 5 3 12*")</f>
        <v>4308654.0800000001</v>
      </c>
      <c r="G220" s="31">
        <f>SUMIFS(G221:G3130,K221:K3130,"0",B221:B3130,"1 2 3 5 3 12*")</f>
        <v>0</v>
      </c>
      <c r="H220" s="31">
        <f t="shared" si="3"/>
        <v>4308654.0800000001</v>
      </c>
      <c r="I220" s="31"/>
      <c r="K220" t="s">
        <v>13</v>
      </c>
    </row>
    <row r="221" spans="2:11" ht="13" x14ac:dyDescent="0.15">
      <c r="B221" s="29" t="s">
        <v>341</v>
      </c>
      <c r="C221" s="29" t="s">
        <v>26</v>
      </c>
      <c r="D221" s="31">
        <f>SUMIFS(D222:D3130,K222:K3130,"0",B222:B3130,"1 2 3 5 3 12 31111*")-SUMIFS(E222:E3130,K222:K3130,"0",B222:B3130,"1 2 3 5 3 12 31111*")</f>
        <v>0</v>
      </c>
      <c r="E221"/>
      <c r="F221" s="31">
        <f>SUMIFS(F222:F3130,K222:K3130,"0",B222:B3130,"1 2 3 5 3 12 31111*")</f>
        <v>4308654.0800000001</v>
      </c>
      <c r="G221" s="31">
        <f>SUMIFS(G222:G3130,K222:K3130,"0",B222:B3130,"1 2 3 5 3 12 31111*")</f>
        <v>0</v>
      </c>
      <c r="H221" s="31">
        <f t="shared" si="3"/>
        <v>4308654.0800000001</v>
      </c>
      <c r="I221" s="31"/>
      <c r="K221" t="s">
        <v>13</v>
      </c>
    </row>
    <row r="222" spans="2:11" ht="13" x14ac:dyDescent="0.15">
      <c r="B222" s="29" t="s">
        <v>342</v>
      </c>
      <c r="C222" s="29" t="s">
        <v>28</v>
      </c>
      <c r="D222" s="31">
        <f>SUMIFS(D223:D3130,K223:K3130,"0",B223:B3130,"1 2 3 5 3 12 31111 6*")-SUMIFS(E223:E3130,K223:K3130,"0",B223:B3130,"1 2 3 5 3 12 31111 6*")</f>
        <v>0</v>
      </c>
      <c r="E222"/>
      <c r="F222" s="31">
        <f>SUMIFS(F223:F3130,K223:K3130,"0",B223:B3130,"1 2 3 5 3 12 31111 6*")</f>
        <v>4308654.0800000001</v>
      </c>
      <c r="G222" s="31">
        <f>SUMIFS(G223:G3130,K223:K3130,"0",B223:B3130,"1 2 3 5 3 12 31111 6*")</f>
        <v>0</v>
      </c>
      <c r="H222" s="31">
        <f t="shared" si="3"/>
        <v>4308654.0800000001</v>
      </c>
      <c r="I222" s="31"/>
      <c r="K222" t="s">
        <v>13</v>
      </c>
    </row>
    <row r="223" spans="2:11" ht="13" x14ac:dyDescent="0.15">
      <c r="B223" s="29" t="s">
        <v>343</v>
      </c>
      <c r="C223" s="29" t="s">
        <v>30</v>
      </c>
      <c r="D223" s="31">
        <f>SUMIFS(D224:D3130,K224:K3130,"0",B224:B3130,"1 2 3 5 3 12 31111 6 M78*")-SUMIFS(E224:E3130,K224:K3130,"0",B224:B3130,"1 2 3 5 3 12 31111 6 M78*")</f>
        <v>0</v>
      </c>
      <c r="E223"/>
      <c r="F223" s="31">
        <f>SUMIFS(F224:F3130,K224:K3130,"0",B224:B3130,"1 2 3 5 3 12 31111 6 M78*")</f>
        <v>4308654.0800000001</v>
      </c>
      <c r="G223" s="31">
        <f>SUMIFS(G224:G3130,K224:K3130,"0",B224:B3130,"1 2 3 5 3 12 31111 6 M78*")</f>
        <v>0</v>
      </c>
      <c r="H223" s="31">
        <f t="shared" si="3"/>
        <v>4308654.0800000001</v>
      </c>
      <c r="I223" s="31"/>
      <c r="K223" t="s">
        <v>13</v>
      </c>
    </row>
    <row r="224" spans="2:11" ht="13" x14ac:dyDescent="0.15">
      <c r="B224" s="29" t="s">
        <v>344</v>
      </c>
      <c r="C224" s="29" t="s">
        <v>261</v>
      </c>
      <c r="D224" s="31">
        <f>SUMIFS(D225:D3130,K225:K3130,"0",B225:B3130,"1 2 3 5 3 12 31111 6 M78 10000*")-SUMIFS(E225:E3130,K225:K3130,"0",B225:B3130,"1 2 3 5 3 12 31111 6 M78 10000*")</f>
        <v>0</v>
      </c>
      <c r="E224"/>
      <c r="F224" s="31">
        <f>SUMIFS(F225:F3130,K225:K3130,"0",B225:B3130,"1 2 3 5 3 12 31111 6 M78 10000*")</f>
        <v>4308654.0800000001</v>
      </c>
      <c r="G224" s="31">
        <f>SUMIFS(G225:G3130,K225:K3130,"0",B225:B3130,"1 2 3 5 3 12 31111 6 M78 10000*")</f>
        <v>0</v>
      </c>
      <c r="H224" s="31">
        <f t="shared" si="3"/>
        <v>4308654.0800000001</v>
      </c>
      <c r="I224" s="31"/>
      <c r="K224" t="s">
        <v>13</v>
      </c>
    </row>
    <row r="225" spans="2:11" ht="13" x14ac:dyDescent="0.15">
      <c r="B225" s="29" t="s">
        <v>345</v>
      </c>
      <c r="C225" s="29" t="s">
        <v>346</v>
      </c>
      <c r="D225" s="31">
        <f>SUMIFS(D226:D3130,K226:K3130,"0",B226:B3130,"1 2 3 5 3 12 31111 6 M78 10000 213*")-SUMIFS(E226:E3130,K226:K3130,"0",B226:B3130,"1 2 3 5 3 12 31111 6 M78 10000 213*")</f>
        <v>0</v>
      </c>
      <c r="E225"/>
      <c r="F225" s="31">
        <f>SUMIFS(F226:F3130,K226:K3130,"0",B226:B3130,"1 2 3 5 3 12 31111 6 M78 10000 213*")</f>
        <v>348811.95</v>
      </c>
      <c r="G225" s="31">
        <f>SUMIFS(G226:G3130,K226:K3130,"0",B226:B3130,"1 2 3 5 3 12 31111 6 M78 10000 213*")</f>
        <v>0</v>
      </c>
      <c r="H225" s="31">
        <f t="shared" si="3"/>
        <v>348811.95</v>
      </c>
      <c r="I225" s="31"/>
      <c r="K225" t="s">
        <v>13</v>
      </c>
    </row>
    <row r="226" spans="2:11" ht="13" x14ac:dyDescent="0.15">
      <c r="B226" s="29" t="s">
        <v>347</v>
      </c>
      <c r="C226" s="29" t="s">
        <v>285</v>
      </c>
      <c r="D226" s="31">
        <f>SUMIFS(D227:D3130,K227:K3130,"0",B227:B3130,"1 2 3 5 3 12 31111 6 M78 10000 213 00I*")-SUMIFS(E227:E3130,K227:K3130,"0",B227:B3130,"1 2 3 5 3 12 31111 6 M78 10000 213 00I*")</f>
        <v>0</v>
      </c>
      <c r="E226"/>
      <c r="F226" s="31">
        <f>SUMIFS(F227:F3130,K227:K3130,"0",B227:B3130,"1 2 3 5 3 12 31111 6 M78 10000 213 00I*")</f>
        <v>348811.95</v>
      </c>
      <c r="G226" s="31">
        <f>SUMIFS(G227:G3130,K227:K3130,"0",B227:B3130,"1 2 3 5 3 12 31111 6 M78 10000 213 00I*")</f>
        <v>0</v>
      </c>
      <c r="H226" s="31">
        <f t="shared" si="3"/>
        <v>348811.95</v>
      </c>
      <c r="I226" s="31"/>
      <c r="K226" t="s">
        <v>13</v>
      </c>
    </row>
    <row r="227" spans="2:11" ht="13" x14ac:dyDescent="0.15">
      <c r="B227" s="29" t="s">
        <v>348</v>
      </c>
      <c r="C227" s="29" t="s">
        <v>267</v>
      </c>
      <c r="D227" s="31">
        <f>SUMIFS(D228:D3130,K228:K3130,"0",B228:B3130,"1 2 3 5 3 12 31111 6 M78 10000 213 00I 002*")-SUMIFS(E228:E3130,K228:K3130,"0",B228:B3130,"1 2 3 5 3 12 31111 6 M78 10000 213 00I 002*")</f>
        <v>0</v>
      </c>
      <c r="E227"/>
      <c r="F227" s="31">
        <f>SUMIFS(F228:F3130,K228:K3130,"0",B228:B3130,"1 2 3 5 3 12 31111 6 M78 10000 213 00I 002*")</f>
        <v>348811.95</v>
      </c>
      <c r="G227" s="31">
        <f>SUMIFS(G228:G3130,K228:K3130,"0",B228:B3130,"1 2 3 5 3 12 31111 6 M78 10000 213 00I 002*")</f>
        <v>0</v>
      </c>
      <c r="H227" s="31">
        <f t="shared" si="3"/>
        <v>348811.95</v>
      </c>
      <c r="I227" s="31"/>
      <c r="K227" t="s">
        <v>13</v>
      </c>
    </row>
    <row r="228" spans="2:11" ht="22" x14ac:dyDescent="0.15">
      <c r="B228" s="29" t="s">
        <v>349</v>
      </c>
      <c r="C228" s="29" t="s">
        <v>350</v>
      </c>
      <c r="D228" s="31">
        <f>SUMIFS(D229:D3130,K229:K3130,"0",B229:B3130,"1 2 3 5 3 12 31111 6 M78 10000 213 00I 002 61300*")-SUMIFS(E229:E3130,K229:K3130,"0",B229:B3130,"1 2 3 5 3 12 31111 6 M78 10000 213 00I 002 61300*")</f>
        <v>0</v>
      </c>
      <c r="E228"/>
      <c r="F228" s="31">
        <f>SUMIFS(F229:F3130,K229:K3130,"0",B229:B3130,"1 2 3 5 3 12 31111 6 M78 10000 213 00I 002 61300*")</f>
        <v>348811.95</v>
      </c>
      <c r="G228" s="31">
        <f>SUMIFS(G229:G3130,K229:K3130,"0",B229:B3130,"1 2 3 5 3 12 31111 6 M78 10000 213 00I 002 61300*")</f>
        <v>0</v>
      </c>
      <c r="H228" s="31">
        <f t="shared" si="3"/>
        <v>348811.95</v>
      </c>
      <c r="I228" s="31"/>
      <c r="K228" t="s">
        <v>13</v>
      </c>
    </row>
    <row r="229" spans="2:11" ht="22" x14ac:dyDescent="0.15">
      <c r="B229" s="29" t="s">
        <v>351</v>
      </c>
      <c r="C229" s="29" t="s">
        <v>290</v>
      </c>
      <c r="D229" s="31">
        <f>SUMIFS(D230:D3130,K230:K3130,"0",B230:B3130,"1 2 3 5 3 12 31111 6 M78 10000 213 00I 002 61300 025*")-SUMIFS(E230:E3130,K230:K3130,"0",B230:B3130,"1 2 3 5 3 12 31111 6 M78 10000 213 00I 002 61300 025*")</f>
        <v>0</v>
      </c>
      <c r="E229"/>
      <c r="F229" s="31">
        <f>SUMIFS(F230:F3130,K230:K3130,"0",B230:B3130,"1 2 3 5 3 12 31111 6 M78 10000 213 00I 002 61300 025*")</f>
        <v>348811.95</v>
      </c>
      <c r="G229" s="31">
        <f>SUMIFS(G230:G3130,K230:K3130,"0",B230:B3130,"1 2 3 5 3 12 31111 6 M78 10000 213 00I 002 61300 025*")</f>
        <v>0</v>
      </c>
      <c r="H229" s="31">
        <f t="shared" si="3"/>
        <v>348811.95</v>
      </c>
      <c r="I229" s="31"/>
      <c r="K229" t="s">
        <v>13</v>
      </c>
    </row>
    <row r="230" spans="2:11" ht="22" x14ac:dyDescent="0.15">
      <c r="B230" s="29" t="s">
        <v>352</v>
      </c>
      <c r="C230" s="29" t="s">
        <v>273</v>
      </c>
      <c r="D230" s="31">
        <f>SUMIFS(D231:D3130,K231:K3130,"0",B231:B3130,"1 2 3 5 3 12 31111 6 M78 10000 213 00I 002 61300 025 2210000*")-SUMIFS(E231:E3130,K231:K3130,"0",B231:B3130,"1 2 3 5 3 12 31111 6 M78 10000 213 00I 002 61300 025 2210000*")</f>
        <v>0</v>
      </c>
      <c r="E230"/>
      <c r="F230" s="31">
        <f>SUMIFS(F231:F3130,K231:K3130,"0",B231:B3130,"1 2 3 5 3 12 31111 6 M78 10000 213 00I 002 61300 025 2210000*")</f>
        <v>348811.95</v>
      </c>
      <c r="G230" s="31">
        <f>SUMIFS(G231:G3130,K231:K3130,"0",B231:B3130,"1 2 3 5 3 12 31111 6 M78 10000 213 00I 002 61300 025 2210000*")</f>
        <v>0</v>
      </c>
      <c r="H230" s="31">
        <f t="shared" si="3"/>
        <v>348811.95</v>
      </c>
      <c r="I230" s="31"/>
      <c r="K230" t="s">
        <v>13</v>
      </c>
    </row>
    <row r="231" spans="2:11" ht="22" x14ac:dyDescent="0.15">
      <c r="B231" s="29" t="s">
        <v>353</v>
      </c>
      <c r="C231" s="29" t="s">
        <v>275</v>
      </c>
      <c r="D231" s="31">
        <f>SUMIFS(D232:D3130,K232:K3130,"0",B232:B3130,"1 2 3 5 3 12 31111 6 M78 10000 213 00I 002 61300 025 2210000 2024*")-SUMIFS(E232:E3130,K232:K3130,"0",B232:B3130,"1 2 3 5 3 12 31111 6 M78 10000 213 00I 002 61300 025 2210000 2024*")</f>
        <v>0</v>
      </c>
      <c r="E231"/>
      <c r="F231" s="31">
        <f>SUMIFS(F232:F3130,K232:K3130,"0",B232:B3130,"1 2 3 5 3 12 31111 6 M78 10000 213 00I 002 61300 025 2210000 2024*")</f>
        <v>348811.95</v>
      </c>
      <c r="G231" s="31">
        <f>SUMIFS(G232:G3130,K232:K3130,"0",B232:B3130,"1 2 3 5 3 12 31111 6 M78 10000 213 00I 002 61300 025 2210000 2024*")</f>
        <v>0</v>
      </c>
      <c r="H231" s="31">
        <f t="shared" si="3"/>
        <v>348811.95</v>
      </c>
      <c r="I231" s="31"/>
      <c r="K231" t="s">
        <v>13</v>
      </c>
    </row>
    <row r="232" spans="2:11" ht="22" x14ac:dyDescent="0.15">
      <c r="B232" s="29" t="s">
        <v>354</v>
      </c>
      <c r="C232" s="29" t="s">
        <v>277</v>
      </c>
      <c r="D232" s="31">
        <f>SUMIFS(D233:D3130,K233:K3130,"0",B233:B3130,"1 2 3 5 3 12 31111 6 M78 10000 213 00I 002 61300 025 2210000 2024 00000000*")-SUMIFS(E233:E3130,K233:K3130,"0",B233:B3130,"1 2 3 5 3 12 31111 6 M78 10000 213 00I 002 61300 025 2210000 2024 00000000*")</f>
        <v>0</v>
      </c>
      <c r="E232"/>
      <c r="F232" s="31">
        <f>SUMIFS(F233:F3130,K233:K3130,"0",B233:B3130,"1 2 3 5 3 12 31111 6 M78 10000 213 00I 002 61300 025 2210000 2024 00000000*")</f>
        <v>348811.95</v>
      </c>
      <c r="G232" s="31">
        <f>SUMIFS(G233:G3130,K233:K3130,"0",B233:B3130,"1 2 3 5 3 12 31111 6 M78 10000 213 00I 002 61300 025 2210000 2024 00000000*")</f>
        <v>0</v>
      </c>
      <c r="H232" s="31">
        <f t="shared" si="3"/>
        <v>348811.95</v>
      </c>
      <c r="I232" s="31"/>
      <c r="K232" t="s">
        <v>13</v>
      </c>
    </row>
    <row r="233" spans="2:11" ht="22" x14ac:dyDescent="0.15">
      <c r="B233" s="29" t="s">
        <v>355</v>
      </c>
      <c r="C233" s="29" t="s">
        <v>295</v>
      </c>
      <c r="D233" s="31">
        <f>SUMIFS(D234:D3130,K234:K3130,"0",B234:B3130,"1 2 3 5 3 12 31111 6 M78 10000 213 00I 002 61300 025 2210000 2024 00000000 002*")-SUMIFS(E234:E3130,K234:K3130,"0",B234:B3130,"1 2 3 5 3 12 31111 6 M78 10000 213 00I 002 61300 025 2210000 2024 00000000 002*")</f>
        <v>0</v>
      </c>
      <c r="E233"/>
      <c r="F233" s="31">
        <f>SUMIFS(F234:F3130,K234:K3130,"0",B234:B3130,"1 2 3 5 3 12 31111 6 M78 10000 213 00I 002 61300 025 2210000 2024 00000000 002*")</f>
        <v>348811.95</v>
      </c>
      <c r="G233" s="31">
        <f>SUMIFS(G234:G3130,K234:K3130,"0",B234:B3130,"1 2 3 5 3 12 31111 6 M78 10000 213 00I 002 61300 025 2210000 2024 00000000 002*")</f>
        <v>0</v>
      </c>
      <c r="H233" s="31">
        <f t="shared" si="3"/>
        <v>348811.95</v>
      </c>
      <c r="I233" s="31"/>
      <c r="K233" t="s">
        <v>13</v>
      </c>
    </row>
    <row r="234" spans="2:11" ht="22" x14ac:dyDescent="0.15">
      <c r="B234" s="27" t="s">
        <v>356</v>
      </c>
      <c r="C234" s="27" t="s">
        <v>357</v>
      </c>
      <c r="D234" s="30">
        <v>0</v>
      </c>
      <c r="E234" s="30"/>
      <c r="F234" s="30">
        <v>348811.95</v>
      </c>
      <c r="G234" s="30">
        <v>0</v>
      </c>
      <c r="H234" s="30">
        <f t="shared" si="3"/>
        <v>348811.95</v>
      </c>
      <c r="I234" s="30"/>
      <c r="K234" t="s">
        <v>37</v>
      </c>
    </row>
    <row r="235" spans="2:11" ht="13" x14ac:dyDescent="0.15">
      <c r="B235" s="29" t="s">
        <v>358</v>
      </c>
      <c r="C235" s="29" t="s">
        <v>359</v>
      </c>
      <c r="D235" s="31">
        <f>SUMIFS(D236:D3130,K236:K3130,"0",B236:B3130,"1 2 3 5 3 12 31111 6 M78 10000 223*")-SUMIFS(E236:E3130,K236:K3130,"0",B236:B3130,"1 2 3 5 3 12 31111 6 M78 10000 223*")</f>
        <v>0</v>
      </c>
      <c r="E235"/>
      <c r="F235" s="31">
        <f>SUMIFS(F236:F3130,K236:K3130,"0",B236:B3130,"1 2 3 5 3 12 31111 6 M78 10000 223*")</f>
        <v>2932601.62</v>
      </c>
      <c r="G235" s="31">
        <f>SUMIFS(G236:G3130,K236:K3130,"0",B236:B3130,"1 2 3 5 3 12 31111 6 M78 10000 223*")</f>
        <v>0</v>
      </c>
      <c r="H235" s="31">
        <f t="shared" si="3"/>
        <v>2932601.62</v>
      </c>
      <c r="I235" s="31"/>
      <c r="K235" t="s">
        <v>13</v>
      </c>
    </row>
    <row r="236" spans="2:11" ht="13" x14ac:dyDescent="0.15">
      <c r="B236" s="29" t="s">
        <v>360</v>
      </c>
      <c r="C236" s="29" t="s">
        <v>285</v>
      </c>
      <c r="D236" s="31">
        <f>SUMIFS(D237:D3130,K237:K3130,"0",B237:B3130,"1 2 3 5 3 12 31111 6 M78 10000 223 00I*")-SUMIFS(E237:E3130,K237:K3130,"0",B237:B3130,"1 2 3 5 3 12 31111 6 M78 10000 223 00I*")</f>
        <v>0</v>
      </c>
      <c r="E236"/>
      <c r="F236" s="31">
        <f>SUMIFS(F237:F3130,K237:K3130,"0",B237:B3130,"1 2 3 5 3 12 31111 6 M78 10000 223 00I*")</f>
        <v>2932601.62</v>
      </c>
      <c r="G236" s="31">
        <f>SUMIFS(G237:G3130,K237:K3130,"0",B237:B3130,"1 2 3 5 3 12 31111 6 M78 10000 223 00I*")</f>
        <v>0</v>
      </c>
      <c r="H236" s="31">
        <f t="shared" si="3"/>
        <v>2932601.62</v>
      </c>
      <c r="I236" s="31"/>
      <c r="K236" t="s">
        <v>13</v>
      </c>
    </row>
    <row r="237" spans="2:11" ht="13" x14ac:dyDescent="0.15">
      <c r="B237" s="29" t="s">
        <v>361</v>
      </c>
      <c r="C237" s="29" t="s">
        <v>267</v>
      </c>
      <c r="D237" s="31">
        <f>SUMIFS(D238:D3130,K238:K3130,"0",B238:B3130,"1 2 3 5 3 12 31111 6 M78 10000 223 00I 002*")-SUMIFS(E238:E3130,K238:K3130,"0",B238:B3130,"1 2 3 5 3 12 31111 6 M78 10000 223 00I 002*")</f>
        <v>0</v>
      </c>
      <c r="E237"/>
      <c r="F237" s="31">
        <f>SUMIFS(F238:F3130,K238:K3130,"0",B238:B3130,"1 2 3 5 3 12 31111 6 M78 10000 223 00I 002*")</f>
        <v>2932601.62</v>
      </c>
      <c r="G237" s="31">
        <f>SUMIFS(G238:G3130,K238:K3130,"0",B238:B3130,"1 2 3 5 3 12 31111 6 M78 10000 223 00I 002*")</f>
        <v>0</v>
      </c>
      <c r="H237" s="31">
        <f t="shared" si="3"/>
        <v>2932601.62</v>
      </c>
      <c r="I237" s="31"/>
      <c r="K237" t="s">
        <v>13</v>
      </c>
    </row>
    <row r="238" spans="2:11" ht="22" x14ac:dyDescent="0.15">
      <c r="B238" s="29" t="s">
        <v>362</v>
      </c>
      <c r="C238" s="29" t="s">
        <v>350</v>
      </c>
      <c r="D238" s="31">
        <f>SUMIFS(D239:D3130,K239:K3130,"0",B239:B3130,"1 2 3 5 3 12 31111 6 M78 10000 223 00I 002 61300*")-SUMIFS(E239:E3130,K239:K3130,"0",B239:B3130,"1 2 3 5 3 12 31111 6 M78 10000 223 00I 002 61300*")</f>
        <v>0</v>
      </c>
      <c r="E238"/>
      <c r="F238" s="31">
        <f>SUMIFS(F239:F3130,K239:K3130,"0",B239:B3130,"1 2 3 5 3 12 31111 6 M78 10000 223 00I 002 61300*")</f>
        <v>2932601.62</v>
      </c>
      <c r="G238" s="31">
        <f>SUMIFS(G239:G3130,K239:K3130,"0",B239:B3130,"1 2 3 5 3 12 31111 6 M78 10000 223 00I 002 61300*")</f>
        <v>0</v>
      </c>
      <c r="H238" s="31">
        <f t="shared" si="3"/>
        <v>2932601.62</v>
      </c>
      <c r="I238" s="31"/>
      <c r="K238" t="s">
        <v>13</v>
      </c>
    </row>
    <row r="239" spans="2:11" ht="22" x14ac:dyDescent="0.15">
      <c r="B239" s="29" t="s">
        <v>363</v>
      </c>
      <c r="C239" s="29" t="s">
        <v>290</v>
      </c>
      <c r="D239" s="31">
        <f>SUMIFS(D240:D3130,K240:K3130,"0",B240:B3130,"1 2 3 5 3 12 31111 6 M78 10000 223 00I 002 61300 025*")-SUMIFS(E240:E3130,K240:K3130,"0",B240:B3130,"1 2 3 5 3 12 31111 6 M78 10000 223 00I 002 61300 025*")</f>
        <v>0</v>
      </c>
      <c r="E239"/>
      <c r="F239" s="31">
        <f>SUMIFS(F240:F3130,K240:K3130,"0",B240:B3130,"1 2 3 5 3 12 31111 6 M78 10000 223 00I 002 61300 025*")</f>
        <v>2932601.62</v>
      </c>
      <c r="G239" s="31">
        <f>SUMIFS(G240:G3130,K240:K3130,"0",B240:B3130,"1 2 3 5 3 12 31111 6 M78 10000 223 00I 002 61300 025*")</f>
        <v>0</v>
      </c>
      <c r="H239" s="31">
        <f t="shared" si="3"/>
        <v>2932601.62</v>
      </c>
      <c r="I239" s="31"/>
      <c r="K239" t="s">
        <v>13</v>
      </c>
    </row>
    <row r="240" spans="2:11" ht="22" x14ac:dyDescent="0.15">
      <c r="B240" s="29" t="s">
        <v>364</v>
      </c>
      <c r="C240" s="29" t="s">
        <v>273</v>
      </c>
      <c r="D240" s="31">
        <f>SUMIFS(D241:D3130,K241:K3130,"0",B241:B3130,"1 2 3 5 3 12 31111 6 M78 10000 223 00I 002 61300 025 2210000*")-SUMIFS(E241:E3130,K241:K3130,"0",B241:B3130,"1 2 3 5 3 12 31111 6 M78 10000 223 00I 002 61300 025 2210000*")</f>
        <v>0</v>
      </c>
      <c r="E240"/>
      <c r="F240" s="31">
        <f>SUMIFS(F241:F3130,K241:K3130,"0",B241:B3130,"1 2 3 5 3 12 31111 6 M78 10000 223 00I 002 61300 025 2210000*")</f>
        <v>2932601.62</v>
      </c>
      <c r="G240" s="31">
        <f>SUMIFS(G241:G3130,K241:K3130,"0",B241:B3130,"1 2 3 5 3 12 31111 6 M78 10000 223 00I 002 61300 025 2210000*")</f>
        <v>0</v>
      </c>
      <c r="H240" s="31">
        <f t="shared" si="3"/>
        <v>2932601.62</v>
      </c>
      <c r="I240" s="31"/>
      <c r="K240" t="s">
        <v>13</v>
      </c>
    </row>
    <row r="241" spans="2:11" ht="22" x14ac:dyDescent="0.15">
      <c r="B241" s="29" t="s">
        <v>365</v>
      </c>
      <c r="C241" s="29" t="s">
        <v>275</v>
      </c>
      <c r="D241" s="31">
        <f>SUMIFS(D242:D3130,K242:K3130,"0",B242:B3130,"1 2 3 5 3 12 31111 6 M78 10000 223 00I 002 61300 025 2210000 2024*")-SUMIFS(E242:E3130,K242:K3130,"0",B242:B3130,"1 2 3 5 3 12 31111 6 M78 10000 223 00I 002 61300 025 2210000 2024*")</f>
        <v>0</v>
      </c>
      <c r="E241"/>
      <c r="F241" s="31">
        <f>SUMIFS(F242:F3130,K242:K3130,"0",B242:B3130,"1 2 3 5 3 12 31111 6 M78 10000 223 00I 002 61300 025 2210000 2024*")</f>
        <v>2932601.62</v>
      </c>
      <c r="G241" s="31">
        <f>SUMIFS(G242:G3130,K242:K3130,"0",B242:B3130,"1 2 3 5 3 12 31111 6 M78 10000 223 00I 002 61300 025 2210000 2024*")</f>
        <v>0</v>
      </c>
      <c r="H241" s="31">
        <f t="shared" si="3"/>
        <v>2932601.62</v>
      </c>
      <c r="I241" s="31"/>
      <c r="K241" t="s">
        <v>13</v>
      </c>
    </row>
    <row r="242" spans="2:11" ht="22" x14ac:dyDescent="0.15">
      <c r="B242" s="29" t="s">
        <v>366</v>
      </c>
      <c r="C242" s="29" t="s">
        <v>277</v>
      </c>
      <c r="D242" s="31">
        <f>SUMIFS(D243:D3130,K243:K3130,"0",B243:B3130,"1 2 3 5 3 12 31111 6 M78 10000 223 00I 002 61300 025 2210000 2024 00000000*")-SUMIFS(E243:E3130,K243:K3130,"0",B243:B3130,"1 2 3 5 3 12 31111 6 M78 10000 223 00I 002 61300 025 2210000 2024 00000000*")</f>
        <v>0</v>
      </c>
      <c r="E242"/>
      <c r="F242" s="31">
        <f>SUMIFS(F243:F3130,K243:K3130,"0",B243:B3130,"1 2 3 5 3 12 31111 6 M78 10000 223 00I 002 61300 025 2210000 2024 00000000*")</f>
        <v>2932601.62</v>
      </c>
      <c r="G242" s="31">
        <f>SUMIFS(G243:G3130,K243:K3130,"0",B243:B3130,"1 2 3 5 3 12 31111 6 M78 10000 223 00I 002 61300 025 2210000 2024 00000000*")</f>
        <v>0</v>
      </c>
      <c r="H242" s="31">
        <f t="shared" si="3"/>
        <v>2932601.62</v>
      </c>
      <c r="I242" s="31"/>
      <c r="K242" t="s">
        <v>13</v>
      </c>
    </row>
    <row r="243" spans="2:11" ht="22" x14ac:dyDescent="0.15">
      <c r="B243" s="29" t="s">
        <v>367</v>
      </c>
      <c r="C243" s="29" t="s">
        <v>295</v>
      </c>
      <c r="D243" s="31">
        <f>SUMIFS(D244:D3130,K244:K3130,"0",B244:B3130,"1 2 3 5 3 12 31111 6 M78 10000 223 00I 002 61300 025 2210000 2024 00000000 002*")-SUMIFS(E244:E3130,K244:K3130,"0",B244:B3130,"1 2 3 5 3 12 31111 6 M78 10000 223 00I 002 61300 025 2210000 2024 00000000 002*")</f>
        <v>0</v>
      </c>
      <c r="E243"/>
      <c r="F243" s="31">
        <f>SUMIFS(F244:F3130,K244:K3130,"0",B244:B3130,"1 2 3 5 3 12 31111 6 M78 10000 223 00I 002 61300 025 2210000 2024 00000000 002*")</f>
        <v>2932601.62</v>
      </c>
      <c r="G243" s="31">
        <f>SUMIFS(G244:G3130,K244:K3130,"0",B244:B3130,"1 2 3 5 3 12 31111 6 M78 10000 223 00I 002 61300 025 2210000 2024 00000000 002*")</f>
        <v>0</v>
      </c>
      <c r="H243" s="31">
        <f t="shared" si="3"/>
        <v>2932601.62</v>
      </c>
      <c r="I243" s="31"/>
      <c r="K243" t="s">
        <v>13</v>
      </c>
    </row>
    <row r="244" spans="2:11" ht="22" x14ac:dyDescent="0.15">
      <c r="B244" s="27" t="s">
        <v>368</v>
      </c>
      <c r="C244" s="27" t="s">
        <v>369</v>
      </c>
      <c r="D244" s="30">
        <v>0</v>
      </c>
      <c r="E244" s="30"/>
      <c r="F244" s="30">
        <v>1682601.62</v>
      </c>
      <c r="G244" s="30">
        <v>0</v>
      </c>
      <c r="H244" s="30">
        <f t="shared" si="3"/>
        <v>1682601.62</v>
      </c>
      <c r="I244" s="30"/>
      <c r="K244" t="s">
        <v>37</v>
      </c>
    </row>
    <row r="245" spans="2:11" ht="22" x14ac:dyDescent="0.15">
      <c r="B245" s="27" t="s">
        <v>370</v>
      </c>
      <c r="C245" s="27" t="s">
        <v>371</v>
      </c>
      <c r="D245" s="30">
        <v>0</v>
      </c>
      <c r="E245" s="30"/>
      <c r="F245" s="30">
        <v>1250000</v>
      </c>
      <c r="G245" s="30">
        <v>0</v>
      </c>
      <c r="H245" s="30">
        <f t="shared" si="3"/>
        <v>1250000</v>
      </c>
      <c r="I245" s="30"/>
      <c r="K245" t="s">
        <v>37</v>
      </c>
    </row>
    <row r="246" spans="2:11" ht="13" x14ac:dyDescent="0.15">
      <c r="B246" s="29" t="s">
        <v>372</v>
      </c>
      <c r="C246" s="29" t="s">
        <v>373</v>
      </c>
      <c r="D246" s="31">
        <f>SUMIFS(D247:D3130,K247:K3130,"0",B247:B3130,"1 2 3 5 3 12 31111 6 M78 10000 335*")-SUMIFS(E247:E3130,K247:K3130,"0",B247:B3130,"1 2 3 5 3 12 31111 6 M78 10000 335*")</f>
        <v>0</v>
      </c>
      <c r="E246"/>
      <c r="F246" s="31">
        <f>SUMIFS(F247:F3130,K247:K3130,"0",B247:B3130,"1 2 3 5 3 12 31111 6 M78 10000 335*")</f>
        <v>1027240.51</v>
      </c>
      <c r="G246" s="31">
        <f>SUMIFS(G247:G3130,K247:K3130,"0",B247:B3130,"1 2 3 5 3 12 31111 6 M78 10000 335*")</f>
        <v>0</v>
      </c>
      <c r="H246" s="31">
        <f t="shared" si="3"/>
        <v>1027240.51</v>
      </c>
      <c r="I246" s="31"/>
      <c r="K246" t="s">
        <v>13</v>
      </c>
    </row>
    <row r="247" spans="2:11" ht="13" x14ac:dyDescent="0.15">
      <c r="B247" s="29" t="s">
        <v>374</v>
      </c>
      <c r="C247" s="29" t="s">
        <v>285</v>
      </c>
      <c r="D247" s="31">
        <f>SUMIFS(D248:D3130,K248:K3130,"0",B248:B3130,"1 2 3 5 3 12 31111 6 M78 10000 335 00I*")-SUMIFS(E248:E3130,K248:K3130,"0",B248:B3130,"1 2 3 5 3 12 31111 6 M78 10000 335 00I*")</f>
        <v>0</v>
      </c>
      <c r="E247"/>
      <c r="F247" s="31">
        <f>SUMIFS(F248:F3130,K248:K3130,"0",B248:B3130,"1 2 3 5 3 12 31111 6 M78 10000 335 00I*")</f>
        <v>1027240.51</v>
      </c>
      <c r="G247" s="31">
        <f>SUMIFS(G248:G3130,K248:K3130,"0",B248:B3130,"1 2 3 5 3 12 31111 6 M78 10000 335 00I*")</f>
        <v>0</v>
      </c>
      <c r="H247" s="31">
        <f t="shared" si="3"/>
        <v>1027240.51</v>
      </c>
      <c r="I247" s="31"/>
      <c r="K247" t="s">
        <v>13</v>
      </c>
    </row>
    <row r="248" spans="2:11" ht="13" x14ac:dyDescent="0.15">
      <c r="B248" s="29" t="s">
        <v>375</v>
      </c>
      <c r="C248" s="29" t="s">
        <v>267</v>
      </c>
      <c r="D248" s="31">
        <f>SUMIFS(D249:D3130,K249:K3130,"0",B249:B3130,"1 2 3 5 3 12 31111 6 M78 10000 335 00I 002*")-SUMIFS(E249:E3130,K249:K3130,"0",B249:B3130,"1 2 3 5 3 12 31111 6 M78 10000 335 00I 002*")</f>
        <v>0</v>
      </c>
      <c r="E248"/>
      <c r="F248" s="31">
        <f>SUMIFS(F249:F3130,K249:K3130,"0",B249:B3130,"1 2 3 5 3 12 31111 6 M78 10000 335 00I 002*")</f>
        <v>1027240.51</v>
      </c>
      <c r="G248" s="31">
        <f>SUMIFS(G249:G3130,K249:K3130,"0",B249:B3130,"1 2 3 5 3 12 31111 6 M78 10000 335 00I 002*")</f>
        <v>0</v>
      </c>
      <c r="H248" s="31">
        <f t="shared" si="3"/>
        <v>1027240.51</v>
      </c>
      <c r="I248" s="31"/>
      <c r="K248" t="s">
        <v>13</v>
      </c>
    </row>
    <row r="249" spans="2:11" ht="22" x14ac:dyDescent="0.15">
      <c r="B249" s="29" t="s">
        <v>376</v>
      </c>
      <c r="C249" s="29" t="s">
        <v>350</v>
      </c>
      <c r="D249" s="31">
        <f>SUMIFS(D250:D3130,K250:K3130,"0",B250:B3130,"1 2 3 5 3 12 31111 6 M78 10000 335 00I 002 61300*")-SUMIFS(E250:E3130,K250:K3130,"0",B250:B3130,"1 2 3 5 3 12 31111 6 M78 10000 335 00I 002 61300*")</f>
        <v>0</v>
      </c>
      <c r="E249"/>
      <c r="F249" s="31">
        <f>SUMIFS(F250:F3130,K250:K3130,"0",B250:B3130,"1 2 3 5 3 12 31111 6 M78 10000 335 00I 002 61300*")</f>
        <v>1027240.51</v>
      </c>
      <c r="G249" s="31">
        <f>SUMIFS(G250:G3130,K250:K3130,"0",B250:B3130,"1 2 3 5 3 12 31111 6 M78 10000 335 00I 002 61300*")</f>
        <v>0</v>
      </c>
      <c r="H249" s="31">
        <f t="shared" si="3"/>
        <v>1027240.51</v>
      </c>
      <c r="I249" s="31"/>
      <c r="K249" t="s">
        <v>13</v>
      </c>
    </row>
    <row r="250" spans="2:11" ht="22" x14ac:dyDescent="0.15">
      <c r="B250" s="29" t="s">
        <v>377</v>
      </c>
      <c r="C250" s="29" t="s">
        <v>290</v>
      </c>
      <c r="D250" s="31">
        <f>SUMIFS(D251:D3130,K251:K3130,"0",B251:B3130,"1 2 3 5 3 12 31111 6 M78 10000 335 00I 002 61300 025*")-SUMIFS(E251:E3130,K251:K3130,"0",B251:B3130,"1 2 3 5 3 12 31111 6 M78 10000 335 00I 002 61300 025*")</f>
        <v>0</v>
      </c>
      <c r="E250"/>
      <c r="F250" s="31">
        <f>SUMIFS(F251:F3130,K251:K3130,"0",B251:B3130,"1 2 3 5 3 12 31111 6 M78 10000 335 00I 002 61300 025*")</f>
        <v>1027240.51</v>
      </c>
      <c r="G250" s="31">
        <f>SUMIFS(G251:G3130,K251:K3130,"0",B251:B3130,"1 2 3 5 3 12 31111 6 M78 10000 335 00I 002 61300 025*")</f>
        <v>0</v>
      </c>
      <c r="H250" s="31">
        <f t="shared" si="3"/>
        <v>1027240.51</v>
      </c>
      <c r="I250" s="31"/>
      <c r="K250" t="s">
        <v>13</v>
      </c>
    </row>
    <row r="251" spans="2:11" ht="22" x14ac:dyDescent="0.15">
      <c r="B251" s="29" t="s">
        <v>378</v>
      </c>
      <c r="C251" s="29" t="s">
        <v>273</v>
      </c>
      <c r="D251" s="31">
        <f>SUMIFS(D252:D3130,K252:K3130,"0",B252:B3130,"1 2 3 5 3 12 31111 6 M78 10000 335 00I 002 61300 025 2210000*")-SUMIFS(E252:E3130,K252:K3130,"0",B252:B3130,"1 2 3 5 3 12 31111 6 M78 10000 335 00I 002 61300 025 2210000*")</f>
        <v>0</v>
      </c>
      <c r="E251"/>
      <c r="F251" s="31">
        <f>SUMIFS(F252:F3130,K252:K3130,"0",B252:B3130,"1 2 3 5 3 12 31111 6 M78 10000 335 00I 002 61300 025 2210000*")</f>
        <v>1027240.51</v>
      </c>
      <c r="G251" s="31">
        <f>SUMIFS(G252:G3130,K252:K3130,"0",B252:B3130,"1 2 3 5 3 12 31111 6 M78 10000 335 00I 002 61300 025 2210000*")</f>
        <v>0</v>
      </c>
      <c r="H251" s="31">
        <f t="shared" si="3"/>
        <v>1027240.51</v>
      </c>
      <c r="I251" s="31"/>
      <c r="K251" t="s">
        <v>13</v>
      </c>
    </row>
    <row r="252" spans="2:11" ht="22" x14ac:dyDescent="0.15">
      <c r="B252" s="29" t="s">
        <v>379</v>
      </c>
      <c r="C252" s="29" t="s">
        <v>275</v>
      </c>
      <c r="D252" s="31">
        <f>SUMIFS(D253:D3130,K253:K3130,"0",B253:B3130,"1 2 3 5 3 12 31111 6 M78 10000 335 00I 002 61300 025 2210000 2024*")-SUMIFS(E253:E3130,K253:K3130,"0",B253:B3130,"1 2 3 5 3 12 31111 6 M78 10000 335 00I 002 61300 025 2210000 2024*")</f>
        <v>0</v>
      </c>
      <c r="E252"/>
      <c r="F252" s="31">
        <f>SUMIFS(F253:F3130,K253:K3130,"0",B253:B3130,"1 2 3 5 3 12 31111 6 M78 10000 335 00I 002 61300 025 2210000 2024*")</f>
        <v>1027240.51</v>
      </c>
      <c r="G252" s="31">
        <f>SUMIFS(G253:G3130,K253:K3130,"0",B253:B3130,"1 2 3 5 3 12 31111 6 M78 10000 335 00I 002 61300 025 2210000 2024*")</f>
        <v>0</v>
      </c>
      <c r="H252" s="31">
        <f t="shared" si="3"/>
        <v>1027240.51</v>
      </c>
      <c r="I252" s="31"/>
      <c r="K252" t="s">
        <v>13</v>
      </c>
    </row>
    <row r="253" spans="2:11" ht="22" x14ac:dyDescent="0.15">
      <c r="B253" s="29" t="s">
        <v>380</v>
      </c>
      <c r="C253" s="29" t="s">
        <v>277</v>
      </c>
      <c r="D253" s="31">
        <f>SUMIFS(D254:D3130,K254:K3130,"0",B254:B3130,"1 2 3 5 3 12 31111 6 M78 10000 335 00I 002 61300 025 2210000 2024 00000000*")-SUMIFS(E254:E3130,K254:K3130,"0",B254:B3130,"1 2 3 5 3 12 31111 6 M78 10000 335 00I 002 61300 025 2210000 2024 00000000*")</f>
        <v>0</v>
      </c>
      <c r="E253"/>
      <c r="F253" s="31">
        <f>SUMIFS(F254:F3130,K254:K3130,"0",B254:B3130,"1 2 3 5 3 12 31111 6 M78 10000 335 00I 002 61300 025 2210000 2024 00000000*")</f>
        <v>1027240.51</v>
      </c>
      <c r="G253" s="31">
        <f>SUMIFS(G254:G3130,K254:K3130,"0",B254:B3130,"1 2 3 5 3 12 31111 6 M78 10000 335 00I 002 61300 025 2210000 2024 00000000*")</f>
        <v>0</v>
      </c>
      <c r="H253" s="31">
        <f t="shared" si="3"/>
        <v>1027240.51</v>
      </c>
      <c r="I253" s="31"/>
      <c r="K253" t="s">
        <v>13</v>
      </c>
    </row>
    <row r="254" spans="2:11" ht="22" x14ac:dyDescent="0.15">
      <c r="B254" s="29" t="s">
        <v>381</v>
      </c>
      <c r="C254" s="29" t="s">
        <v>295</v>
      </c>
      <c r="D254" s="31">
        <f>SUMIFS(D255:D3130,K255:K3130,"0",B255:B3130,"1 2 3 5 3 12 31111 6 M78 10000 335 00I 002 61300 025 2210000 2024 00000000 002*")-SUMIFS(E255:E3130,K255:K3130,"0",B255:B3130,"1 2 3 5 3 12 31111 6 M78 10000 335 00I 002 61300 025 2210000 2024 00000000 002*")</f>
        <v>0</v>
      </c>
      <c r="E254"/>
      <c r="F254" s="31">
        <f>SUMIFS(F255:F3130,K255:K3130,"0",B255:B3130,"1 2 3 5 3 12 31111 6 M78 10000 335 00I 002 61300 025 2210000 2024 00000000 002*")</f>
        <v>1027240.51</v>
      </c>
      <c r="G254" s="31">
        <f>SUMIFS(G255:G3130,K255:K3130,"0",B255:B3130,"1 2 3 5 3 12 31111 6 M78 10000 335 00I 002 61300 025 2210000 2024 00000000 002*")</f>
        <v>0</v>
      </c>
      <c r="H254" s="31">
        <f t="shared" si="3"/>
        <v>1027240.51</v>
      </c>
      <c r="I254" s="31"/>
      <c r="K254" t="s">
        <v>13</v>
      </c>
    </row>
    <row r="255" spans="2:11" ht="22" x14ac:dyDescent="0.15">
      <c r="B255" s="27" t="s">
        <v>382</v>
      </c>
      <c r="C255" s="27" t="s">
        <v>383</v>
      </c>
      <c r="D255" s="30">
        <v>0</v>
      </c>
      <c r="E255" s="30"/>
      <c r="F255" s="30">
        <v>952743.75</v>
      </c>
      <c r="G255" s="30">
        <v>0</v>
      </c>
      <c r="H255" s="30">
        <f t="shared" si="3"/>
        <v>952743.75</v>
      </c>
      <c r="I255" s="30"/>
      <c r="K255" t="s">
        <v>37</v>
      </c>
    </row>
    <row r="256" spans="2:11" ht="22" x14ac:dyDescent="0.15">
      <c r="B256" s="27" t="s">
        <v>384</v>
      </c>
      <c r="C256" s="27" t="s">
        <v>385</v>
      </c>
      <c r="D256" s="30">
        <v>0</v>
      </c>
      <c r="E256" s="30"/>
      <c r="F256" s="30">
        <v>74496.759999999995</v>
      </c>
      <c r="G256" s="30">
        <v>0</v>
      </c>
      <c r="H256" s="30">
        <f t="shared" si="3"/>
        <v>74496.759999999995</v>
      </c>
      <c r="I256" s="30"/>
      <c r="K256" t="s">
        <v>37</v>
      </c>
    </row>
    <row r="257" spans="2:11" ht="22" x14ac:dyDescent="0.15">
      <c r="B257" s="29" t="s">
        <v>386</v>
      </c>
      <c r="C257" s="29" t="s">
        <v>387</v>
      </c>
      <c r="D257" s="31">
        <f>SUMIFS(D258:D3130,K258:K3130,"0",B258:B3130,"1 2 3 5 4*")-SUMIFS(E258:E3130,K258:K3130,"0",B258:B3130,"1 2 3 5 4*")</f>
        <v>0</v>
      </c>
      <c r="E257"/>
      <c r="F257" s="31">
        <f>SUMIFS(F258:F3130,K258:K3130,"0",B258:B3130,"1 2 3 5 4*")</f>
        <v>47734863.789999999</v>
      </c>
      <c r="G257" s="31">
        <f>SUMIFS(G258:G3130,K258:K3130,"0",B258:B3130,"1 2 3 5 4*")</f>
        <v>0</v>
      </c>
      <c r="H257" s="31">
        <f t="shared" si="3"/>
        <v>47734863.789999999</v>
      </c>
      <c r="I257" s="31"/>
      <c r="K257" t="s">
        <v>13</v>
      </c>
    </row>
    <row r="258" spans="2:11" ht="13" x14ac:dyDescent="0.15">
      <c r="B258" s="29" t="s">
        <v>388</v>
      </c>
      <c r="C258" s="29" t="s">
        <v>24</v>
      </c>
      <c r="D258" s="31">
        <f>SUMIFS(D259:D3130,K259:K3130,"0",B259:B3130,"1 2 3 5 4 12*")-SUMIFS(E259:E3130,K259:K3130,"0",B259:B3130,"1 2 3 5 4 12*")</f>
        <v>0</v>
      </c>
      <c r="E258"/>
      <c r="F258" s="31">
        <f>SUMIFS(F259:F3130,K259:K3130,"0",B259:B3130,"1 2 3 5 4 12*")</f>
        <v>47734863.789999999</v>
      </c>
      <c r="G258" s="31">
        <f>SUMIFS(G259:G3130,K259:K3130,"0",B259:B3130,"1 2 3 5 4 12*")</f>
        <v>0</v>
      </c>
      <c r="H258" s="31">
        <f t="shared" si="3"/>
        <v>47734863.789999999</v>
      </c>
      <c r="I258" s="31"/>
      <c r="K258" t="s">
        <v>13</v>
      </c>
    </row>
    <row r="259" spans="2:11" ht="13" x14ac:dyDescent="0.15">
      <c r="B259" s="29" t="s">
        <v>389</v>
      </c>
      <c r="C259" s="29" t="s">
        <v>26</v>
      </c>
      <c r="D259" s="31">
        <f>SUMIFS(D260:D3130,K260:K3130,"0",B260:B3130,"1 2 3 5 4 12 31111*")-SUMIFS(E260:E3130,K260:K3130,"0",B260:B3130,"1 2 3 5 4 12 31111*")</f>
        <v>0</v>
      </c>
      <c r="E259"/>
      <c r="F259" s="31">
        <f>SUMIFS(F260:F3130,K260:K3130,"0",B260:B3130,"1 2 3 5 4 12 31111*")</f>
        <v>47734863.789999999</v>
      </c>
      <c r="G259" s="31">
        <f>SUMIFS(G260:G3130,K260:K3130,"0",B260:B3130,"1 2 3 5 4 12 31111*")</f>
        <v>0</v>
      </c>
      <c r="H259" s="31">
        <f t="shared" si="3"/>
        <v>47734863.789999999</v>
      </c>
      <c r="I259" s="31"/>
      <c r="K259" t="s">
        <v>13</v>
      </c>
    </row>
    <row r="260" spans="2:11" ht="13" x14ac:dyDescent="0.15">
      <c r="B260" s="29" t="s">
        <v>390</v>
      </c>
      <c r="C260" s="29" t="s">
        <v>28</v>
      </c>
      <c r="D260" s="31">
        <f>SUMIFS(D261:D3130,K261:K3130,"0",B261:B3130,"1 2 3 5 4 12 31111 6*")-SUMIFS(E261:E3130,K261:K3130,"0",B261:B3130,"1 2 3 5 4 12 31111 6*")</f>
        <v>0</v>
      </c>
      <c r="E260"/>
      <c r="F260" s="31">
        <f>SUMIFS(F261:F3130,K261:K3130,"0",B261:B3130,"1 2 3 5 4 12 31111 6*")</f>
        <v>47734863.789999999</v>
      </c>
      <c r="G260" s="31">
        <f>SUMIFS(G261:G3130,K261:K3130,"0",B261:B3130,"1 2 3 5 4 12 31111 6*")</f>
        <v>0</v>
      </c>
      <c r="H260" s="31">
        <f t="shared" si="3"/>
        <v>47734863.789999999</v>
      </c>
      <c r="I260" s="31"/>
      <c r="K260" t="s">
        <v>13</v>
      </c>
    </row>
    <row r="261" spans="2:11" ht="13" x14ac:dyDescent="0.15">
      <c r="B261" s="29" t="s">
        <v>391</v>
      </c>
      <c r="C261" s="29" t="s">
        <v>30</v>
      </c>
      <c r="D261" s="31">
        <f>SUMIFS(D262:D3130,K262:K3130,"0",B262:B3130,"1 2 3 5 4 12 31111 6 M78*")-SUMIFS(E262:E3130,K262:K3130,"0",B262:B3130,"1 2 3 5 4 12 31111 6 M78*")</f>
        <v>0</v>
      </c>
      <c r="E261"/>
      <c r="F261" s="31">
        <f>SUMIFS(F262:F3130,K262:K3130,"0",B262:B3130,"1 2 3 5 4 12 31111 6 M78*")</f>
        <v>47734863.789999999</v>
      </c>
      <c r="G261" s="31">
        <f>SUMIFS(G262:G3130,K262:K3130,"0",B262:B3130,"1 2 3 5 4 12 31111 6 M78*")</f>
        <v>0</v>
      </c>
      <c r="H261" s="31">
        <f t="shared" si="3"/>
        <v>47734863.789999999</v>
      </c>
      <c r="I261" s="31"/>
      <c r="K261" t="s">
        <v>13</v>
      </c>
    </row>
    <row r="262" spans="2:11" ht="13" x14ac:dyDescent="0.15">
      <c r="B262" s="29" t="s">
        <v>392</v>
      </c>
      <c r="C262" s="29" t="s">
        <v>261</v>
      </c>
      <c r="D262" s="31">
        <f>SUMIFS(D263:D3130,K263:K3130,"0",B263:B3130,"1 2 3 5 4 12 31111 6 M78 10000*")-SUMIFS(E263:E3130,K263:K3130,"0",B263:B3130,"1 2 3 5 4 12 31111 6 M78 10000*")</f>
        <v>0</v>
      </c>
      <c r="E262"/>
      <c r="F262" s="31">
        <f>SUMIFS(F263:F3130,K263:K3130,"0",B263:B3130,"1 2 3 5 4 12 31111 6 M78 10000*")</f>
        <v>47734863.789999999</v>
      </c>
      <c r="G262" s="31">
        <f>SUMIFS(G263:G3130,K263:K3130,"0",B263:B3130,"1 2 3 5 4 12 31111 6 M78 10000*")</f>
        <v>0</v>
      </c>
      <c r="H262" s="31">
        <f t="shared" si="3"/>
        <v>47734863.789999999</v>
      </c>
      <c r="I262" s="31"/>
      <c r="K262" t="s">
        <v>13</v>
      </c>
    </row>
    <row r="263" spans="2:11" ht="13" x14ac:dyDescent="0.15">
      <c r="B263" s="29" t="s">
        <v>393</v>
      </c>
      <c r="C263" s="29" t="s">
        <v>394</v>
      </c>
      <c r="D263" s="31">
        <f>SUMIFS(D264:D3130,K264:K3130,"0",B264:B3130,"1 2 3 5 4 12 31111 6 M78 10000 221*")-SUMIFS(E264:E3130,K264:K3130,"0",B264:B3130,"1 2 3 5 4 12 31111 6 M78 10000 221*")</f>
        <v>0</v>
      </c>
      <c r="E263"/>
      <c r="F263" s="31">
        <f>SUMIFS(F264:F3130,K264:K3130,"0",B264:B3130,"1 2 3 5 4 12 31111 6 M78 10000 221*")</f>
        <v>36411053.689999998</v>
      </c>
      <c r="G263" s="31">
        <f>SUMIFS(G264:G3130,K264:K3130,"0",B264:B3130,"1 2 3 5 4 12 31111 6 M78 10000 221*")</f>
        <v>0</v>
      </c>
      <c r="H263" s="31">
        <f t="shared" si="3"/>
        <v>36411053.689999998</v>
      </c>
      <c r="I263" s="31"/>
      <c r="K263" t="s">
        <v>13</v>
      </c>
    </row>
    <row r="264" spans="2:11" ht="13" x14ac:dyDescent="0.15">
      <c r="B264" s="29" t="s">
        <v>395</v>
      </c>
      <c r="C264" s="29" t="s">
        <v>285</v>
      </c>
      <c r="D264" s="31">
        <f>SUMIFS(D265:D3130,K265:K3130,"0",B265:B3130,"1 2 3 5 4 12 31111 6 M78 10000 221 00I*")-SUMIFS(E265:E3130,K265:K3130,"0",B265:B3130,"1 2 3 5 4 12 31111 6 M78 10000 221 00I*")</f>
        <v>0</v>
      </c>
      <c r="E264"/>
      <c r="F264" s="31">
        <f>SUMIFS(F265:F3130,K265:K3130,"0",B265:B3130,"1 2 3 5 4 12 31111 6 M78 10000 221 00I*")</f>
        <v>36411053.689999998</v>
      </c>
      <c r="G264" s="31">
        <f>SUMIFS(G265:G3130,K265:K3130,"0",B265:B3130,"1 2 3 5 4 12 31111 6 M78 10000 221 00I*")</f>
        <v>0</v>
      </c>
      <c r="H264" s="31">
        <f t="shared" si="3"/>
        <v>36411053.689999998</v>
      </c>
      <c r="I264" s="31"/>
      <c r="K264" t="s">
        <v>13</v>
      </c>
    </row>
    <row r="265" spans="2:11" ht="13" x14ac:dyDescent="0.15">
      <c r="B265" s="29" t="s">
        <v>396</v>
      </c>
      <c r="C265" s="29" t="s">
        <v>267</v>
      </c>
      <c r="D265" s="31">
        <f>SUMIFS(D266:D3130,K266:K3130,"0",B266:B3130,"1 2 3 5 4 12 31111 6 M78 10000 221 00I 002*")-SUMIFS(E266:E3130,K266:K3130,"0",B266:B3130,"1 2 3 5 4 12 31111 6 M78 10000 221 00I 002*")</f>
        <v>0</v>
      </c>
      <c r="E265"/>
      <c r="F265" s="31">
        <f>SUMIFS(F266:F3130,K266:K3130,"0",B266:B3130,"1 2 3 5 4 12 31111 6 M78 10000 221 00I 002*")</f>
        <v>36411053.689999998</v>
      </c>
      <c r="G265" s="31">
        <f>SUMIFS(G266:G3130,K266:K3130,"0",B266:B3130,"1 2 3 5 4 12 31111 6 M78 10000 221 00I 002*")</f>
        <v>0</v>
      </c>
      <c r="H265" s="31">
        <f t="shared" si="3"/>
        <v>36411053.689999998</v>
      </c>
      <c r="I265" s="31"/>
      <c r="K265" t="s">
        <v>13</v>
      </c>
    </row>
    <row r="266" spans="2:11" ht="13" x14ac:dyDescent="0.15">
      <c r="B266" s="29" t="s">
        <v>397</v>
      </c>
      <c r="C266" s="29" t="s">
        <v>398</v>
      </c>
      <c r="D266" s="31">
        <f>SUMIFS(D267:D3130,K267:K3130,"0",B267:B3130,"1 2 3 5 4 12 31111 6 M78 10000 221 00I 002 61400*")-SUMIFS(E267:E3130,K267:K3130,"0",B267:B3130,"1 2 3 5 4 12 31111 6 M78 10000 221 00I 002 61400*")</f>
        <v>0</v>
      </c>
      <c r="E266"/>
      <c r="F266" s="31">
        <f>SUMIFS(F267:F3130,K267:K3130,"0",B267:B3130,"1 2 3 5 4 12 31111 6 M78 10000 221 00I 002 61400*")</f>
        <v>36411053.689999998</v>
      </c>
      <c r="G266" s="31">
        <f>SUMIFS(G267:G3130,K267:K3130,"0",B267:B3130,"1 2 3 5 4 12 31111 6 M78 10000 221 00I 002 61400*")</f>
        <v>0</v>
      </c>
      <c r="H266" s="31">
        <f t="shared" ref="H266:H329" si="4">D266 + F266 - G266</f>
        <v>36411053.689999998</v>
      </c>
      <c r="I266" s="31"/>
      <c r="K266" t="s">
        <v>13</v>
      </c>
    </row>
    <row r="267" spans="2:11" ht="22" x14ac:dyDescent="0.15">
      <c r="B267" s="29" t="s">
        <v>399</v>
      </c>
      <c r="C267" s="29" t="s">
        <v>290</v>
      </c>
      <c r="D267" s="31">
        <f>SUMIFS(D268:D3130,K268:K3130,"0",B268:B3130,"1 2 3 5 4 12 31111 6 M78 10000 221 00I 002 61400 025*")-SUMIFS(E268:E3130,K268:K3130,"0",B268:B3130,"1 2 3 5 4 12 31111 6 M78 10000 221 00I 002 61400 025*")</f>
        <v>0</v>
      </c>
      <c r="E267"/>
      <c r="F267" s="31">
        <f>SUMIFS(F268:F3130,K268:K3130,"0",B268:B3130,"1 2 3 5 4 12 31111 6 M78 10000 221 00I 002 61400 025*")</f>
        <v>36411053.689999998</v>
      </c>
      <c r="G267" s="31">
        <f>SUMIFS(G268:G3130,K268:K3130,"0",B268:B3130,"1 2 3 5 4 12 31111 6 M78 10000 221 00I 002 61400 025*")</f>
        <v>0</v>
      </c>
      <c r="H267" s="31">
        <f t="shared" si="4"/>
        <v>36411053.689999998</v>
      </c>
      <c r="I267" s="31"/>
      <c r="K267" t="s">
        <v>13</v>
      </c>
    </row>
    <row r="268" spans="2:11" ht="22" x14ac:dyDescent="0.15">
      <c r="B268" s="29" t="s">
        <v>400</v>
      </c>
      <c r="C268" s="29" t="s">
        <v>273</v>
      </c>
      <c r="D268" s="31">
        <f>SUMIFS(D269:D3130,K269:K3130,"0",B269:B3130,"1 2 3 5 4 12 31111 6 M78 10000 221 00I 002 61400 025 2210000*")-SUMIFS(E269:E3130,K269:K3130,"0",B269:B3130,"1 2 3 5 4 12 31111 6 M78 10000 221 00I 002 61400 025 2210000*")</f>
        <v>0</v>
      </c>
      <c r="E268"/>
      <c r="F268" s="31">
        <f>SUMIFS(F269:F3130,K269:K3130,"0",B269:B3130,"1 2 3 5 4 12 31111 6 M78 10000 221 00I 002 61400 025 2210000*")</f>
        <v>36411053.689999998</v>
      </c>
      <c r="G268" s="31">
        <f>SUMIFS(G269:G3130,K269:K3130,"0",B269:B3130,"1 2 3 5 4 12 31111 6 M78 10000 221 00I 002 61400 025 2210000*")</f>
        <v>0</v>
      </c>
      <c r="H268" s="31">
        <f t="shared" si="4"/>
        <v>36411053.689999998</v>
      </c>
      <c r="I268" s="31"/>
      <c r="K268" t="s">
        <v>13</v>
      </c>
    </row>
    <row r="269" spans="2:11" ht="22" x14ac:dyDescent="0.15">
      <c r="B269" s="29" t="s">
        <v>401</v>
      </c>
      <c r="C269" s="29" t="s">
        <v>275</v>
      </c>
      <c r="D269" s="31">
        <f>SUMIFS(D270:D3130,K270:K3130,"0",B270:B3130,"1 2 3 5 4 12 31111 6 M78 10000 221 00I 002 61400 025 2210000 2024*")-SUMIFS(E270:E3130,K270:K3130,"0",B270:B3130,"1 2 3 5 4 12 31111 6 M78 10000 221 00I 002 61400 025 2210000 2024*")</f>
        <v>0</v>
      </c>
      <c r="E269"/>
      <c r="F269" s="31">
        <f>SUMIFS(F270:F3130,K270:K3130,"0",B270:B3130,"1 2 3 5 4 12 31111 6 M78 10000 221 00I 002 61400 025 2210000 2024*")</f>
        <v>36411053.689999998</v>
      </c>
      <c r="G269" s="31">
        <f>SUMIFS(G270:G3130,K270:K3130,"0",B270:B3130,"1 2 3 5 4 12 31111 6 M78 10000 221 00I 002 61400 025 2210000 2024*")</f>
        <v>0</v>
      </c>
      <c r="H269" s="31">
        <f t="shared" si="4"/>
        <v>36411053.689999998</v>
      </c>
      <c r="I269" s="31"/>
      <c r="K269" t="s">
        <v>13</v>
      </c>
    </row>
    <row r="270" spans="2:11" ht="22" x14ac:dyDescent="0.15">
      <c r="B270" s="29" t="s">
        <v>402</v>
      </c>
      <c r="C270" s="29" t="s">
        <v>277</v>
      </c>
      <c r="D270" s="31">
        <f>SUMIFS(D271:D3130,K271:K3130,"0",B271:B3130,"1 2 3 5 4 12 31111 6 M78 10000 221 00I 002 61400 025 2210000 2024 00000000*")-SUMIFS(E271:E3130,K271:K3130,"0",B271:B3130,"1 2 3 5 4 12 31111 6 M78 10000 221 00I 002 61400 025 2210000 2024 00000000*")</f>
        <v>0</v>
      </c>
      <c r="E270"/>
      <c r="F270" s="31">
        <f>SUMIFS(F271:F3130,K271:K3130,"0",B271:B3130,"1 2 3 5 4 12 31111 6 M78 10000 221 00I 002 61400 025 2210000 2024 00000000*")</f>
        <v>36411053.689999998</v>
      </c>
      <c r="G270" s="31">
        <f>SUMIFS(G271:G3130,K271:K3130,"0",B271:B3130,"1 2 3 5 4 12 31111 6 M78 10000 221 00I 002 61400 025 2210000 2024 00000000*")</f>
        <v>0</v>
      </c>
      <c r="H270" s="31">
        <f t="shared" si="4"/>
        <v>36411053.689999998</v>
      </c>
      <c r="I270" s="31"/>
      <c r="K270" t="s">
        <v>13</v>
      </c>
    </row>
    <row r="271" spans="2:11" ht="22" x14ac:dyDescent="0.15">
      <c r="B271" s="29" t="s">
        <v>403</v>
      </c>
      <c r="C271" s="29" t="s">
        <v>295</v>
      </c>
      <c r="D271" s="31">
        <f>SUMIFS(D272:D3130,K272:K3130,"0",B272:B3130,"1 2 3 5 4 12 31111 6 M78 10000 221 00I 002 61400 025 2210000 2024 00000000 002*")-SUMIFS(E272:E3130,K272:K3130,"0",B272:B3130,"1 2 3 5 4 12 31111 6 M78 10000 221 00I 002 61400 025 2210000 2024 00000000 002*")</f>
        <v>0</v>
      </c>
      <c r="E271"/>
      <c r="F271" s="31">
        <f>SUMIFS(F272:F3130,K272:K3130,"0",B272:B3130,"1 2 3 5 4 12 31111 6 M78 10000 221 00I 002 61400 025 2210000 2024 00000000 002*")</f>
        <v>36411053.689999998</v>
      </c>
      <c r="G271" s="31">
        <f>SUMIFS(G272:G3130,K272:K3130,"0",B272:B3130,"1 2 3 5 4 12 31111 6 M78 10000 221 00I 002 61400 025 2210000 2024 00000000 002*")</f>
        <v>0</v>
      </c>
      <c r="H271" s="31">
        <f t="shared" si="4"/>
        <v>36411053.689999998</v>
      </c>
      <c r="I271" s="31"/>
      <c r="K271" t="s">
        <v>13</v>
      </c>
    </row>
    <row r="272" spans="2:11" ht="22" x14ac:dyDescent="0.15">
      <c r="B272" s="27" t="s">
        <v>404</v>
      </c>
      <c r="C272" s="27" t="s">
        <v>405</v>
      </c>
      <c r="D272" s="30">
        <v>0</v>
      </c>
      <c r="E272" s="30"/>
      <c r="F272" s="30">
        <v>1875697.45</v>
      </c>
      <c r="G272" s="30">
        <v>0</v>
      </c>
      <c r="H272" s="30">
        <f t="shared" si="4"/>
        <v>1875697.45</v>
      </c>
      <c r="I272" s="30"/>
      <c r="K272" t="s">
        <v>37</v>
      </c>
    </row>
    <row r="273" spans="2:11" ht="22" x14ac:dyDescent="0.15">
      <c r="B273" s="27" t="s">
        <v>406</v>
      </c>
      <c r="C273" s="27" t="s">
        <v>407</v>
      </c>
      <c r="D273" s="30">
        <v>0</v>
      </c>
      <c r="E273" s="30"/>
      <c r="F273" s="30">
        <v>1500000</v>
      </c>
      <c r="G273" s="30">
        <v>0</v>
      </c>
      <c r="H273" s="30">
        <f t="shared" si="4"/>
        <v>1500000</v>
      </c>
      <c r="I273" s="30"/>
      <c r="K273" t="s">
        <v>37</v>
      </c>
    </row>
    <row r="274" spans="2:11" ht="22" x14ac:dyDescent="0.15">
      <c r="B274" s="27" t="s">
        <v>408</v>
      </c>
      <c r="C274" s="27" t="s">
        <v>409</v>
      </c>
      <c r="D274" s="30">
        <v>0</v>
      </c>
      <c r="E274" s="30"/>
      <c r="F274" s="30">
        <v>1300000</v>
      </c>
      <c r="G274" s="30">
        <v>0</v>
      </c>
      <c r="H274" s="30">
        <f t="shared" si="4"/>
        <v>1300000</v>
      </c>
      <c r="I274" s="30"/>
      <c r="K274" t="s">
        <v>37</v>
      </c>
    </row>
    <row r="275" spans="2:11" ht="22" x14ac:dyDescent="0.15">
      <c r="B275" s="27" t="s">
        <v>410</v>
      </c>
      <c r="C275" s="27" t="s">
        <v>411</v>
      </c>
      <c r="D275" s="30">
        <v>0</v>
      </c>
      <c r="E275" s="30"/>
      <c r="F275" s="30">
        <v>1500000</v>
      </c>
      <c r="G275" s="30">
        <v>0</v>
      </c>
      <c r="H275" s="30">
        <f t="shared" si="4"/>
        <v>1500000</v>
      </c>
      <c r="I275" s="30"/>
      <c r="K275" t="s">
        <v>37</v>
      </c>
    </row>
    <row r="276" spans="2:11" ht="22" x14ac:dyDescent="0.15">
      <c r="B276" s="27" t="s">
        <v>412</v>
      </c>
      <c r="C276" s="27" t="s">
        <v>413</v>
      </c>
      <c r="D276" s="30">
        <v>0</v>
      </c>
      <c r="E276" s="30"/>
      <c r="F276" s="30">
        <v>1399703.51</v>
      </c>
      <c r="G276" s="30">
        <v>0</v>
      </c>
      <c r="H276" s="30">
        <f t="shared" si="4"/>
        <v>1399703.51</v>
      </c>
      <c r="I276" s="30"/>
      <c r="K276" t="s">
        <v>37</v>
      </c>
    </row>
    <row r="277" spans="2:11" ht="22" x14ac:dyDescent="0.15">
      <c r="B277" s="27" t="s">
        <v>414</v>
      </c>
      <c r="C277" s="27" t="s">
        <v>415</v>
      </c>
      <c r="D277" s="30">
        <v>0</v>
      </c>
      <c r="E277" s="30"/>
      <c r="F277" s="30">
        <v>2218698.7999999998</v>
      </c>
      <c r="G277" s="30">
        <v>0</v>
      </c>
      <c r="H277" s="30">
        <f t="shared" si="4"/>
        <v>2218698.7999999998</v>
      </c>
      <c r="I277" s="30"/>
      <c r="K277" t="s">
        <v>37</v>
      </c>
    </row>
    <row r="278" spans="2:11" ht="22" x14ac:dyDescent="0.15">
      <c r="B278" s="27" t="s">
        <v>416</v>
      </c>
      <c r="C278" s="27" t="s">
        <v>417</v>
      </c>
      <c r="D278" s="30">
        <v>0</v>
      </c>
      <c r="E278" s="30"/>
      <c r="F278" s="30">
        <v>1398308.31</v>
      </c>
      <c r="G278" s="30">
        <v>0</v>
      </c>
      <c r="H278" s="30">
        <f t="shared" si="4"/>
        <v>1398308.31</v>
      </c>
      <c r="I278" s="30"/>
      <c r="K278" t="s">
        <v>37</v>
      </c>
    </row>
    <row r="279" spans="2:11" ht="22" x14ac:dyDescent="0.15">
      <c r="B279" s="27" t="s">
        <v>418</v>
      </c>
      <c r="C279" s="27" t="s">
        <v>419</v>
      </c>
      <c r="D279" s="30">
        <v>0</v>
      </c>
      <c r="E279" s="30"/>
      <c r="F279" s="30">
        <v>1598072.19</v>
      </c>
      <c r="G279" s="30">
        <v>0</v>
      </c>
      <c r="H279" s="30">
        <f t="shared" si="4"/>
        <v>1598072.19</v>
      </c>
      <c r="I279" s="30"/>
      <c r="K279" t="s">
        <v>37</v>
      </c>
    </row>
    <row r="280" spans="2:11" ht="22" x14ac:dyDescent="0.15">
      <c r="B280" s="27" t="s">
        <v>420</v>
      </c>
      <c r="C280" s="27" t="s">
        <v>421</v>
      </c>
      <c r="D280" s="30">
        <v>0</v>
      </c>
      <c r="E280" s="30"/>
      <c r="F280" s="30">
        <v>1100000.58</v>
      </c>
      <c r="G280" s="30">
        <v>0</v>
      </c>
      <c r="H280" s="30">
        <f t="shared" si="4"/>
        <v>1100000.58</v>
      </c>
      <c r="I280" s="30"/>
      <c r="K280" t="s">
        <v>37</v>
      </c>
    </row>
    <row r="281" spans="2:11" ht="22" x14ac:dyDescent="0.15">
      <c r="B281" s="27" t="s">
        <v>422</v>
      </c>
      <c r="C281" s="27" t="s">
        <v>423</v>
      </c>
      <c r="D281" s="30">
        <v>0</v>
      </c>
      <c r="E281" s="30"/>
      <c r="F281" s="30">
        <v>1399834.84</v>
      </c>
      <c r="G281" s="30">
        <v>0</v>
      </c>
      <c r="H281" s="30">
        <f t="shared" si="4"/>
        <v>1399834.84</v>
      </c>
      <c r="I281" s="30"/>
      <c r="K281" t="s">
        <v>37</v>
      </c>
    </row>
    <row r="282" spans="2:11" ht="22" x14ac:dyDescent="0.15">
      <c r="B282" s="27" t="s">
        <v>424</v>
      </c>
      <c r="C282" s="27" t="s">
        <v>425</v>
      </c>
      <c r="D282" s="30">
        <v>0</v>
      </c>
      <c r="E282" s="30"/>
      <c r="F282" s="30">
        <v>1099999.68</v>
      </c>
      <c r="G282" s="30">
        <v>0</v>
      </c>
      <c r="H282" s="30">
        <f t="shared" si="4"/>
        <v>1099999.68</v>
      </c>
      <c r="I282" s="30"/>
      <c r="K282" t="s">
        <v>37</v>
      </c>
    </row>
    <row r="283" spans="2:11" ht="22" x14ac:dyDescent="0.15">
      <c r="B283" s="27" t="s">
        <v>426</v>
      </c>
      <c r="C283" s="27" t="s">
        <v>427</v>
      </c>
      <c r="D283" s="30">
        <v>0</v>
      </c>
      <c r="E283" s="30"/>
      <c r="F283" s="30">
        <v>1800000</v>
      </c>
      <c r="G283" s="30">
        <v>0</v>
      </c>
      <c r="H283" s="30">
        <f t="shared" si="4"/>
        <v>1800000</v>
      </c>
      <c r="I283" s="30"/>
      <c r="K283" t="s">
        <v>37</v>
      </c>
    </row>
    <row r="284" spans="2:11" ht="22" x14ac:dyDescent="0.15">
      <c r="B284" s="27" t="s">
        <v>428</v>
      </c>
      <c r="C284" s="27" t="s">
        <v>429</v>
      </c>
      <c r="D284" s="30">
        <v>0</v>
      </c>
      <c r="E284" s="30"/>
      <c r="F284" s="30">
        <v>1500000</v>
      </c>
      <c r="G284" s="30">
        <v>0</v>
      </c>
      <c r="H284" s="30">
        <f t="shared" si="4"/>
        <v>1500000</v>
      </c>
      <c r="I284" s="30"/>
      <c r="K284" t="s">
        <v>37</v>
      </c>
    </row>
    <row r="285" spans="2:11" ht="22" x14ac:dyDescent="0.15">
      <c r="B285" s="27" t="s">
        <v>430</v>
      </c>
      <c r="C285" s="27" t="s">
        <v>431</v>
      </c>
      <c r="D285" s="30">
        <v>0</v>
      </c>
      <c r="E285" s="30"/>
      <c r="F285" s="30">
        <v>1500000</v>
      </c>
      <c r="G285" s="30">
        <v>0</v>
      </c>
      <c r="H285" s="30">
        <f t="shared" si="4"/>
        <v>1500000</v>
      </c>
      <c r="I285" s="30"/>
      <c r="K285" t="s">
        <v>37</v>
      </c>
    </row>
    <row r="286" spans="2:11" ht="22" x14ac:dyDescent="0.15">
      <c r="B286" s="27" t="s">
        <v>432</v>
      </c>
      <c r="C286" s="27" t="s">
        <v>433</v>
      </c>
      <c r="D286" s="30">
        <v>0</v>
      </c>
      <c r="E286" s="30"/>
      <c r="F286" s="30">
        <v>1201698.8</v>
      </c>
      <c r="G286" s="30">
        <v>0</v>
      </c>
      <c r="H286" s="30">
        <f t="shared" si="4"/>
        <v>1201698.8</v>
      </c>
      <c r="I286" s="30"/>
      <c r="K286" t="s">
        <v>37</v>
      </c>
    </row>
    <row r="287" spans="2:11" ht="22" x14ac:dyDescent="0.15">
      <c r="B287" s="27" t="s">
        <v>434</v>
      </c>
      <c r="C287" s="27" t="s">
        <v>435</v>
      </c>
      <c r="D287" s="30">
        <v>0</v>
      </c>
      <c r="E287" s="30"/>
      <c r="F287" s="30">
        <v>1669060.64</v>
      </c>
      <c r="G287" s="30">
        <v>0</v>
      </c>
      <c r="H287" s="30">
        <f t="shared" si="4"/>
        <v>1669060.64</v>
      </c>
      <c r="I287" s="30"/>
      <c r="K287" t="s">
        <v>37</v>
      </c>
    </row>
    <row r="288" spans="2:11" ht="22" x14ac:dyDescent="0.15">
      <c r="B288" s="27" t="s">
        <v>436</v>
      </c>
      <c r="C288" s="27" t="s">
        <v>437</v>
      </c>
      <c r="D288" s="30">
        <v>0</v>
      </c>
      <c r="E288" s="30"/>
      <c r="F288" s="30">
        <v>1400000</v>
      </c>
      <c r="G288" s="30">
        <v>0</v>
      </c>
      <c r="H288" s="30">
        <f t="shared" si="4"/>
        <v>1400000</v>
      </c>
      <c r="I288" s="30"/>
      <c r="K288" t="s">
        <v>37</v>
      </c>
    </row>
    <row r="289" spans="2:11" ht="22" x14ac:dyDescent="0.15">
      <c r="B289" s="27" t="s">
        <v>438</v>
      </c>
      <c r="C289" s="27" t="s">
        <v>439</v>
      </c>
      <c r="D289" s="30">
        <v>0</v>
      </c>
      <c r="E289" s="30"/>
      <c r="F289" s="30">
        <v>1519436.17</v>
      </c>
      <c r="G289" s="30">
        <v>0</v>
      </c>
      <c r="H289" s="30">
        <f t="shared" si="4"/>
        <v>1519436.17</v>
      </c>
      <c r="I289" s="30"/>
      <c r="K289" t="s">
        <v>37</v>
      </c>
    </row>
    <row r="290" spans="2:11" ht="22" x14ac:dyDescent="0.15">
      <c r="B290" s="27" t="s">
        <v>440</v>
      </c>
      <c r="C290" s="27" t="s">
        <v>441</v>
      </c>
      <c r="D290" s="30">
        <v>0</v>
      </c>
      <c r="E290" s="30"/>
      <c r="F290" s="30">
        <v>475879.33</v>
      </c>
      <c r="G290" s="30">
        <v>0</v>
      </c>
      <c r="H290" s="30">
        <f t="shared" si="4"/>
        <v>475879.33</v>
      </c>
      <c r="I290" s="30"/>
      <c r="K290" t="s">
        <v>37</v>
      </c>
    </row>
    <row r="291" spans="2:11" ht="22" x14ac:dyDescent="0.15">
      <c r="B291" s="27" t="s">
        <v>442</v>
      </c>
      <c r="C291" s="27" t="s">
        <v>443</v>
      </c>
      <c r="D291" s="30">
        <v>0</v>
      </c>
      <c r="E291" s="30"/>
      <c r="F291" s="30">
        <v>269642.94</v>
      </c>
      <c r="G291" s="30">
        <v>0</v>
      </c>
      <c r="H291" s="30">
        <f t="shared" si="4"/>
        <v>269642.94</v>
      </c>
      <c r="I291" s="30"/>
      <c r="K291" t="s">
        <v>37</v>
      </c>
    </row>
    <row r="292" spans="2:11" ht="22" x14ac:dyDescent="0.15">
      <c r="B292" s="27" t="s">
        <v>444</v>
      </c>
      <c r="C292" s="27" t="s">
        <v>445</v>
      </c>
      <c r="D292" s="30">
        <v>0</v>
      </c>
      <c r="E292" s="30"/>
      <c r="F292" s="30">
        <v>377383.23</v>
      </c>
      <c r="G292" s="30">
        <v>0</v>
      </c>
      <c r="H292" s="30">
        <f t="shared" si="4"/>
        <v>377383.23</v>
      </c>
      <c r="I292" s="30"/>
      <c r="K292" t="s">
        <v>37</v>
      </c>
    </row>
    <row r="293" spans="2:11" ht="22" x14ac:dyDescent="0.15">
      <c r="B293" s="27" t="s">
        <v>446</v>
      </c>
      <c r="C293" s="27" t="s">
        <v>447</v>
      </c>
      <c r="D293" s="30">
        <v>0</v>
      </c>
      <c r="E293" s="30"/>
      <c r="F293" s="30">
        <v>1264850.4099999999</v>
      </c>
      <c r="G293" s="30">
        <v>0</v>
      </c>
      <c r="H293" s="30">
        <f t="shared" si="4"/>
        <v>1264850.4099999999</v>
      </c>
      <c r="I293" s="30"/>
      <c r="K293" t="s">
        <v>37</v>
      </c>
    </row>
    <row r="294" spans="2:11" ht="22" x14ac:dyDescent="0.15">
      <c r="B294" s="27" t="s">
        <v>448</v>
      </c>
      <c r="C294" s="27" t="s">
        <v>449</v>
      </c>
      <c r="D294" s="30">
        <v>0</v>
      </c>
      <c r="E294" s="30"/>
      <c r="F294" s="30">
        <v>1748125.4</v>
      </c>
      <c r="G294" s="30">
        <v>0</v>
      </c>
      <c r="H294" s="30">
        <f t="shared" si="4"/>
        <v>1748125.4</v>
      </c>
      <c r="I294" s="30"/>
      <c r="K294" t="s">
        <v>37</v>
      </c>
    </row>
    <row r="295" spans="2:11" ht="22" x14ac:dyDescent="0.15">
      <c r="B295" s="27" t="s">
        <v>450</v>
      </c>
      <c r="C295" s="27" t="s">
        <v>451</v>
      </c>
      <c r="D295" s="30">
        <v>0</v>
      </c>
      <c r="E295" s="30"/>
      <c r="F295" s="30">
        <v>1545009.63</v>
      </c>
      <c r="G295" s="30">
        <v>0</v>
      </c>
      <c r="H295" s="30">
        <f t="shared" si="4"/>
        <v>1545009.63</v>
      </c>
      <c r="I295" s="30"/>
      <c r="K295" t="s">
        <v>37</v>
      </c>
    </row>
    <row r="296" spans="2:11" ht="33" x14ac:dyDescent="0.15">
      <c r="B296" s="27" t="s">
        <v>452</v>
      </c>
      <c r="C296" s="27" t="s">
        <v>453</v>
      </c>
      <c r="D296" s="30">
        <v>0</v>
      </c>
      <c r="E296" s="30"/>
      <c r="F296" s="30">
        <v>1000000</v>
      </c>
      <c r="G296" s="30">
        <v>0</v>
      </c>
      <c r="H296" s="30">
        <f t="shared" si="4"/>
        <v>1000000</v>
      </c>
      <c r="I296" s="30"/>
      <c r="K296" t="s">
        <v>37</v>
      </c>
    </row>
    <row r="297" spans="2:11" ht="22" x14ac:dyDescent="0.15">
      <c r="B297" s="27" t="s">
        <v>454</v>
      </c>
      <c r="C297" s="27" t="s">
        <v>455</v>
      </c>
      <c r="D297" s="30">
        <v>0</v>
      </c>
      <c r="E297" s="30"/>
      <c r="F297" s="30">
        <v>1300919.2</v>
      </c>
      <c r="G297" s="30">
        <v>0</v>
      </c>
      <c r="H297" s="30">
        <f t="shared" si="4"/>
        <v>1300919.2</v>
      </c>
      <c r="I297" s="30"/>
      <c r="K297" t="s">
        <v>37</v>
      </c>
    </row>
    <row r="298" spans="2:11" ht="22" x14ac:dyDescent="0.15">
      <c r="B298" s="27" t="s">
        <v>456</v>
      </c>
      <c r="C298" s="27" t="s">
        <v>457</v>
      </c>
      <c r="D298" s="30">
        <v>0</v>
      </c>
      <c r="E298" s="30"/>
      <c r="F298" s="30">
        <v>1000000</v>
      </c>
      <c r="G298" s="30">
        <v>0</v>
      </c>
      <c r="H298" s="30">
        <f t="shared" si="4"/>
        <v>1000000</v>
      </c>
      <c r="I298" s="30"/>
      <c r="K298" t="s">
        <v>37</v>
      </c>
    </row>
    <row r="299" spans="2:11" ht="22" x14ac:dyDescent="0.15">
      <c r="B299" s="27" t="s">
        <v>458</v>
      </c>
      <c r="C299" s="27" t="s">
        <v>459</v>
      </c>
      <c r="D299" s="30">
        <v>0</v>
      </c>
      <c r="E299" s="30"/>
      <c r="F299" s="30">
        <v>448732.58</v>
      </c>
      <c r="G299" s="30">
        <v>0</v>
      </c>
      <c r="H299" s="30">
        <f t="shared" si="4"/>
        <v>448732.58</v>
      </c>
      <c r="I299" s="30"/>
      <c r="K299" t="s">
        <v>37</v>
      </c>
    </row>
    <row r="300" spans="2:11" ht="13" x14ac:dyDescent="0.15">
      <c r="B300" s="29" t="s">
        <v>460</v>
      </c>
      <c r="C300" s="29" t="s">
        <v>461</v>
      </c>
      <c r="D300" s="31">
        <f>SUMIFS(D301:D3130,K301:K3130,"0",B301:B3130,"1 2 3 5 4 12 31111 6 M78 10000 351*")-SUMIFS(E301:E3130,K301:K3130,"0",B301:B3130,"1 2 3 5 4 12 31111 6 M78 10000 351*")</f>
        <v>0</v>
      </c>
      <c r="E300"/>
      <c r="F300" s="31">
        <f>SUMIFS(F301:F3130,K301:K3130,"0",B301:B3130,"1 2 3 5 4 12 31111 6 M78 10000 351*")</f>
        <v>11323810.099999998</v>
      </c>
      <c r="G300" s="31">
        <f>SUMIFS(G301:G3130,K301:K3130,"0",B301:B3130,"1 2 3 5 4 12 31111 6 M78 10000 351*")</f>
        <v>0</v>
      </c>
      <c r="H300" s="31">
        <f t="shared" si="4"/>
        <v>11323810.099999998</v>
      </c>
      <c r="I300" s="31"/>
      <c r="K300" t="s">
        <v>13</v>
      </c>
    </row>
    <row r="301" spans="2:11" ht="13" x14ac:dyDescent="0.15">
      <c r="B301" s="29" t="s">
        <v>462</v>
      </c>
      <c r="C301" s="29" t="s">
        <v>285</v>
      </c>
      <c r="D301" s="31">
        <f>SUMIFS(D302:D3130,K302:K3130,"0",B302:B3130,"1 2 3 5 4 12 31111 6 M78 10000 351 00I*")-SUMIFS(E302:E3130,K302:K3130,"0",B302:B3130,"1 2 3 5 4 12 31111 6 M78 10000 351 00I*")</f>
        <v>0</v>
      </c>
      <c r="E301"/>
      <c r="F301" s="31">
        <f>SUMIFS(F302:F3130,K302:K3130,"0",B302:B3130,"1 2 3 5 4 12 31111 6 M78 10000 351 00I*")</f>
        <v>11323810.099999998</v>
      </c>
      <c r="G301" s="31">
        <f>SUMIFS(G302:G3130,K302:K3130,"0",B302:B3130,"1 2 3 5 4 12 31111 6 M78 10000 351 00I*")</f>
        <v>0</v>
      </c>
      <c r="H301" s="31">
        <f t="shared" si="4"/>
        <v>11323810.099999998</v>
      </c>
      <c r="I301" s="31"/>
      <c r="K301" t="s">
        <v>13</v>
      </c>
    </row>
    <row r="302" spans="2:11" ht="13" x14ac:dyDescent="0.15">
      <c r="B302" s="29" t="s">
        <v>463</v>
      </c>
      <c r="C302" s="29" t="s">
        <v>267</v>
      </c>
      <c r="D302" s="31">
        <f>SUMIFS(D303:D3130,K303:K3130,"0",B303:B3130,"1 2 3 5 4 12 31111 6 M78 10000 351 00I 002*")-SUMIFS(E303:E3130,K303:K3130,"0",B303:B3130,"1 2 3 5 4 12 31111 6 M78 10000 351 00I 002*")</f>
        <v>0</v>
      </c>
      <c r="E302"/>
      <c r="F302" s="31">
        <f>SUMIFS(F303:F3130,K303:K3130,"0",B303:B3130,"1 2 3 5 4 12 31111 6 M78 10000 351 00I 002*")</f>
        <v>11323810.099999998</v>
      </c>
      <c r="G302" s="31">
        <f>SUMIFS(G303:G3130,K303:K3130,"0",B303:B3130,"1 2 3 5 4 12 31111 6 M78 10000 351 00I 002*")</f>
        <v>0</v>
      </c>
      <c r="H302" s="31">
        <f t="shared" si="4"/>
        <v>11323810.099999998</v>
      </c>
      <c r="I302" s="31"/>
      <c r="K302" t="s">
        <v>13</v>
      </c>
    </row>
    <row r="303" spans="2:11" ht="13" x14ac:dyDescent="0.15">
      <c r="B303" s="29" t="s">
        <v>464</v>
      </c>
      <c r="C303" s="29" t="s">
        <v>398</v>
      </c>
      <c r="D303" s="31">
        <f>SUMIFS(D304:D3130,K304:K3130,"0",B304:B3130,"1 2 3 5 4 12 31111 6 M78 10000 351 00I 002 61400*")-SUMIFS(E304:E3130,K304:K3130,"0",B304:B3130,"1 2 3 5 4 12 31111 6 M78 10000 351 00I 002 61400*")</f>
        <v>0</v>
      </c>
      <c r="E303"/>
      <c r="F303" s="31">
        <f>SUMIFS(F304:F3130,K304:K3130,"0",B304:B3130,"1 2 3 5 4 12 31111 6 M78 10000 351 00I 002 61400*")</f>
        <v>11323810.099999998</v>
      </c>
      <c r="G303" s="31">
        <f>SUMIFS(G304:G3130,K304:K3130,"0",B304:B3130,"1 2 3 5 4 12 31111 6 M78 10000 351 00I 002 61400*")</f>
        <v>0</v>
      </c>
      <c r="H303" s="31">
        <f t="shared" si="4"/>
        <v>11323810.099999998</v>
      </c>
      <c r="I303" s="31"/>
      <c r="K303" t="s">
        <v>13</v>
      </c>
    </row>
    <row r="304" spans="2:11" ht="22" x14ac:dyDescent="0.15">
      <c r="B304" s="29" t="s">
        <v>465</v>
      </c>
      <c r="C304" s="29" t="s">
        <v>290</v>
      </c>
      <c r="D304" s="31">
        <f>SUMIFS(D305:D3130,K305:K3130,"0",B305:B3130,"1 2 3 5 4 12 31111 6 M78 10000 351 00I 002 61400 025*")-SUMIFS(E305:E3130,K305:K3130,"0",B305:B3130,"1 2 3 5 4 12 31111 6 M78 10000 351 00I 002 61400 025*")</f>
        <v>0</v>
      </c>
      <c r="E304"/>
      <c r="F304" s="31">
        <f>SUMIFS(F305:F3130,K305:K3130,"0",B305:B3130,"1 2 3 5 4 12 31111 6 M78 10000 351 00I 002 61400 025*")</f>
        <v>11323810.099999998</v>
      </c>
      <c r="G304" s="31">
        <f>SUMIFS(G305:G3130,K305:K3130,"0",B305:B3130,"1 2 3 5 4 12 31111 6 M78 10000 351 00I 002 61400 025*")</f>
        <v>0</v>
      </c>
      <c r="H304" s="31">
        <f t="shared" si="4"/>
        <v>11323810.099999998</v>
      </c>
      <c r="I304" s="31"/>
      <c r="K304" t="s">
        <v>13</v>
      </c>
    </row>
    <row r="305" spans="2:11" ht="22" x14ac:dyDescent="0.15">
      <c r="B305" s="29" t="s">
        <v>466</v>
      </c>
      <c r="C305" s="29" t="s">
        <v>273</v>
      </c>
      <c r="D305" s="31">
        <f>SUMIFS(D306:D3130,K306:K3130,"0",B306:B3130,"1 2 3 5 4 12 31111 6 M78 10000 351 00I 002 61400 025 2210000*")-SUMIFS(E306:E3130,K306:K3130,"0",B306:B3130,"1 2 3 5 4 12 31111 6 M78 10000 351 00I 002 61400 025 2210000*")</f>
        <v>0</v>
      </c>
      <c r="E305"/>
      <c r="F305" s="31">
        <f>SUMIFS(F306:F3130,K306:K3130,"0",B306:B3130,"1 2 3 5 4 12 31111 6 M78 10000 351 00I 002 61400 025 2210000*")</f>
        <v>11323810.099999998</v>
      </c>
      <c r="G305" s="31">
        <f>SUMIFS(G306:G3130,K306:K3130,"0",B306:B3130,"1 2 3 5 4 12 31111 6 M78 10000 351 00I 002 61400 025 2210000*")</f>
        <v>0</v>
      </c>
      <c r="H305" s="31">
        <f t="shared" si="4"/>
        <v>11323810.099999998</v>
      </c>
      <c r="I305" s="31"/>
      <c r="K305" t="s">
        <v>13</v>
      </c>
    </row>
    <row r="306" spans="2:11" ht="22" x14ac:dyDescent="0.15">
      <c r="B306" s="29" t="s">
        <v>467</v>
      </c>
      <c r="C306" s="29" t="s">
        <v>275</v>
      </c>
      <c r="D306" s="31">
        <f>SUMIFS(D307:D3130,K307:K3130,"0",B307:B3130,"1 2 3 5 4 12 31111 6 M78 10000 351 00I 002 61400 025 2210000 2024*")-SUMIFS(E307:E3130,K307:K3130,"0",B307:B3130,"1 2 3 5 4 12 31111 6 M78 10000 351 00I 002 61400 025 2210000 2024*")</f>
        <v>0</v>
      </c>
      <c r="E306"/>
      <c r="F306" s="31">
        <f>SUMIFS(F307:F3130,K307:K3130,"0",B307:B3130,"1 2 3 5 4 12 31111 6 M78 10000 351 00I 002 61400 025 2210000 2024*")</f>
        <v>11323810.099999998</v>
      </c>
      <c r="G306" s="31">
        <f>SUMIFS(G307:G3130,K307:K3130,"0",B307:B3130,"1 2 3 5 4 12 31111 6 M78 10000 351 00I 002 61400 025 2210000 2024*")</f>
        <v>0</v>
      </c>
      <c r="H306" s="31">
        <f t="shared" si="4"/>
        <v>11323810.099999998</v>
      </c>
      <c r="I306" s="31"/>
      <c r="K306" t="s">
        <v>13</v>
      </c>
    </row>
    <row r="307" spans="2:11" ht="22" x14ac:dyDescent="0.15">
      <c r="B307" s="29" t="s">
        <v>468</v>
      </c>
      <c r="C307" s="29" t="s">
        <v>277</v>
      </c>
      <c r="D307" s="31">
        <f>SUMIFS(D308:D3130,K308:K3130,"0",B308:B3130,"1 2 3 5 4 12 31111 6 M78 10000 351 00I 002 61400 025 2210000 2024 00000000*")-SUMIFS(E308:E3130,K308:K3130,"0",B308:B3130,"1 2 3 5 4 12 31111 6 M78 10000 351 00I 002 61400 025 2210000 2024 00000000*")</f>
        <v>0</v>
      </c>
      <c r="E307"/>
      <c r="F307" s="31">
        <f>SUMIFS(F308:F3130,K308:K3130,"0",B308:B3130,"1 2 3 5 4 12 31111 6 M78 10000 351 00I 002 61400 025 2210000 2024 00000000*")</f>
        <v>11323810.099999998</v>
      </c>
      <c r="G307" s="31">
        <f>SUMIFS(G308:G3130,K308:K3130,"0",B308:B3130,"1 2 3 5 4 12 31111 6 M78 10000 351 00I 002 61400 025 2210000 2024 00000000*")</f>
        <v>0</v>
      </c>
      <c r="H307" s="31">
        <f t="shared" si="4"/>
        <v>11323810.099999998</v>
      </c>
      <c r="I307" s="31"/>
      <c r="K307" t="s">
        <v>13</v>
      </c>
    </row>
    <row r="308" spans="2:11" ht="22" x14ac:dyDescent="0.15">
      <c r="B308" s="29" t="s">
        <v>469</v>
      </c>
      <c r="C308" s="29" t="s">
        <v>295</v>
      </c>
      <c r="D308" s="31">
        <f>SUMIFS(D309:D3130,K309:K3130,"0",B309:B3130,"1 2 3 5 4 12 31111 6 M78 10000 351 00I 002 61400 025 2210000 2024 00000000 002*")-SUMIFS(E309:E3130,K309:K3130,"0",B309:B3130,"1 2 3 5 4 12 31111 6 M78 10000 351 00I 002 61400 025 2210000 2024 00000000 002*")</f>
        <v>0</v>
      </c>
      <c r="E308"/>
      <c r="F308" s="31">
        <f>SUMIFS(F309:F3130,K309:K3130,"0",B309:B3130,"1 2 3 5 4 12 31111 6 M78 10000 351 00I 002 61400 025 2210000 2024 00000000 002*")</f>
        <v>11323810.099999998</v>
      </c>
      <c r="G308" s="31">
        <f>SUMIFS(G309:G3130,K309:K3130,"0",B309:B3130,"1 2 3 5 4 12 31111 6 M78 10000 351 00I 002 61400 025 2210000 2024 00000000 002*")</f>
        <v>0</v>
      </c>
      <c r="H308" s="31">
        <f t="shared" si="4"/>
        <v>11323810.099999998</v>
      </c>
      <c r="I308" s="31"/>
      <c r="K308" t="s">
        <v>13</v>
      </c>
    </row>
    <row r="309" spans="2:11" ht="22" x14ac:dyDescent="0.15">
      <c r="B309" s="27" t="s">
        <v>470</v>
      </c>
      <c r="C309" s="27" t="s">
        <v>471</v>
      </c>
      <c r="D309" s="30">
        <v>0</v>
      </c>
      <c r="E309" s="30"/>
      <c r="F309" s="30">
        <v>2165788.54</v>
      </c>
      <c r="G309" s="30">
        <v>0</v>
      </c>
      <c r="H309" s="30">
        <f t="shared" si="4"/>
        <v>2165788.54</v>
      </c>
      <c r="I309" s="30"/>
      <c r="K309" t="s">
        <v>37</v>
      </c>
    </row>
    <row r="310" spans="2:11" ht="22" x14ac:dyDescent="0.15">
      <c r="B310" s="27" t="s">
        <v>472</v>
      </c>
      <c r="C310" s="27" t="s">
        <v>473</v>
      </c>
      <c r="D310" s="30">
        <v>0</v>
      </c>
      <c r="E310" s="30"/>
      <c r="F310" s="30">
        <v>2169785.4</v>
      </c>
      <c r="G310" s="30">
        <v>0</v>
      </c>
      <c r="H310" s="30">
        <f t="shared" si="4"/>
        <v>2169785.4</v>
      </c>
      <c r="I310" s="30"/>
      <c r="K310" t="s">
        <v>37</v>
      </c>
    </row>
    <row r="311" spans="2:11" ht="22" x14ac:dyDescent="0.15">
      <c r="B311" s="27" t="s">
        <v>474</v>
      </c>
      <c r="C311" s="27" t="s">
        <v>475</v>
      </c>
      <c r="D311" s="30">
        <v>0</v>
      </c>
      <c r="E311" s="30"/>
      <c r="F311" s="30">
        <v>2171291.4300000002</v>
      </c>
      <c r="G311" s="30">
        <v>0</v>
      </c>
      <c r="H311" s="30">
        <f t="shared" si="4"/>
        <v>2171291.4300000002</v>
      </c>
      <c r="I311" s="30"/>
      <c r="K311" t="s">
        <v>37</v>
      </c>
    </row>
    <row r="312" spans="2:11" ht="22" x14ac:dyDescent="0.15">
      <c r="B312" s="27" t="s">
        <v>476</v>
      </c>
      <c r="C312" s="27" t="s">
        <v>477</v>
      </c>
      <c r="D312" s="30">
        <v>0</v>
      </c>
      <c r="E312" s="30"/>
      <c r="F312" s="30">
        <v>2170369.6800000002</v>
      </c>
      <c r="G312" s="30">
        <v>0</v>
      </c>
      <c r="H312" s="30">
        <f t="shared" si="4"/>
        <v>2170369.6800000002</v>
      </c>
      <c r="I312" s="30"/>
      <c r="K312" t="s">
        <v>37</v>
      </c>
    </row>
    <row r="313" spans="2:11" ht="22" x14ac:dyDescent="0.15">
      <c r="B313" s="27" t="s">
        <v>478</v>
      </c>
      <c r="C313" s="27" t="s">
        <v>479</v>
      </c>
      <c r="D313" s="30">
        <v>0</v>
      </c>
      <c r="E313" s="30"/>
      <c r="F313" s="30">
        <v>600000</v>
      </c>
      <c r="G313" s="30">
        <v>0</v>
      </c>
      <c r="H313" s="30">
        <f t="shared" si="4"/>
        <v>600000</v>
      </c>
      <c r="I313" s="30"/>
      <c r="K313" t="s">
        <v>37</v>
      </c>
    </row>
    <row r="314" spans="2:11" ht="22" x14ac:dyDescent="0.15">
      <c r="B314" s="27" t="s">
        <v>480</v>
      </c>
      <c r="C314" s="27" t="s">
        <v>481</v>
      </c>
      <c r="D314" s="30">
        <v>0</v>
      </c>
      <c r="E314" s="30"/>
      <c r="F314" s="30">
        <v>1423958.28</v>
      </c>
      <c r="G314" s="30">
        <v>0</v>
      </c>
      <c r="H314" s="30">
        <f t="shared" si="4"/>
        <v>1423958.28</v>
      </c>
      <c r="I314" s="30"/>
      <c r="K314" t="s">
        <v>37</v>
      </c>
    </row>
    <row r="315" spans="2:11" ht="22" x14ac:dyDescent="0.15">
      <c r="B315" s="27" t="s">
        <v>482</v>
      </c>
      <c r="C315" s="27" t="s">
        <v>483</v>
      </c>
      <c r="D315" s="30">
        <v>0</v>
      </c>
      <c r="E315" s="30"/>
      <c r="F315" s="30">
        <v>622616.77</v>
      </c>
      <c r="G315" s="30">
        <v>0</v>
      </c>
      <c r="H315" s="30">
        <f t="shared" si="4"/>
        <v>622616.77</v>
      </c>
      <c r="I315" s="30"/>
      <c r="K315" t="s">
        <v>37</v>
      </c>
    </row>
    <row r="316" spans="2:11" ht="13" x14ac:dyDescent="0.15">
      <c r="B316" s="29" t="s">
        <v>484</v>
      </c>
      <c r="C316" s="29" t="s">
        <v>485</v>
      </c>
      <c r="D316" s="31">
        <f>SUMIFS(D317:D3130,K317:K3130,"0",B317:B3130,"1 2 3 5 5*")-SUMIFS(E317:E3130,K317:K3130,"0",B317:B3130,"1 2 3 5 5*")</f>
        <v>0</v>
      </c>
      <c r="E316"/>
      <c r="F316" s="31">
        <f>SUMIFS(F317:F3130,K317:K3130,"0",B317:B3130,"1 2 3 5 5*")</f>
        <v>4683133.8600000003</v>
      </c>
      <c r="G316" s="31">
        <f>SUMIFS(G317:G3130,K317:K3130,"0",B317:B3130,"1 2 3 5 5*")</f>
        <v>0</v>
      </c>
      <c r="H316" s="31">
        <f t="shared" si="4"/>
        <v>4683133.8600000003</v>
      </c>
      <c r="I316" s="31"/>
      <c r="K316" t="s">
        <v>13</v>
      </c>
    </row>
    <row r="317" spans="2:11" ht="13" x14ac:dyDescent="0.15">
      <c r="B317" s="29" t="s">
        <v>486</v>
      </c>
      <c r="C317" s="29" t="s">
        <v>24</v>
      </c>
      <c r="D317" s="31">
        <f>SUMIFS(D318:D3130,K318:K3130,"0",B318:B3130,"1 2 3 5 5 12*")-SUMIFS(E318:E3130,K318:K3130,"0",B318:B3130,"1 2 3 5 5 12*")</f>
        <v>0</v>
      </c>
      <c r="E317"/>
      <c r="F317" s="31">
        <f>SUMIFS(F318:F3130,K318:K3130,"0",B318:B3130,"1 2 3 5 5 12*")</f>
        <v>4683133.8600000003</v>
      </c>
      <c r="G317" s="31">
        <f>SUMIFS(G318:G3130,K318:K3130,"0",B318:B3130,"1 2 3 5 5 12*")</f>
        <v>0</v>
      </c>
      <c r="H317" s="31">
        <f t="shared" si="4"/>
        <v>4683133.8600000003</v>
      </c>
      <c r="I317" s="31"/>
      <c r="K317" t="s">
        <v>13</v>
      </c>
    </row>
    <row r="318" spans="2:11" ht="13" x14ac:dyDescent="0.15">
      <c r="B318" s="29" t="s">
        <v>487</v>
      </c>
      <c r="C318" s="29" t="s">
        <v>26</v>
      </c>
      <c r="D318" s="31">
        <f>SUMIFS(D319:D3130,K319:K3130,"0",B319:B3130,"1 2 3 5 5 12 31111*")-SUMIFS(E319:E3130,K319:K3130,"0",B319:B3130,"1 2 3 5 5 12 31111*")</f>
        <v>0</v>
      </c>
      <c r="E318"/>
      <c r="F318" s="31">
        <f>SUMIFS(F319:F3130,K319:K3130,"0",B319:B3130,"1 2 3 5 5 12 31111*")</f>
        <v>4683133.8600000003</v>
      </c>
      <c r="G318" s="31">
        <f>SUMIFS(G319:G3130,K319:K3130,"0",B319:B3130,"1 2 3 5 5 12 31111*")</f>
        <v>0</v>
      </c>
      <c r="H318" s="31">
        <f t="shared" si="4"/>
        <v>4683133.8600000003</v>
      </c>
      <c r="I318" s="31"/>
      <c r="K318" t="s">
        <v>13</v>
      </c>
    </row>
    <row r="319" spans="2:11" ht="13" x14ac:dyDescent="0.15">
      <c r="B319" s="29" t="s">
        <v>488</v>
      </c>
      <c r="C319" s="29" t="s">
        <v>489</v>
      </c>
      <c r="D319" s="31">
        <f>SUMIFS(D320:D3130,K320:K3130,"0",B320:B3130,"1 2 3 5 5 12 31111 6*")-SUMIFS(E320:E3130,K320:K3130,"0",B320:B3130,"1 2 3 5 5 12 31111 6*")</f>
        <v>0</v>
      </c>
      <c r="E319"/>
      <c r="F319" s="31">
        <f>SUMIFS(F320:F3130,K320:K3130,"0",B320:B3130,"1 2 3 5 5 12 31111 6*")</f>
        <v>4683133.8600000003</v>
      </c>
      <c r="G319" s="31">
        <f>SUMIFS(G320:G3130,K320:K3130,"0",B320:B3130,"1 2 3 5 5 12 31111 6*")</f>
        <v>0</v>
      </c>
      <c r="H319" s="31">
        <f t="shared" si="4"/>
        <v>4683133.8600000003</v>
      </c>
      <c r="I319" s="31"/>
      <c r="K319" t="s">
        <v>13</v>
      </c>
    </row>
    <row r="320" spans="2:11" ht="13" x14ac:dyDescent="0.15">
      <c r="B320" s="29" t="s">
        <v>490</v>
      </c>
      <c r="C320" s="29" t="s">
        <v>491</v>
      </c>
      <c r="D320" s="31">
        <f>SUMIFS(D321:D3130,K321:K3130,"0",B321:B3130,"1 2 3 5 5 12 31111 6 M78*")-SUMIFS(E321:E3130,K321:K3130,"0",B321:B3130,"1 2 3 5 5 12 31111 6 M78*")</f>
        <v>0</v>
      </c>
      <c r="E320"/>
      <c r="F320" s="31">
        <f>SUMIFS(F321:F3130,K321:K3130,"0",B321:B3130,"1 2 3 5 5 12 31111 6 M78*")</f>
        <v>4683133.8600000003</v>
      </c>
      <c r="G320" s="31">
        <f>SUMIFS(G321:G3130,K321:K3130,"0",B321:B3130,"1 2 3 5 5 12 31111 6 M78*")</f>
        <v>0</v>
      </c>
      <c r="H320" s="31">
        <f t="shared" si="4"/>
        <v>4683133.8600000003</v>
      </c>
      <c r="I320" s="31"/>
      <c r="K320" t="s">
        <v>13</v>
      </c>
    </row>
    <row r="321" spans="2:11" ht="13" x14ac:dyDescent="0.15">
      <c r="B321" s="29" t="s">
        <v>492</v>
      </c>
      <c r="C321" s="29" t="s">
        <v>261</v>
      </c>
      <c r="D321" s="31">
        <f>SUMIFS(D322:D3130,K322:K3130,"0",B322:B3130,"1 2 3 5 5 12 31111 6 M78 10000*")-SUMIFS(E322:E3130,K322:K3130,"0",B322:B3130,"1 2 3 5 5 12 31111 6 M78 10000*")</f>
        <v>0</v>
      </c>
      <c r="E321"/>
      <c r="F321" s="31">
        <f>SUMIFS(F322:F3130,K322:K3130,"0",B322:B3130,"1 2 3 5 5 12 31111 6 M78 10000*")</f>
        <v>4683133.8600000003</v>
      </c>
      <c r="G321" s="31">
        <f>SUMIFS(G322:G3130,K322:K3130,"0",B322:B3130,"1 2 3 5 5 12 31111 6 M78 10000*")</f>
        <v>0</v>
      </c>
      <c r="H321" s="31">
        <f t="shared" si="4"/>
        <v>4683133.8600000003</v>
      </c>
      <c r="I321" s="31"/>
      <c r="K321" t="s">
        <v>13</v>
      </c>
    </row>
    <row r="322" spans="2:11" ht="13" x14ac:dyDescent="0.15">
      <c r="B322" s="29" t="s">
        <v>493</v>
      </c>
      <c r="C322" s="29" t="s">
        <v>494</v>
      </c>
      <c r="D322" s="31">
        <f>SUMIFS(D323:D3130,K323:K3130,"0",B323:B3130,"1 2 3 5 5 12 31111 6 M78 10000 226*")-SUMIFS(E323:E3130,K323:K3130,"0",B323:B3130,"1 2 3 5 5 12 31111 6 M78 10000 226*")</f>
        <v>0</v>
      </c>
      <c r="E322"/>
      <c r="F322" s="31">
        <f>SUMIFS(F323:F3130,K323:K3130,"0",B323:B3130,"1 2 3 5 5 12 31111 6 M78 10000 226*")</f>
        <v>4683133.8600000003</v>
      </c>
      <c r="G322" s="31">
        <f>SUMIFS(G323:G3130,K323:K3130,"0",B323:B3130,"1 2 3 5 5 12 31111 6 M78 10000 226*")</f>
        <v>0</v>
      </c>
      <c r="H322" s="31">
        <f t="shared" si="4"/>
        <v>4683133.8600000003</v>
      </c>
      <c r="I322" s="31"/>
      <c r="K322" t="s">
        <v>13</v>
      </c>
    </row>
    <row r="323" spans="2:11" ht="13" x14ac:dyDescent="0.15">
      <c r="B323" s="29" t="s">
        <v>495</v>
      </c>
      <c r="C323" s="29" t="s">
        <v>285</v>
      </c>
      <c r="D323" s="31">
        <f>SUMIFS(D324:D3130,K324:K3130,"0",B324:B3130,"1 2 3 5 5 12 31111 6 M78 10000 226 00I*")-SUMIFS(E324:E3130,K324:K3130,"0",B324:B3130,"1 2 3 5 5 12 31111 6 M78 10000 226 00I*")</f>
        <v>0</v>
      </c>
      <c r="E323"/>
      <c r="F323" s="31">
        <f>SUMIFS(F324:F3130,K324:K3130,"0",B324:B3130,"1 2 3 5 5 12 31111 6 M78 10000 226 00I*")</f>
        <v>4683133.8600000003</v>
      </c>
      <c r="G323" s="31">
        <f>SUMIFS(G324:G3130,K324:K3130,"0",B324:B3130,"1 2 3 5 5 12 31111 6 M78 10000 226 00I*")</f>
        <v>0</v>
      </c>
      <c r="H323" s="31">
        <f t="shared" si="4"/>
        <v>4683133.8600000003</v>
      </c>
      <c r="I323" s="31"/>
      <c r="K323" t="s">
        <v>13</v>
      </c>
    </row>
    <row r="324" spans="2:11" ht="13" x14ac:dyDescent="0.15">
      <c r="B324" s="29" t="s">
        <v>496</v>
      </c>
      <c r="C324" s="29" t="s">
        <v>267</v>
      </c>
      <c r="D324" s="31">
        <f>SUMIFS(D325:D3130,K325:K3130,"0",B325:B3130,"1 2 3 5 5 12 31111 6 M78 10000 226 00I 002*")-SUMIFS(E325:E3130,K325:K3130,"0",B325:B3130,"1 2 3 5 5 12 31111 6 M78 10000 226 00I 002*")</f>
        <v>0</v>
      </c>
      <c r="E324"/>
      <c r="F324" s="31">
        <f>SUMIFS(F325:F3130,K325:K3130,"0",B325:B3130,"1 2 3 5 5 12 31111 6 M78 10000 226 00I 002*")</f>
        <v>4683133.8600000003</v>
      </c>
      <c r="G324" s="31">
        <f>SUMIFS(G325:G3130,K325:K3130,"0",B325:B3130,"1 2 3 5 5 12 31111 6 M78 10000 226 00I 002*")</f>
        <v>0</v>
      </c>
      <c r="H324" s="31">
        <f t="shared" si="4"/>
        <v>4683133.8600000003</v>
      </c>
      <c r="I324" s="31"/>
      <c r="K324" t="s">
        <v>13</v>
      </c>
    </row>
    <row r="325" spans="2:11" ht="13" x14ac:dyDescent="0.15">
      <c r="B325" s="29" t="s">
        <v>497</v>
      </c>
      <c r="C325" s="29" t="s">
        <v>498</v>
      </c>
      <c r="D325" s="31">
        <f>SUMIFS(D326:D3130,K326:K3130,"0",B326:B3130,"1 2 3 5 5 12 31111 6 M78 10000 226 00I 002 61500*")-SUMIFS(E326:E3130,K326:K3130,"0",B326:B3130,"1 2 3 5 5 12 31111 6 M78 10000 226 00I 002 61500*")</f>
        <v>0</v>
      </c>
      <c r="E325"/>
      <c r="F325" s="31">
        <f>SUMIFS(F326:F3130,K326:K3130,"0",B326:B3130,"1 2 3 5 5 12 31111 6 M78 10000 226 00I 002 61500*")</f>
        <v>4683133.8600000003</v>
      </c>
      <c r="G325" s="31">
        <f>SUMIFS(G326:G3130,K326:K3130,"0",B326:B3130,"1 2 3 5 5 12 31111 6 M78 10000 226 00I 002 61500*")</f>
        <v>0</v>
      </c>
      <c r="H325" s="31">
        <f t="shared" si="4"/>
        <v>4683133.8600000003</v>
      </c>
      <c r="I325" s="31"/>
      <c r="K325" t="s">
        <v>13</v>
      </c>
    </row>
    <row r="326" spans="2:11" ht="22" x14ac:dyDescent="0.15">
      <c r="B326" s="29" t="s">
        <v>499</v>
      </c>
      <c r="C326" s="29" t="s">
        <v>290</v>
      </c>
      <c r="D326" s="31">
        <f>SUMIFS(D327:D3130,K327:K3130,"0",B327:B3130,"1 2 3 5 5 12 31111 6 M78 10000 226 00I 002 61500 025*")-SUMIFS(E327:E3130,K327:K3130,"0",B327:B3130,"1 2 3 5 5 12 31111 6 M78 10000 226 00I 002 61500 025*")</f>
        <v>0</v>
      </c>
      <c r="E326"/>
      <c r="F326" s="31">
        <f>SUMIFS(F327:F3130,K327:K3130,"0",B327:B3130,"1 2 3 5 5 12 31111 6 M78 10000 226 00I 002 61500 025*")</f>
        <v>4683133.8600000003</v>
      </c>
      <c r="G326" s="31">
        <f>SUMIFS(G327:G3130,K327:K3130,"0",B327:B3130,"1 2 3 5 5 12 31111 6 M78 10000 226 00I 002 61500 025*")</f>
        <v>0</v>
      </c>
      <c r="H326" s="31">
        <f t="shared" si="4"/>
        <v>4683133.8600000003</v>
      </c>
      <c r="I326" s="31"/>
      <c r="K326" t="s">
        <v>13</v>
      </c>
    </row>
    <row r="327" spans="2:11" ht="22" x14ac:dyDescent="0.15">
      <c r="B327" s="29" t="s">
        <v>500</v>
      </c>
      <c r="C327" s="29" t="s">
        <v>273</v>
      </c>
      <c r="D327" s="31">
        <f>SUMIFS(D328:D3130,K328:K3130,"0",B328:B3130,"1 2 3 5 5 12 31111 6 M78 10000 226 00I 002 61500 025 2210000*")-SUMIFS(E328:E3130,K328:K3130,"0",B328:B3130,"1 2 3 5 5 12 31111 6 M78 10000 226 00I 002 61500 025 2210000*")</f>
        <v>0</v>
      </c>
      <c r="E327"/>
      <c r="F327" s="31">
        <f>SUMIFS(F328:F3130,K328:K3130,"0",B328:B3130,"1 2 3 5 5 12 31111 6 M78 10000 226 00I 002 61500 025 2210000*")</f>
        <v>4683133.8600000003</v>
      </c>
      <c r="G327" s="31">
        <f>SUMIFS(G328:G3130,K328:K3130,"0",B328:B3130,"1 2 3 5 5 12 31111 6 M78 10000 226 00I 002 61500 025 2210000*")</f>
        <v>0</v>
      </c>
      <c r="H327" s="31">
        <f t="shared" si="4"/>
        <v>4683133.8600000003</v>
      </c>
      <c r="I327" s="31"/>
      <c r="K327" t="s">
        <v>13</v>
      </c>
    </row>
    <row r="328" spans="2:11" ht="22" x14ac:dyDescent="0.15">
      <c r="B328" s="29" t="s">
        <v>501</v>
      </c>
      <c r="C328" s="29" t="s">
        <v>275</v>
      </c>
      <c r="D328" s="31">
        <f>SUMIFS(D329:D3130,K329:K3130,"0",B329:B3130,"1 2 3 5 5 12 31111 6 M78 10000 226 00I 002 61500 025 2210000 2024*")-SUMIFS(E329:E3130,K329:K3130,"0",B329:B3130,"1 2 3 5 5 12 31111 6 M78 10000 226 00I 002 61500 025 2210000 2024*")</f>
        <v>0</v>
      </c>
      <c r="E328"/>
      <c r="F328" s="31">
        <f>SUMIFS(F329:F3130,K329:K3130,"0",B329:B3130,"1 2 3 5 5 12 31111 6 M78 10000 226 00I 002 61500 025 2210000 2024*")</f>
        <v>4683133.8600000003</v>
      </c>
      <c r="G328" s="31">
        <f>SUMIFS(G329:G3130,K329:K3130,"0",B329:B3130,"1 2 3 5 5 12 31111 6 M78 10000 226 00I 002 61500 025 2210000 2024*")</f>
        <v>0</v>
      </c>
      <c r="H328" s="31">
        <f t="shared" si="4"/>
        <v>4683133.8600000003</v>
      </c>
      <c r="I328" s="31"/>
      <c r="K328" t="s">
        <v>13</v>
      </c>
    </row>
    <row r="329" spans="2:11" ht="22" x14ac:dyDescent="0.15">
      <c r="B329" s="29" t="s">
        <v>502</v>
      </c>
      <c r="C329" s="29" t="s">
        <v>277</v>
      </c>
      <c r="D329" s="31">
        <f>SUMIFS(D330:D3130,K330:K3130,"0",B330:B3130,"1 2 3 5 5 12 31111 6 M78 10000 226 00I 002 61500 025 2210000 2024 00000000*")-SUMIFS(E330:E3130,K330:K3130,"0",B330:B3130,"1 2 3 5 5 12 31111 6 M78 10000 226 00I 002 61500 025 2210000 2024 00000000*")</f>
        <v>0</v>
      </c>
      <c r="E329"/>
      <c r="F329" s="31">
        <f>SUMIFS(F330:F3130,K330:K3130,"0",B330:B3130,"1 2 3 5 5 12 31111 6 M78 10000 226 00I 002 61500 025 2210000 2024 00000000*")</f>
        <v>4683133.8600000003</v>
      </c>
      <c r="G329" s="31">
        <f>SUMIFS(G330:G3130,K330:K3130,"0",B330:B3130,"1 2 3 5 5 12 31111 6 M78 10000 226 00I 002 61500 025 2210000 2024 00000000*")</f>
        <v>0</v>
      </c>
      <c r="H329" s="31">
        <f t="shared" si="4"/>
        <v>4683133.8600000003</v>
      </c>
      <c r="I329" s="31"/>
      <c r="K329" t="s">
        <v>13</v>
      </c>
    </row>
    <row r="330" spans="2:11" ht="22" x14ac:dyDescent="0.15">
      <c r="B330" s="29" t="s">
        <v>503</v>
      </c>
      <c r="C330" s="29" t="s">
        <v>295</v>
      </c>
      <c r="D330" s="31">
        <f>SUMIFS(D331:D3130,K331:K3130,"0",B331:B3130,"1 2 3 5 5 12 31111 6 M78 10000 226 00I 002 61500 025 2210000 2024 00000000 002*")-SUMIFS(E331:E3130,K331:K3130,"0",B331:B3130,"1 2 3 5 5 12 31111 6 M78 10000 226 00I 002 61500 025 2210000 2024 00000000 002*")</f>
        <v>0</v>
      </c>
      <c r="E330"/>
      <c r="F330" s="31">
        <f>SUMIFS(F331:F3130,K331:K3130,"0",B331:B3130,"1 2 3 5 5 12 31111 6 M78 10000 226 00I 002 61500 025 2210000 2024 00000000 002*")</f>
        <v>4683133.8600000003</v>
      </c>
      <c r="G330" s="31">
        <f>SUMIFS(G331:G3130,K331:K3130,"0",B331:B3130,"1 2 3 5 5 12 31111 6 M78 10000 226 00I 002 61500 025 2210000 2024 00000000 002*")</f>
        <v>0</v>
      </c>
      <c r="H330" s="31">
        <f t="shared" ref="H330:H393" si="5">D330 + F330 - G330</f>
        <v>4683133.8600000003</v>
      </c>
      <c r="I330" s="31"/>
      <c r="K330" t="s">
        <v>13</v>
      </c>
    </row>
    <row r="331" spans="2:11" ht="22" x14ac:dyDescent="0.15">
      <c r="B331" s="27" t="s">
        <v>504</v>
      </c>
      <c r="C331" s="27" t="s">
        <v>505</v>
      </c>
      <c r="D331" s="30">
        <v>0</v>
      </c>
      <c r="E331" s="30"/>
      <c r="F331" s="30">
        <v>700000</v>
      </c>
      <c r="G331" s="30">
        <v>0</v>
      </c>
      <c r="H331" s="30">
        <f t="shared" si="5"/>
        <v>700000</v>
      </c>
      <c r="I331" s="30"/>
      <c r="K331" t="s">
        <v>37</v>
      </c>
    </row>
    <row r="332" spans="2:11" ht="22" x14ac:dyDescent="0.15">
      <c r="B332" s="27" t="s">
        <v>506</v>
      </c>
      <c r="C332" s="27" t="s">
        <v>507</v>
      </c>
      <c r="D332" s="30">
        <v>0</v>
      </c>
      <c r="E332" s="30"/>
      <c r="F332" s="30">
        <v>1903133.86</v>
      </c>
      <c r="G332" s="30">
        <v>0</v>
      </c>
      <c r="H332" s="30">
        <f t="shared" si="5"/>
        <v>1903133.86</v>
      </c>
      <c r="I332" s="30"/>
      <c r="K332" t="s">
        <v>37</v>
      </c>
    </row>
    <row r="333" spans="2:11" ht="22" x14ac:dyDescent="0.15">
      <c r="B333" s="27" t="s">
        <v>508</v>
      </c>
      <c r="C333" s="27" t="s">
        <v>509</v>
      </c>
      <c r="D333" s="30">
        <v>0</v>
      </c>
      <c r="E333" s="30"/>
      <c r="F333" s="30">
        <v>2080000</v>
      </c>
      <c r="G333" s="30">
        <v>0</v>
      </c>
      <c r="H333" s="30">
        <f t="shared" si="5"/>
        <v>2080000</v>
      </c>
      <c r="I333" s="30"/>
      <c r="K333" t="s">
        <v>37</v>
      </c>
    </row>
    <row r="334" spans="2:11" ht="13" x14ac:dyDescent="0.15">
      <c r="B334" s="29" t="s">
        <v>510</v>
      </c>
      <c r="C334" s="29" t="s">
        <v>511</v>
      </c>
      <c r="D334" s="31">
        <f>SUMIFS(D335:D3130,K335:K3130,"0",B335:B3130,"1 2 4*")-SUMIFS(E335:E3130,K335:K3130,"0",B335:B3130,"1 2 4*")</f>
        <v>5803056.2300000014</v>
      </c>
      <c r="E334"/>
      <c r="F334" s="31">
        <f>SUMIFS(F335:F3130,K335:K3130,"0",B335:B3130,"1 2 4*")</f>
        <v>930386</v>
      </c>
      <c r="G334" s="31">
        <f>SUMIFS(G335:G3130,K335:K3130,"0",B335:B3130,"1 2 4*")</f>
        <v>2017458.53</v>
      </c>
      <c r="H334" s="31">
        <f t="shared" si="5"/>
        <v>4715983.7000000011</v>
      </c>
      <c r="I334" s="31"/>
      <c r="K334" t="s">
        <v>13</v>
      </c>
    </row>
    <row r="335" spans="2:11" ht="13" x14ac:dyDescent="0.15">
      <c r="B335" s="29" t="s">
        <v>512</v>
      </c>
      <c r="C335" s="29" t="s">
        <v>513</v>
      </c>
      <c r="D335" s="31">
        <f>SUMIFS(D336:D3130,K336:K3130,"0",B336:B3130,"1 2 4 1*")-SUMIFS(E336:E3130,K336:K3130,"0",B336:B3130,"1 2 4 1*")</f>
        <v>2013043.0000000021</v>
      </c>
      <c r="E335"/>
      <c r="F335" s="31">
        <f>SUMIFS(F336:F3130,K336:K3130,"0",B336:B3130,"1 2 4 1*")</f>
        <v>502886</v>
      </c>
      <c r="G335" s="31">
        <f>SUMIFS(G336:G3130,K336:K3130,"0",B336:B3130,"1 2 4 1*")</f>
        <v>577843.29</v>
      </c>
      <c r="H335" s="31">
        <f t="shared" si="5"/>
        <v>1938085.7100000018</v>
      </c>
      <c r="I335" s="31"/>
      <c r="K335" t="s">
        <v>13</v>
      </c>
    </row>
    <row r="336" spans="2:11" ht="13" x14ac:dyDescent="0.15">
      <c r="B336" s="29" t="s">
        <v>514</v>
      </c>
      <c r="C336" s="29" t="s">
        <v>515</v>
      </c>
      <c r="D336" s="31">
        <f>SUMIFS(D337:D3130,K337:K3130,"0",B337:B3130,"1 2 4 1 1*")-SUMIFS(E337:E3130,K337:K3130,"0",B337:B3130,"1 2 4 1 1*")</f>
        <v>640805.33000000007</v>
      </c>
      <c r="E336"/>
      <c r="F336" s="31">
        <f>SUMIFS(F337:F3130,K337:K3130,"0",B337:B3130,"1 2 4 1 1*")</f>
        <v>0</v>
      </c>
      <c r="G336" s="31">
        <f>SUMIFS(G337:G3130,K337:K3130,"0",B337:B3130,"1 2 4 1 1*")</f>
        <v>95461.489999999991</v>
      </c>
      <c r="H336" s="31">
        <f t="shared" si="5"/>
        <v>545343.84000000008</v>
      </c>
      <c r="I336" s="31"/>
      <c r="K336" t="s">
        <v>13</v>
      </c>
    </row>
    <row r="337" spans="2:11" ht="13" x14ac:dyDescent="0.15">
      <c r="B337" s="29" t="s">
        <v>516</v>
      </c>
      <c r="C337" s="29" t="s">
        <v>24</v>
      </c>
      <c r="D337" s="31">
        <f>SUMIFS(D338:D3130,K338:K3130,"0",B338:B3130,"1 2 4 1 1 12*")-SUMIFS(E338:E3130,K338:K3130,"0",B338:B3130,"1 2 4 1 1 12*")</f>
        <v>640805.33000000007</v>
      </c>
      <c r="E337"/>
      <c r="F337" s="31">
        <f>SUMIFS(F338:F3130,K338:K3130,"0",B338:B3130,"1 2 4 1 1 12*")</f>
        <v>0</v>
      </c>
      <c r="G337" s="31">
        <f>SUMIFS(G338:G3130,K338:K3130,"0",B338:B3130,"1 2 4 1 1 12*")</f>
        <v>95461.489999999991</v>
      </c>
      <c r="H337" s="31">
        <f t="shared" si="5"/>
        <v>545343.84000000008</v>
      </c>
      <c r="I337" s="31"/>
      <c r="K337" t="s">
        <v>13</v>
      </c>
    </row>
    <row r="338" spans="2:11" ht="13" x14ac:dyDescent="0.15">
      <c r="B338" s="29" t="s">
        <v>517</v>
      </c>
      <c r="C338" s="29" t="s">
        <v>26</v>
      </c>
      <c r="D338" s="31">
        <f>SUMIFS(D339:D3130,K339:K3130,"0",B339:B3130,"1 2 4 1 1 12 31111*")-SUMIFS(E339:E3130,K339:K3130,"0",B339:B3130,"1 2 4 1 1 12 31111*")</f>
        <v>640805.33000000007</v>
      </c>
      <c r="E338"/>
      <c r="F338" s="31">
        <f>SUMIFS(F339:F3130,K339:K3130,"0",B339:B3130,"1 2 4 1 1 12 31111*")</f>
        <v>0</v>
      </c>
      <c r="G338" s="31">
        <f>SUMIFS(G339:G3130,K339:K3130,"0",B339:B3130,"1 2 4 1 1 12 31111*")</f>
        <v>95461.489999999991</v>
      </c>
      <c r="H338" s="31">
        <f t="shared" si="5"/>
        <v>545343.84000000008</v>
      </c>
      <c r="I338" s="31"/>
      <c r="K338" t="s">
        <v>13</v>
      </c>
    </row>
    <row r="339" spans="2:11" ht="13" x14ac:dyDescent="0.15">
      <c r="B339" s="29" t="s">
        <v>518</v>
      </c>
      <c r="C339" s="29" t="s">
        <v>28</v>
      </c>
      <c r="D339" s="31">
        <f>SUMIFS(D340:D3130,K340:K3130,"0",B340:B3130,"1 2 4 1 1 12 31111 6*")-SUMIFS(E340:E3130,K340:K3130,"0",B340:B3130,"1 2 4 1 1 12 31111 6*")</f>
        <v>640805.33000000007</v>
      </c>
      <c r="E339"/>
      <c r="F339" s="31">
        <f>SUMIFS(F340:F3130,K340:K3130,"0",B340:B3130,"1 2 4 1 1 12 31111 6*")</f>
        <v>0</v>
      </c>
      <c r="G339" s="31">
        <f>SUMIFS(G340:G3130,K340:K3130,"0",B340:B3130,"1 2 4 1 1 12 31111 6*")</f>
        <v>95461.489999999991</v>
      </c>
      <c r="H339" s="31">
        <f t="shared" si="5"/>
        <v>545343.84000000008</v>
      </c>
      <c r="I339" s="31"/>
      <c r="K339" t="s">
        <v>13</v>
      </c>
    </row>
    <row r="340" spans="2:11" ht="13" x14ac:dyDescent="0.15">
      <c r="B340" s="29" t="s">
        <v>519</v>
      </c>
      <c r="C340" s="29" t="s">
        <v>30</v>
      </c>
      <c r="D340" s="31">
        <f>SUMIFS(D341:D3130,K341:K3130,"0",B341:B3130,"1 2 4 1 1 12 31111 6 M78*")-SUMIFS(E341:E3130,K341:K3130,"0",B341:B3130,"1 2 4 1 1 12 31111 6 M78*")</f>
        <v>640805.33000000007</v>
      </c>
      <c r="E340"/>
      <c r="F340" s="31">
        <f>SUMIFS(F341:F3130,K341:K3130,"0",B341:B3130,"1 2 4 1 1 12 31111 6 M78*")</f>
        <v>0</v>
      </c>
      <c r="G340" s="31">
        <f>SUMIFS(G341:G3130,K341:K3130,"0",B341:B3130,"1 2 4 1 1 12 31111 6 M78*")</f>
        <v>95461.489999999991</v>
      </c>
      <c r="H340" s="31">
        <f t="shared" si="5"/>
        <v>545343.84000000008</v>
      </c>
      <c r="I340" s="31"/>
      <c r="K340" t="s">
        <v>13</v>
      </c>
    </row>
    <row r="341" spans="2:11" ht="13" x14ac:dyDescent="0.15">
      <c r="B341" s="29" t="s">
        <v>520</v>
      </c>
      <c r="C341" s="29" t="s">
        <v>521</v>
      </c>
      <c r="D341" s="31">
        <f>SUMIFS(D342:D3130,K342:K3130,"0",B342:B3130,"1 2 4 1 1 12 31111 6 M78 00000*")-SUMIFS(E342:E3130,K342:K3130,"0",B342:B3130,"1 2 4 1 1 12 31111 6 M78 00000*")</f>
        <v>308138.86</v>
      </c>
      <c r="E341"/>
      <c r="F341" s="31">
        <f>SUMIFS(F342:F3130,K342:K3130,"0",B342:B3130,"1 2 4 1 1 12 31111 6 M78 00000*")</f>
        <v>0</v>
      </c>
      <c r="G341" s="31">
        <f>SUMIFS(G342:G3130,K342:K3130,"0",B342:B3130,"1 2 4 1 1 12 31111 6 M78 00000*")</f>
        <v>56287.24</v>
      </c>
      <c r="H341" s="31">
        <f t="shared" si="5"/>
        <v>251851.62</v>
      </c>
      <c r="I341" s="31"/>
      <c r="K341" t="s">
        <v>13</v>
      </c>
    </row>
    <row r="342" spans="2:11" ht="13" x14ac:dyDescent="0.15">
      <c r="B342" s="29" t="s">
        <v>522</v>
      </c>
      <c r="C342" s="29" t="s">
        <v>32</v>
      </c>
      <c r="D342" s="31">
        <f>SUMIFS(D343:D3130,K343:K3130,"0",B343:B3130,"1 2 4 1 1 12 31111 6 M78 00000 001*")-SUMIFS(E343:E3130,K343:K3130,"0",B343:B3130,"1 2 4 1 1 12 31111 6 M78 00000 001*")</f>
        <v>47080.6</v>
      </c>
      <c r="E342"/>
      <c r="F342" s="31">
        <f>SUMIFS(F343:F3130,K343:K3130,"0",B343:B3130,"1 2 4 1 1 12 31111 6 M78 00000 001*")</f>
        <v>0</v>
      </c>
      <c r="G342" s="31">
        <f>SUMIFS(G343:G3130,K343:K3130,"0",B343:B3130,"1 2 4 1 1 12 31111 6 M78 00000 001*")</f>
        <v>24458.78</v>
      </c>
      <c r="H342" s="31">
        <f t="shared" si="5"/>
        <v>22621.82</v>
      </c>
      <c r="I342" s="31"/>
      <c r="K342" t="s">
        <v>13</v>
      </c>
    </row>
    <row r="343" spans="2:11" ht="13" x14ac:dyDescent="0.15">
      <c r="B343" s="29" t="s">
        <v>523</v>
      </c>
      <c r="C343" s="29" t="s">
        <v>524</v>
      </c>
      <c r="D343" s="31">
        <f>SUMIFS(D344:D3130,K344:K3130,"0",B344:B3130,"1 2 4 1 1 12 31111 6 M78 00000 001 001*")-SUMIFS(E344:E3130,K344:K3130,"0",B344:B3130,"1 2 4 1 1 12 31111 6 M78 00000 001 001*")</f>
        <v>47080.6</v>
      </c>
      <c r="E343"/>
      <c r="F343" s="31">
        <f>SUMIFS(F344:F3130,K344:K3130,"0",B344:B3130,"1 2 4 1 1 12 31111 6 M78 00000 001 001*")</f>
        <v>0</v>
      </c>
      <c r="G343" s="31">
        <f>SUMIFS(G344:G3130,K344:K3130,"0",B344:B3130,"1 2 4 1 1 12 31111 6 M78 00000 001 001*")</f>
        <v>24458.78</v>
      </c>
      <c r="H343" s="31">
        <f t="shared" si="5"/>
        <v>22621.82</v>
      </c>
      <c r="I343" s="31"/>
      <c r="K343" t="s">
        <v>13</v>
      </c>
    </row>
    <row r="344" spans="2:11" ht="13" x14ac:dyDescent="0.15">
      <c r="B344" s="29" t="s">
        <v>525</v>
      </c>
      <c r="C344" s="29" t="s">
        <v>32</v>
      </c>
      <c r="D344" s="31">
        <f>SUMIFS(D345:D3130,K345:K3130,"0",B345:B3130,"1 2 4 1 1 12 31111 6 M78 00000 001 001 001*")-SUMIFS(E345:E3130,K345:K3130,"0",B345:B3130,"1 2 4 1 1 12 31111 6 M78 00000 001 001 001*")</f>
        <v>25016.720000000001</v>
      </c>
      <c r="E344"/>
      <c r="F344" s="31">
        <f>SUMIFS(F345:F3130,K345:K3130,"0",B345:B3130,"1 2 4 1 1 12 31111 6 M78 00000 001 001 001*")</f>
        <v>0</v>
      </c>
      <c r="G344" s="31">
        <f>SUMIFS(G345:G3130,K345:K3130,"0",B345:B3130,"1 2 4 1 1 12 31111 6 M78 00000 001 001 001*")</f>
        <v>16095.25</v>
      </c>
      <c r="H344" s="31">
        <f t="shared" si="5"/>
        <v>8921.4700000000012</v>
      </c>
      <c r="I344" s="31"/>
      <c r="K344" t="s">
        <v>13</v>
      </c>
    </row>
    <row r="345" spans="2:11" ht="13" x14ac:dyDescent="0.15">
      <c r="B345" s="27" t="s">
        <v>526</v>
      </c>
      <c r="C345" s="27" t="s">
        <v>527</v>
      </c>
      <c r="D345" s="30">
        <v>9965.25</v>
      </c>
      <c r="E345" s="30"/>
      <c r="F345" s="30">
        <v>0</v>
      </c>
      <c r="G345" s="30">
        <v>9965.25</v>
      </c>
      <c r="H345" s="30">
        <f t="shared" si="5"/>
        <v>0</v>
      </c>
      <c r="I345" s="30"/>
      <c r="K345" t="s">
        <v>37</v>
      </c>
    </row>
    <row r="346" spans="2:11" ht="13" x14ac:dyDescent="0.15">
      <c r="B346" s="27" t="s">
        <v>528</v>
      </c>
      <c r="C346" s="27" t="s">
        <v>529</v>
      </c>
      <c r="D346" s="30">
        <v>2592</v>
      </c>
      <c r="E346" s="30"/>
      <c r="F346" s="30">
        <v>0</v>
      </c>
      <c r="G346" s="30">
        <v>2592</v>
      </c>
      <c r="H346" s="30">
        <f t="shared" si="5"/>
        <v>0</v>
      </c>
      <c r="I346" s="30"/>
      <c r="K346" t="s">
        <v>37</v>
      </c>
    </row>
    <row r="347" spans="2:11" ht="13" x14ac:dyDescent="0.15">
      <c r="B347" s="27" t="s">
        <v>530</v>
      </c>
      <c r="C347" s="27" t="s">
        <v>531</v>
      </c>
      <c r="D347" s="30">
        <v>8921.4699999999993</v>
      </c>
      <c r="E347" s="30"/>
      <c r="F347" s="30">
        <v>0</v>
      </c>
      <c r="G347" s="30">
        <v>0</v>
      </c>
      <c r="H347" s="30">
        <f t="shared" si="5"/>
        <v>8921.4699999999993</v>
      </c>
      <c r="I347" s="30"/>
      <c r="K347" t="s">
        <v>37</v>
      </c>
    </row>
    <row r="348" spans="2:11" ht="13" x14ac:dyDescent="0.15">
      <c r="B348" s="27" t="s">
        <v>532</v>
      </c>
      <c r="C348" s="27" t="s">
        <v>533</v>
      </c>
      <c r="D348" s="30">
        <v>3538</v>
      </c>
      <c r="E348" s="30"/>
      <c r="F348" s="30">
        <v>0</v>
      </c>
      <c r="G348" s="30">
        <v>3538</v>
      </c>
      <c r="H348" s="30">
        <f t="shared" si="5"/>
        <v>0</v>
      </c>
      <c r="I348" s="30"/>
      <c r="K348" t="s">
        <v>37</v>
      </c>
    </row>
    <row r="349" spans="2:11" ht="13" x14ac:dyDescent="0.15">
      <c r="B349" s="29" t="s">
        <v>534</v>
      </c>
      <c r="C349" s="29" t="s">
        <v>535</v>
      </c>
      <c r="D349" s="31">
        <f>SUMIFS(D350:D3130,K350:K3130,"0",B350:B3130,"1 2 4 1 1 12 31111 6 M78 00000 001 001 002*")-SUMIFS(E350:E3130,K350:K3130,"0",B350:B3130,"1 2 4 1 1 12 31111 6 M78 00000 001 001 002*")</f>
        <v>14007.03</v>
      </c>
      <c r="E349"/>
      <c r="F349" s="31">
        <f>SUMIFS(F350:F3130,K350:K3130,"0",B350:B3130,"1 2 4 1 1 12 31111 6 M78 00000 001 001 002*")</f>
        <v>0</v>
      </c>
      <c r="G349" s="31">
        <f>SUMIFS(G350:G3130,K350:K3130,"0",B350:B3130,"1 2 4 1 1 12 31111 6 M78 00000 001 001 002*")</f>
        <v>3756.68</v>
      </c>
      <c r="H349" s="31">
        <f t="shared" si="5"/>
        <v>10250.35</v>
      </c>
      <c r="I349" s="31"/>
      <c r="K349" t="s">
        <v>13</v>
      </c>
    </row>
    <row r="350" spans="2:11" ht="13" x14ac:dyDescent="0.15">
      <c r="B350" s="27" t="s">
        <v>536</v>
      </c>
      <c r="C350" s="27" t="s">
        <v>537</v>
      </c>
      <c r="D350" s="30">
        <v>2970</v>
      </c>
      <c r="E350" s="30"/>
      <c r="F350" s="30">
        <v>0</v>
      </c>
      <c r="G350" s="30">
        <v>0</v>
      </c>
      <c r="H350" s="30">
        <f t="shared" si="5"/>
        <v>2970</v>
      </c>
      <c r="I350" s="30"/>
      <c r="K350" t="s">
        <v>37</v>
      </c>
    </row>
    <row r="351" spans="2:11" ht="13" x14ac:dyDescent="0.15">
      <c r="B351" s="27" t="s">
        <v>538</v>
      </c>
      <c r="C351" s="27" t="s">
        <v>539</v>
      </c>
      <c r="D351" s="30">
        <v>3756.68</v>
      </c>
      <c r="E351" s="30"/>
      <c r="F351" s="30">
        <v>0</v>
      </c>
      <c r="G351" s="30">
        <v>3756.68</v>
      </c>
      <c r="H351" s="30">
        <f t="shared" si="5"/>
        <v>0</v>
      </c>
      <c r="I351" s="30"/>
      <c r="K351" t="s">
        <v>37</v>
      </c>
    </row>
    <row r="352" spans="2:11" ht="13" x14ac:dyDescent="0.15">
      <c r="B352" s="27" t="s">
        <v>540</v>
      </c>
      <c r="C352" s="27" t="s">
        <v>541</v>
      </c>
      <c r="D352" s="30">
        <v>4080.35</v>
      </c>
      <c r="E352" s="30"/>
      <c r="F352" s="30">
        <v>0</v>
      </c>
      <c r="G352" s="30">
        <v>0</v>
      </c>
      <c r="H352" s="30">
        <f t="shared" si="5"/>
        <v>4080.35</v>
      </c>
      <c r="I352" s="30"/>
      <c r="K352" t="s">
        <v>37</v>
      </c>
    </row>
    <row r="353" spans="2:11" ht="13" x14ac:dyDescent="0.15">
      <c r="B353" s="27" t="s">
        <v>542</v>
      </c>
      <c r="C353" s="27" t="s">
        <v>543</v>
      </c>
      <c r="D353" s="30">
        <v>3200</v>
      </c>
      <c r="E353" s="30"/>
      <c r="F353" s="30">
        <v>0</v>
      </c>
      <c r="G353" s="30">
        <v>0</v>
      </c>
      <c r="H353" s="30">
        <f t="shared" si="5"/>
        <v>3200</v>
      </c>
      <c r="I353" s="30"/>
      <c r="K353" t="s">
        <v>37</v>
      </c>
    </row>
    <row r="354" spans="2:11" ht="13" x14ac:dyDescent="0.15">
      <c r="B354" s="29" t="s">
        <v>544</v>
      </c>
      <c r="C354" s="29" t="s">
        <v>545</v>
      </c>
      <c r="D354" s="31">
        <f>SUMIFS(D355:D3130,K355:K3130,"0",B355:B3130,"1 2 4 1 1 12 31111 6 M78 00000 001 001 003*")-SUMIFS(E355:E3130,K355:K3130,"0",B355:B3130,"1 2 4 1 1 12 31111 6 M78 00000 001 001 003*")</f>
        <v>4606.8500000000004</v>
      </c>
      <c r="E354"/>
      <c r="F354" s="31">
        <f>SUMIFS(F355:F3130,K355:K3130,"0",B355:B3130,"1 2 4 1 1 12 31111 6 M78 00000 001 001 003*")</f>
        <v>0</v>
      </c>
      <c r="G354" s="31">
        <f>SUMIFS(G355:G3130,K355:K3130,"0",B355:B3130,"1 2 4 1 1 12 31111 6 M78 00000 001 001 003*")</f>
        <v>4606.8500000000004</v>
      </c>
      <c r="H354" s="31">
        <f t="shared" si="5"/>
        <v>0</v>
      </c>
      <c r="I354" s="31"/>
      <c r="K354" t="s">
        <v>13</v>
      </c>
    </row>
    <row r="355" spans="2:11" ht="13" x14ac:dyDescent="0.15">
      <c r="B355" s="27" t="s">
        <v>546</v>
      </c>
      <c r="C355" s="27" t="s">
        <v>541</v>
      </c>
      <c r="D355" s="30">
        <v>4606.8500000000004</v>
      </c>
      <c r="E355" s="30"/>
      <c r="F355" s="30">
        <v>0</v>
      </c>
      <c r="G355" s="30">
        <v>4606.8500000000004</v>
      </c>
      <c r="H355" s="30">
        <f t="shared" si="5"/>
        <v>0</v>
      </c>
      <c r="I355" s="30"/>
      <c r="K355" t="s">
        <v>37</v>
      </c>
    </row>
    <row r="356" spans="2:11" ht="13" x14ac:dyDescent="0.15">
      <c r="B356" s="29" t="s">
        <v>547</v>
      </c>
      <c r="C356" s="29" t="s">
        <v>548</v>
      </c>
      <c r="D356" s="31">
        <f>SUMIFS(D357:D3130,K357:K3130,"0",B357:B3130,"1 2 4 1 1 12 31111 6 M78 00000 001 001 004*")-SUMIFS(E357:E3130,K357:K3130,"0",B357:B3130,"1 2 4 1 1 12 31111 6 M78 00000 001 001 004*")</f>
        <v>3450</v>
      </c>
      <c r="E356"/>
      <c r="F356" s="31">
        <f>SUMIFS(F357:F3130,K357:K3130,"0",B357:B3130,"1 2 4 1 1 12 31111 6 M78 00000 001 001 004*")</f>
        <v>0</v>
      </c>
      <c r="G356" s="31">
        <f>SUMIFS(G357:G3130,K357:K3130,"0",B357:B3130,"1 2 4 1 1 12 31111 6 M78 00000 001 001 004*")</f>
        <v>0</v>
      </c>
      <c r="H356" s="31">
        <f t="shared" si="5"/>
        <v>3450</v>
      </c>
      <c r="I356" s="31"/>
      <c r="K356" t="s">
        <v>13</v>
      </c>
    </row>
    <row r="357" spans="2:11" ht="13" x14ac:dyDescent="0.15">
      <c r="B357" s="27" t="s">
        <v>549</v>
      </c>
      <c r="C357" s="27" t="s">
        <v>550</v>
      </c>
      <c r="D357" s="30">
        <v>3450</v>
      </c>
      <c r="E357" s="30"/>
      <c r="F357" s="30">
        <v>0</v>
      </c>
      <c r="G357" s="30">
        <v>0</v>
      </c>
      <c r="H357" s="30">
        <f t="shared" si="5"/>
        <v>3450</v>
      </c>
      <c r="I357" s="30"/>
      <c r="K357" t="s">
        <v>37</v>
      </c>
    </row>
    <row r="358" spans="2:11" ht="13" x14ac:dyDescent="0.15">
      <c r="B358" s="29" t="s">
        <v>551</v>
      </c>
      <c r="C358" s="29" t="s">
        <v>101</v>
      </c>
      <c r="D358" s="31">
        <f>SUMIFS(D359:D3130,K359:K3130,"0",B359:B3130,"1 2 4 1 1 12 31111 6 M78 00000 002*")-SUMIFS(E359:E3130,K359:K3130,"0",B359:B3130,"1 2 4 1 1 12 31111 6 M78 00000 002*")</f>
        <v>249087.76</v>
      </c>
      <c r="E358"/>
      <c r="F358" s="31">
        <f>SUMIFS(F359:F3130,K359:K3130,"0",B359:B3130,"1 2 4 1 1 12 31111 6 M78 00000 002*")</f>
        <v>0</v>
      </c>
      <c r="G358" s="31">
        <f>SUMIFS(G359:G3130,K359:K3130,"0",B359:B3130,"1 2 4 1 1 12 31111 6 M78 00000 002*")</f>
        <v>22659.96</v>
      </c>
      <c r="H358" s="31">
        <f t="shared" si="5"/>
        <v>226427.80000000002</v>
      </c>
      <c r="I358" s="31"/>
      <c r="K358" t="s">
        <v>13</v>
      </c>
    </row>
    <row r="359" spans="2:11" ht="13" x14ac:dyDescent="0.15">
      <c r="B359" s="29" t="s">
        <v>552</v>
      </c>
      <c r="C359" s="29" t="s">
        <v>524</v>
      </c>
      <c r="D359" s="31">
        <f>SUMIFS(D360:D3130,K360:K3130,"0",B360:B3130,"1 2 4 1 1 12 31111 6 M78 00000 002 001*")-SUMIFS(E360:E3130,K360:K3130,"0",B360:B3130,"1 2 4 1 1 12 31111 6 M78 00000 002 001*")</f>
        <v>249087.76</v>
      </c>
      <c r="E359"/>
      <c r="F359" s="31">
        <f>SUMIFS(F360:F3130,K360:K3130,"0",B360:B3130,"1 2 4 1 1 12 31111 6 M78 00000 002 001*")</f>
        <v>0</v>
      </c>
      <c r="G359" s="31">
        <f>SUMIFS(G360:G3130,K360:K3130,"0",B360:B3130,"1 2 4 1 1 12 31111 6 M78 00000 002 001*")</f>
        <v>22659.96</v>
      </c>
      <c r="H359" s="31">
        <f t="shared" si="5"/>
        <v>226427.80000000002</v>
      </c>
      <c r="I359" s="31"/>
      <c r="K359" t="s">
        <v>13</v>
      </c>
    </row>
    <row r="360" spans="2:11" ht="13" x14ac:dyDescent="0.15">
      <c r="B360" s="27" t="s">
        <v>553</v>
      </c>
      <c r="C360" s="27" t="s">
        <v>554</v>
      </c>
      <c r="D360" s="30">
        <v>2970</v>
      </c>
      <c r="E360" s="30"/>
      <c r="F360" s="30">
        <v>0</v>
      </c>
      <c r="G360" s="30">
        <v>0</v>
      </c>
      <c r="H360" s="30">
        <f t="shared" si="5"/>
        <v>2970</v>
      </c>
      <c r="I360" s="30"/>
      <c r="K360" t="s">
        <v>37</v>
      </c>
    </row>
    <row r="361" spans="2:11" ht="13" x14ac:dyDescent="0.15">
      <c r="B361" s="27" t="s">
        <v>555</v>
      </c>
      <c r="C361" s="27" t="s">
        <v>554</v>
      </c>
      <c r="D361" s="30">
        <v>2970</v>
      </c>
      <c r="E361" s="30"/>
      <c r="F361" s="30">
        <v>0</v>
      </c>
      <c r="G361" s="30">
        <v>0</v>
      </c>
      <c r="H361" s="30">
        <f t="shared" si="5"/>
        <v>2970</v>
      </c>
      <c r="I361" s="30"/>
      <c r="K361" t="s">
        <v>37</v>
      </c>
    </row>
    <row r="362" spans="2:11" ht="13" x14ac:dyDescent="0.15">
      <c r="B362" s="27" t="s">
        <v>556</v>
      </c>
      <c r="C362" s="27" t="s">
        <v>557</v>
      </c>
      <c r="D362" s="30">
        <v>3102.74</v>
      </c>
      <c r="E362" s="30"/>
      <c r="F362" s="30">
        <v>0</v>
      </c>
      <c r="G362" s="30">
        <v>0</v>
      </c>
      <c r="H362" s="30">
        <f t="shared" si="5"/>
        <v>3102.74</v>
      </c>
      <c r="I362" s="30"/>
      <c r="K362" t="s">
        <v>37</v>
      </c>
    </row>
    <row r="363" spans="2:11" ht="13" x14ac:dyDescent="0.15">
      <c r="B363" s="27" t="s">
        <v>558</v>
      </c>
      <c r="C363" s="27" t="s">
        <v>557</v>
      </c>
      <c r="D363" s="30">
        <v>3102.74</v>
      </c>
      <c r="E363" s="30"/>
      <c r="F363" s="30">
        <v>0</v>
      </c>
      <c r="G363" s="30">
        <v>3102.74</v>
      </c>
      <c r="H363" s="30">
        <f t="shared" si="5"/>
        <v>0</v>
      </c>
      <c r="I363" s="30"/>
      <c r="K363" t="s">
        <v>37</v>
      </c>
    </row>
    <row r="364" spans="2:11" ht="13" x14ac:dyDescent="0.15">
      <c r="B364" s="27" t="s">
        <v>559</v>
      </c>
      <c r="C364" s="27" t="s">
        <v>557</v>
      </c>
      <c r="D364" s="30">
        <v>3102.74</v>
      </c>
      <c r="E364" s="30"/>
      <c r="F364" s="30">
        <v>0</v>
      </c>
      <c r="G364" s="30">
        <v>3102.74</v>
      </c>
      <c r="H364" s="30">
        <f t="shared" si="5"/>
        <v>0</v>
      </c>
      <c r="I364" s="30"/>
      <c r="K364" t="s">
        <v>37</v>
      </c>
    </row>
    <row r="365" spans="2:11" ht="13" x14ac:dyDescent="0.15">
      <c r="B365" s="27" t="s">
        <v>560</v>
      </c>
      <c r="C365" s="27" t="s">
        <v>561</v>
      </c>
      <c r="D365" s="30">
        <v>8051.24</v>
      </c>
      <c r="E365" s="30"/>
      <c r="F365" s="30">
        <v>0</v>
      </c>
      <c r="G365" s="30">
        <v>0</v>
      </c>
      <c r="H365" s="30">
        <f t="shared" si="5"/>
        <v>8051.24</v>
      </c>
      <c r="I365" s="30"/>
      <c r="K365" t="s">
        <v>37</v>
      </c>
    </row>
    <row r="366" spans="2:11" ht="13" x14ac:dyDescent="0.15">
      <c r="B366" s="27" t="s">
        <v>562</v>
      </c>
      <c r="C366" s="27" t="s">
        <v>561</v>
      </c>
      <c r="D366" s="30">
        <v>8051.24</v>
      </c>
      <c r="E366" s="30"/>
      <c r="F366" s="30">
        <v>0</v>
      </c>
      <c r="G366" s="30">
        <v>0</v>
      </c>
      <c r="H366" s="30">
        <f t="shared" si="5"/>
        <v>8051.24</v>
      </c>
      <c r="I366" s="30"/>
      <c r="K366" t="s">
        <v>37</v>
      </c>
    </row>
    <row r="367" spans="2:11" ht="13" x14ac:dyDescent="0.15">
      <c r="B367" s="27" t="s">
        <v>563</v>
      </c>
      <c r="C367" s="27" t="s">
        <v>561</v>
      </c>
      <c r="D367" s="30">
        <v>8051.24</v>
      </c>
      <c r="E367" s="30"/>
      <c r="F367" s="30">
        <v>0</v>
      </c>
      <c r="G367" s="30">
        <v>0</v>
      </c>
      <c r="H367" s="30">
        <f t="shared" si="5"/>
        <v>8051.24</v>
      </c>
      <c r="I367" s="30"/>
      <c r="K367" t="s">
        <v>37</v>
      </c>
    </row>
    <row r="368" spans="2:11" ht="13" x14ac:dyDescent="0.15">
      <c r="B368" s="27" t="s">
        <v>564</v>
      </c>
      <c r="C368" s="27" t="s">
        <v>561</v>
      </c>
      <c r="D368" s="30">
        <v>8051.24</v>
      </c>
      <c r="E368" s="30"/>
      <c r="F368" s="30">
        <v>0</v>
      </c>
      <c r="G368" s="30">
        <v>0</v>
      </c>
      <c r="H368" s="30">
        <f t="shared" si="5"/>
        <v>8051.24</v>
      </c>
      <c r="I368" s="30"/>
      <c r="K368" t="s">
        <v>37</v>
      </c>
    </row>
    <row r="369" spans="2:11" ht="22" x14ac:dyDescent="0.15">
      <c r="B369" s="27" t="s">
        <v>565</v>
      </c>
      <c r="C369" s="27" t="s">
        <v>566</v>
      </c>
      <c r="D369" s="30">
        <v>6484.03</v>
      </c>
      <c r="E369" s="30"/>
      <c r="F369" s="30">
        <v>0</v>
      </c>
      <c r="G369" s="30">
        <v>0</v>
      </c>
      <c r="H369" s="30">
        <f t="shared" si="5"/>
        <v>6484.03</v>
      </c>
      <c r="I369" s="30"/>
      <c r="K369" t="s">
        <v>37</v>
      </c>
    </row>
    <row r="370" spans="2:11" ht="22" x14ac:dyDescent="0.15">
      <c r="B370" s="27" t="s">
        <v>567</v>
      </c>
      <c r="C370" s="27" t="s">
        <v>566</v>
      </c>
      <c r="D370" s="30">
        <v>6484.03</v>
      </c>
      <c r="E370" s="30"/>
      <c r="F370" s="30">
        <v>0</v>
      </c>
      <c r="G370" s="30">
        <v>0</v>
      </c>
      <c r="H370" s="30">
        <f t="shared" si="5"/>
        <v>6484.03</v>
      </c>
      <c r="I370" s="30"/>
      <c r="K370" t="s">
        <v>37</v>
      </c>
    </row>
    <row r="371" spans="2:11" ht="22" x14ac:dyDescent="0.15">
      <c r="B371" s="27" t="s">
        <v>568</v>
      </c>
      <c r="C371" s="27" t="s">
        <v>566</v>
      </c>
      <c r="D371" s="30">
        <v>6484.03</v>
      </c>
      <c r="E371" s="30"/>
      <c r="F371" s="30">
        <v>0</v>
      </c>
      <c r="G371" s="30">
        <v>0</v>
      </c>
      <c r="H371" s="30">
        <f t="shared" si="5"/>
        <v>6484.03</v>
      </c>
      <c r="I371" s="30"/>
      <c r="K371" t="s">
        <v>37</v>
      </c>
    </row>
    <row r="372" spans="2:11" ht="22" x14ac:dyDescent="0.15">
      <c r="B372" s="27" t="s">
        <v>569</v>
      </c>
      <c r="C372" s="27" t="s">
        <v>566</v>
      </c>
      <c r="D372" s="30">
        <v>6484.03</v>
      </c>
      <c r="E372" s="30"/>
      <c r="F372" s="30">
        <v>0</v>
      </c>
      <c r="G372" s="30">
        <v>0</v>
      </c>
      <c r="H372" s="30">
        <f t="shared" si="5"/>
        <v>6484.03</v>
      </c>
      <c r="I372" s="30"/>
      <c r="K372" t="s">
        <v>37</v>
      </c>
    </row>
    <row r="373" spans="2:11" ht="22" x14ac:dyDescent="0.15">
      <c r="B373" s="27" t="s">
        <v>570</v>
      </c>
      <c r="C373" s="27" t="s">
        <v>566</v>
      </c>
      <c r="D373" s="30">
        <v>6484.03</v>
      </c>
      <c r="E373" s="30"/>
      <c r="F373" s="30">
        <v>0</v>
      </c>
      <c r="G373" s="30">
        <v>0</v>
      </c>
      <c r="H373" s="30">
        <f t="shared" si="5"/>
        <v>6484.03</v>
      </c>
      <c r="I373" s="30"/>
      <c r="K373" t="s">
        <v>37</v>
      </c>
    </row>
    <row r="374" spans="2:11" ht="22" x14ac:dyDescent="0.15">
      <c r="B374" s="27" t="s">
        <v>571</v>
      </c>
      <c r="C374" s="27" t="s">
        <v>566</v>
      </c>
      <c r="D374" s="30">
        <v>6484.03</v>
      </c>
      <c r="E374" s="30"/>
      <c r="F374" s="30">
        <v>0</v>
      </c>
      <c r="G374" s="30">
        <v>0</v>
      </c>
      <c r="H374" s="30">
        <f t="shared" si="5"/>
        <v>6484.03</v>
      </c>
      <c r="I374" s="30"/>
      <c r="K374" t="s">
        <v>37</v>
      </c>
    </row>
    <row r="375" spans="2:11" ht="22" x14ac:dyDescent="0.15">
      <c r="B375" s="27" t="s">
        <v>572</v>
      </c>
      <c r="C375" s="27" t="s">
        <v>566</v>
      </c>
      <c r="D375" s="30">
        <v>6484.03</v>
      </c>
      <c r="E375" s="30"/>
      <c r="F375" s="30">
        <v>0</v>
      </c>
      <c r="G375" s="30">
        <v>0</v>
      </c>
      <c r="H375" s="30">
        <f t="shared" si="5"/>
        <v>6484.03</v>
      </c>
      <c r="I375" s="30"/>
      <c r="K375" t="s">
        <v>37</v>
      </c>
    </row>
    <row r="376" spans="2:11" ht="22" x14ac:dyDescent="0.15">
      <c r="B376" s="27" t="s">
        <v>573</v>
      </c>
      <c r="C376" s="27" t="s">
        <v>566</v>
      </c>
      <c r="D376" s="30">
        <v>6484.03</v>
      </c>
      <c r="E376" s="30"/>
      <c r="F376" s="30">
        <v>0</v>
      </c>
      <c r="G376" s="30">
        <v>6484.03</v>
      </c>
      <c r="H376" s="30">
        <f t="shared" si="5"/>
        <v>0</v>
      </c>
      <c r="I376" s="30"/>
      <c r="K376" t="s">
        <v>37</v>
      </c>
    </row>
    <row r="377" spans="2:11" ht="22" x14ac:dyDescent="0.15">
      <c r="B377" s="27" t="s">
        <v>574</v>
      </c>
      <c r="C377" s="27" t="s">
        <v>575</v>
      </c>
      <c r="D377" s="30">
        <v>3892.55</v>
      </c>
      <c r="E377" s="30"/>
      <c r="F377" s="30">
        <v>0</v>
      </c>
      <c r="G377" s="30">
        <v>3892.55</v>
      </c>
      <c r="H377" s="30">
        <f t="shared" si="5"/>
        <v>0</v>
      </c>
      <c r="I377" s="30"/>
      <c r="K377" t="s">
        <v>37</v>
      </c>
    </row>
    <row r="378" spans="2:11" ht="22" x14ac:dyDescent="0.15">
      <c r="B378" s="27" t="s">
        <v>576</v>
      </c>
      <c r="C378" s="27" t="s">
        <v>577</v>
      </c>
      <c r="D378" s="30">
        <v>145869.79</v>
      </c>
      <c r="E378" s="30"/>
      <c r="F378" s="30">
        <v>0</v>
      </c>
      <c r="G378" s="30">
        <v>6077.9</v>
      </c>
      <c r="H378" s="30">
        <f t="shared" si="5"/>
        <v>139791.89000000001</v>
      </c>
      <c r="I378" s="30"/>
      <c r="K378" t="s">
        <v>37</v>
      </c>
    </row>
    <row r="379" spans="2:11" ht="13" x14ac:dyDescent="0.15">
      <c r="B379" s="29" t="s">
        <v>578</v>
      </c>
      <c r="C379" s="29" t="s">
        <v>219</v>
      </c>
      <c r="D379" s="31">
        <f>SUMIFS(D380:D3130,K380:K3130,"0",B380:B3130,"1 2 4 1 1 12 31111 6 M78 00000 003*")-SUMIFS(E380:E3130,K380:K3130,"0",B380:B3130,"1 2 4 1 1 12 31111 6 M78 00000 003*")</f>
        <v>11970.5</v>
      </c>
      <c r="E379"/>
      <c r="F379" s="31">
        <f>SUMIFS(F380:F3130,K380:K3130,"0",B380:B3130,"1 2 4 1 1 12 31111 6 M78 00000 003*")</f>
        <v>0</v>
      </c>
      <c r="G379" s="31">
        <f>SUMIFS(G380:G3130,K380:K3130,"0",B380:B3130,"1 2 4 1 1 12 31111 6 M78 00000 003*")</f>
        <v>9168.5</v>
      </c>
      <c r="H379" s="31">
        <f t="shared" si="5"/>
        <v>2802</v>
      </c>
      <c r="I379" s="31"/>
      <c r="K379" t="s">
        <v>13</v>
      </c>
    </row>
    <row r="380" spans="2:11" ht="13" x14ac:dyDescent="0.15">
      <c r="B380" s="29" t="s">
        <v>579</v>
      </c>
      <c r="C380" s="29" t="s">
        <v>524</v>
      </c>
      <c r="D380" s="31">
        <f>SUMIFS(D381:D3130,K381:K3130,"0",B381:B3130,"1 2 4 1 1 12 31111 6 M78 00000 003 001*")-SUMIFS(E381:E3130,K381:K3130,"0",B381:B3130,"1 2 4 1 1 12 31111 6 M78 00000 003 001*")</f>
        <v>11970.5</v>
      </c>
      <c r="E380"/>
      <c r="F380" s="31">
        <f>SUMIFS(F381:F3130,K381:K3130,"0",B381:B3130,"1 2 4 1 1 12 31111 6 M78 00000 003 001*")</f>
        <v>0</v>
      </c>
      <c r="G380" s="31">
        <f>SUMIFS(G381:G3130,K381:K3130,"0",B381:B3130,"1 2 4 1 1 12 31111 6 M78 00000 003 001*")</f>
        <v>9168.5</v>
      </c>
      <c r="H380" s="31">
        <f t="shared" si="5"/>
        <v>2802</v>
      </c>
      <c r="I380" s="31"/>
      <c r="K380" t="s">
        <v>13</v>
      </c>
    </row>
    <row r="381" spans="2:11" ht="13" x14ac:dyDescent="0.15">
      <c r="B381" s="29" t="s">
        <v>580</v>
      </c>
      <c r="C381" s="29" t="s">
        <v>581</v>
      </c>
      <c r="D381" s="31">
        <f>SUMIFS(D382:D3130,K382:K3130,"0",B382:B3130,"1 2 4 1 1 12 31111 6 M78 00000 003 001 001*")-SUMIFS(E382:E3130,K382:K3130,"0",B382:B3130,"1 2 4 1 1 12 31111 6 M78 00000 003 001 001*")</f>
        <v>11970.5</v>
      </c>
      <c r="E381"/>
      <c r="F381" s="31">
        <f>SUMIFS(F382:F3130,K382:K3130,"0",B382:B3130,"1 2 4 1 1 12 31111 6 M78 00000 003 001 001*")</f>
        <v>0</v>
      </c>
      <c r="G381" s="31">
        <f>SUMIFS(G382:G3130,K382:K3130,"0",B382:B3130,"1 2 4 1 1 12 31111 6 M78 00000 003 001 001*")</f>
        <v>9168.5</v>
      </c>
      <c r="H381" s="31">
        <f t="shared" si="5"/>
        <v>2802</v>
      </c>
      <c r="I381" s="31"/>
      <c r="K381" t="s">
        <v>13</v>
      </c>
    </row>
    <row r="382" spans="2:11" ht="13" x14ac:dyDescent="0.15">
      <c r="B382" s="27" t="s">
        <v>582</v>
      </c>
      <c r="C382" s="27" t="s">
        <v>583</v>
      </c>
      <c r="D382" s="30">
        <v>2802</v>
      </c>
      <c r="E382" s="30"/>
      <c r="F382" s="30">
        <v>0</v>
      </c>
      <c r="G382" s="30">
        <v>0</v>
      </c>
      <c r="H382" s="30">
        <f t="shared" si="5"/>
        <v>2802</v>
      </c>
      <c r="I382" s="30"/>
      <c r="K382" t="s">
        <v>37</v>
      </c>
    </row>
    <row r="383" spans="2:11" ht="13" x14ac:dyDescent="0.15">
      <c r="B383" s="27" t="s">
        <v>584</v>
      </c>
      <c r="C383" s="27" t="s">
        <v>585</v>
      </c>
      <c r="D383" s="30">
        <v>9168.5</v>
      </c>
      <c r="E383" s="30"/>
      <c r="F383" s="30">
        <v>0</v>
      </c>
      <c r="G383" s="30">
        <v>9168.5</v>
      </c>
      <c r="H383" s="30">
        <f t="shared" si="5"/>
        <v>0</v>
      </c>
      <c r="I383" s="30"/>
      <c r="K383" t="s">
        <v>37</v>
      </c>
    </row>
    <row r="384" spans="2:11" ht="13" x14ac:dyDescent="0.15">
      <c r="B384" s="29" t="s">
        <v>586</v>
      </c>
      <c r="C384" s="29" t="s">
        <v>8</v>
      </c>
      <c r="D384" s="31">
        <f>SUMIFS(D385:D3130,K385:K3130,"0",B385:B3130,"1 2 4 1 1 12 31111 6 M78 07000*")-SUMIFS(E385:E3130,K385:K3130,"0",B385:B3130,"1 2 4 1 1 12 31111 6 M78 07000*")</f>
        <v>332666.46999999997</v>
      </c>
      <c r="E384"/>
      <c r="F384" s="31">
        <f>SUMIFS(F385:F3130,K385:K3130,"0",B385:B3130,"1 2 4 1 1 12 31111 6 M78 07000*")</f>
        <v>0</v>
      </c>
      <c r="G384" s="31">
        <f>SUMIFS(G385:G3130,K385:K3130,"0",B385:B3130,"1 2 4 1 1 12 31111 6 M78 07000*")</f>
        <v>33675.25</v>
      </c>
      <c r="H384" s="31">
        <f t="shared" si="5"/>
        <v>298991.21999999997</v>
      </c>
      <c r="I384" s="31"/>
      <c r="K384" t="s">
        <v>13</v>
      </c>
    </row>
    <row r="385" spans="2:11" ht="13" x14ac:dyDescent="0.15">
      <c r="B385" s="29" t="s">
        <v>587</v>
      </c>
      <c r="C385" s="29" t="s">
        <v>588</v>
      </c>
      <c r="D385" s="31">
        <f>SUMIFS(D386:D3130,K386:K3130,"0",B386:B3130,"1 2 4 1 1 12 31111 6 M78 07000 151*")-SUMIFS(E386:E3130,K386:K3130,"0",B386:B3130,"1 2 4 1 1 12 31111 6 M78 07000 151*")</f>
        <v>332666.46999999997</v>
      </c>
      <c r="E385"/>
      <c r="F385" s="31">
        <f>SUMIFS(F386:F3130,K386:K3130,"0",B386:B3130,"1 2 4 1 1 12 31111 6 M78 07000 151*")</f>
        <v>0</v>
      </c>
      <c r="G385" s="31">
        <f>SUMIFS(G386:G3130,K386:K3130,"0",B386:B3130,"1 2 4 1 1 12 31111 6 M78 07000 151*")</f>
        <v>33675.25</v>
      </c>
      <c r="H385" s="31">
        <f t="shared" si="5"/>
        <v>298991.21999999997</v>
      </c>
      <c r="I385" s="31"/>
      <c r="K385" t="s">
        <v>13</v>
      </c>
    </row>
    <row r="386" spans="2:11" ht="13" x14ac:dyDescent="0.15">
      <c r="B386" s="29" t="s">
        <v>589</v>
      </c>
      <c r="C386" s="29" t="s">
        <v>265</v>
      </c>
      <c r="D386" s="31">
        <f>SUMIFS(D387:D3130,K387:K3130,"0",B387:B3130,"1 2 4 1 1 12 31111 6 M78 07000 151 00C*")-SUMIFS(E387:E3130,K387:K3130,"0",B387:B3130,"1 2 4 1 1 12 31111 6 M78 07000 151 00C*")</f>
        <v>332666.46999999997</v>
      </c>
      <c r="E386"/>
      <c r="F386" s="31">
        <f>SUMIFS(F387:F3130,K387:K3130,"0",B387:B3130,"1 2 4 1 1 12 31111 6 M78 07000 151 00C*")</f>
        <v>0</v>
      </c>
      <c r="G386" s="31">
        <f>SUMIFS(G387:G3130,K387:K3130,"0",B387:B3130,"1 2 4 1 1 12 31111 6 M78 07000 151 00C*")</f>
        <v>33675.25</v>
      </c>
      <c r="H386" s="31">
        <f t="shared" si="5"/>
        <v>298991.21999999997</v>
      </c>
      <c r="I386" s="31"/>
      <c r="K386" t="s">
        <v>13</v>
      </c>
    </row>
    <row r="387" spans="2:11" ht="13" x14ac:dyDescent="0.15">
      <c r="B387" s="29" t="s">
        <v>590</v>
      </c>
      <c r="C387" s="29" t="s">
        <v>267</v>
      </c>
      <c r="D387" s="31">
        <f>SUMIFS(D388:D3130,K388:K3130,"0",B388:B3130,"1 2 4 1 1 12 31111 6 M78 07000 151 00C 002*")-SUMIFS(E388:E3130,K388:K3130,"0",B388:B3130,"1 2 4 1 1 12 31111 6 M78 07000 151 00C 002*")</f>
        <v>332666.46999999997</v>
      </c>
      <c r="E387"/>
      <c r="F387" s="31">
        <f>SUMIFS(F388:F3130,K388:K3130,"0",B388:B3130,"1 2 4 1 1 12 31111 6 M78 07000 151 00C 002*")</f>
        <v>0</v>
      </c>
      <c r="G387" s="31">
        <f>SUMIFS(G388:G3130,K388:K3130,"0",B388:B3130,"1 2 4 1 1 12 31111 6 M78 07000 151 00C 002*")</f>
        <v>33675.25</v>
      </c>
      <c r="H387" s="31">
        <f t="shared" si="5"/>
        <v>298991.21999999997</v>
      </c>
      <c r="I387" s="31"/>
      <c r="K387" t="s">
        <v>13</v>
      </c>
    </row>
    <row r="388" spans="2:11" ht="13" x14ac:dyDescent="0.15">
      <c r="B388" s="29" t="s">
        <v>591</v>
      </c>
      <c r="C388" s="29" t="s">
        <v>592</v>
      </c>
      <c r="D388" s="31">
        <f>SUMIFS(D389:D3130,K389:K3130,"0",B389:B3130,"1 2 4 1 1 12 31111 6 M78 07000 151 00C 002 51101*")-SUMIFS(E389:E3130,K389:K3130,"0",B389:B3130,"1 2 4 1 1 12 31111 6 M78 07000 151 00C 002 51101*")</f>
        <v>332666.46999999997</v>
      </c>
      <c r="E388"/>
      <c r="F388" s="31">
        <f>SUMIFS(F389:F3130,K389:K3130,"0",B389:B3130,"1 2 4 1 1 12 31111 6 M78 07000 151 00C 002 51101*")</f>
        <v>0</v>
      </c>
      <c r="G388" s="31">
        <f>SUMIFS(G389:G3130,K389:K3130,"0",B389:B3130,"1 2 4 1 1 12 31111 6 M78 07000 151 00C 002 51101*")</f>
        <v>33675.25</v>
      </c>
      <c r="H388" s="31">
        <f t="shared" si="5"/>
        <v>298991.21999999997</v>
      </c>
      <c r="I388" s="31"/>
      <c r="K388" t="s">
        <v>13</v>
      </c>
    </row>
    <row r="389" spans="2:11" ht="22" x14ac:dyDescent="0.15">
      <c r="B389" s="29" t="s">
        <v>593</v>
      </c>
      <c r="C389" s="29" t="s">
        <v>271</v>
      </c>
      <c r="D389" s="31">
        <f>SUMIFS(D390:D3130,K390:K3130,"0",B390:B3130,"1 2 4 1 1 12 31111 6 M78 07000 151 00C 002 51101 015*")-SUMIFS(E390:E3130,K390:K3130,"0",B390:B3130,"1 2 4 1 1 12 31111 6 M78 07000 151 00C 002 51101 015*")</f>
        <v>332666.46999999997</v>
      </c>
      <c r="E389"/>
      <c r="F389" s="31">
        <f>SUMIFS(F390:F3130,K390:K3130,"0",B390:B3130,"1 2 4 1 1 12 31111 6 M78 07000 151 00C 002 51101 015*")</f>
        <v>0</v>
      </c>
      <c r="G389" s="31">
        <f>SUMIFS(G390:G3130,K390:K3130,"0",B390:B3130,"1 2 4 1 1 12 31111 6 M78 07000 151 00C 002 51101 015*")</f>
        <v>33675.25</v>
      </c>
      <c r="H389" s="31">
        <f t="shared" si="5"/>
        <v>298991.21999999997</v>
      </c>
      <c r="I389" s="31"/>
      <c r="K389" t="s">
        <v>13</v>
      </c>
    </row>
    <row r="390" spans="2:11" ht="22" x14ac:dyDescent="0.15">
      <c r="B390" s="29" t="s">
        <v>594</v>
      </c>
      <c r="C390" s="29" t="s">
        <v>595</v>
      </c>
      <c r="D390" s="31">
        <f>SUMIFS(D391:D3130,K391:K3130,"0",B391:B3130,"1 2 4 1 1 12 31111 6 M78 07000 151 00C 002 51101 015 2112000*")-SUMIFS(E391:E3130,K391:K3130,"0",B391:B3130,"1 2 4 1 1 12 31111 6 M78 07000 151 00C 002 51101 015 2112000*")</f>
        <v>332666.46999999997</v>
      </c>
      <c r="E390"/>
      <c r="F390" s="31">
        <f>SUMIFS(F391:F3130,K391:K3130,"0",B391:B3130,"1 2 4 1 1 12 31111 6 M78 07000 151 00C 002 51101 015 2112000*")</f>
        <v>0</v>
      </c>
      <c r="G390" s="31">
        <f>SUMIFS(G391:G3130,K391:K3130,"0",B391:B3130,"1 2 4 1 1 12 31111 6 M78 07000 151 00C 002 51101 015 2112000*")</f>
        <v>33675.25</v>
      </c>
      <c r="H390" s="31">
        <f t="shared" si="5"/>
        <v>298991.21999999997</v>
      </c>
      <c r="I390" s="31"/>
      <c r="K390" t="s">
        <v>13</v>
      </c>
    </row>
    <row r="391" spans="2:11" ht="22" x14ac:dyDescent="0.15">
      <c r="B391" s="29" t="s">
        <v>596</v>
      </c>
      <c r="C391" s="29" t="s">
        <v>597</v>
      </c>
      <c r="D391" s="31">
        <f>SUMIFS(D392:D3130,K392:K3130,"0",B392:B3130,"1 2 4 1 1 12 31111 6 M78 07000 151 00C 002 51101 015 2112000 2019*")-SUMIFS(E392:E3130,K392:K3130,"0",B392:B3130,"1 2 4 1 1 12 31111 6 M78 07000 151 00C 002 51101 015 2112000 2019*")</f>
        <v>332666.46999999997</v>
      </c>
      <c r="E391"/>
      <c r="F391" s="31">
        <f>SUMIFS(F392:F3130,K392:K3130,"0",B392:B3130,"1 2 4 1 1 12 31111 6 M78 07000 151 00C 002 51101 015 2112000 2019*")</f>
        <v>0</v>
      </c>
      <c r="G391" s="31">
        <f>SUMIFS(G392:G3130,K392:K3130,"0",B392:B3130,"1 2 4 1 1 12 31111 6 M78 07000 151 00C 002 51101 015 2112000 2019*")</f>
        <v>33675.25</v>
      </c>
      <c r="H391" s="31">
        <f t="shared" si="5"/>
        <v>298991.21999999997</v>
      </c>
      <c r="I391" s="31"/>
      <c r="K391" t="s">
        <v>13</v>
      </c>
    </row>
    <row r="392" spans="2:11" ht="22" x14ac:dyDescent="0.15">
      <c r="B392" s="29" t="s">
        <v>598</v>
      </c>
      <c r="C392" s="29" t="s">
        <v>277</v>
      </c>
      <c r="D392" s="31">
        <f>SUMIFS(D393:D3130,K393:K3130,"0",B393:B3130,"1 2 4 1 1 12 31111 6 M78 07000 151 00C 002 51101 015 2112000 2019 00000000*")-SUMIFS(E393:E3130,K393:K3130,"0",B393:B3130,"1 2 4 1 1 12 31111 6 M78 07000 151 00C 002 51101 015 2112000 2019 00000000*")</f>
        <v>332666.46999999997</v>
      </c>
      <c r="E392"/>
      <c r="F392" s="31">
        <f>SUMIFS(F393:F3130,K393:K3130,"0",B393:B3130,"1 2 4 1 1 12 31111 6 M78 07000 151 00C 002 51101 015 2112000 2019 00000000*")</f>
        <v>0</v>
      </c>
      <c r="G392" s="31">
        <f>SUMIFS(G393:G3130,K393:K3130,"0",B393:B3130,"1 2 4 1 1 12 31111 6 M78 07000 151 00C 002 51101 015 2112000 2019 00000000*")</f>
        <v>33675.25</v>
      </c>
      <c r="H392" s="31">
        <f t="shared" si="5"/>
        <v>298991.21999999997</v>
      </c>
      <c r="I392" s="31"/>
      <c r="K392" t="s">
        <v>13</v>
      </c>
    </row>
    <row r="393" spans="2:11" ht="22" x14ac:dyDescent="0.15">
      <c r="B393" s="29" t="s">
        <v>599</v>
      </c>
      <c r="C393" s="29" t="s">
        <v>32</v>
      </c>
      <c r="D393" s="31">
        <f>SUMIFS(D394:D3130,K394:K3130,"0",B394:B3130,"1 2 4 1 1 12 31111 6 M78 07000 151 00C 002 51101 015 2112000 2019 00000000 001*")-SUMIFS(E394:E3130,K394:K3130,"0",B394:B3130,"1 2 4 1 1 12 31111 6 M78 07000 151 00C 002 51101 015 2112000 2019 00000000 001*")</f>
        <v>332666.46999999997</v>
      </c>
      <c r="E393"/>
      <c r="F393" s="31">
        <f>SUMIFS(F394:F3130,K394:K3130,"0",B394:B3130,"1 2 4 1 1 12 31111 6 M78 07000 151 00C 002 51101 015 2112000 2019 00000000 001*")</f>
        <v>0</v>
      </c>
      <c r="G393" s="31">
        <f>SUMIFS(G394:G3130,K394:K3130,"0",B394:B3130,"1 2 4 1 1 12 31111 6 M78 07000 151 00C 002 51101 015 2112000 2019 00000000 001*")</f>
        <v>33675.25</v>
      </c>
      <c r="H393" s="31">
        <f t="shared" si="5"/>
        <v>298991.21999999997</v>
      </c>
      <c r="I393" s="31"/>
      <c r="K393" t="s">
        <v>13</v>
      </c>
    </row>
    <row r="394" spans="2:11" ht="22" x14ac:dyDescent="0.15">
      <c r="B394" s="29" t="s">
        <v>600</v>
      </c>
      <c r="C394" s="29" t="s">
        <v>601</v>
      </c>
      <c r="D394" s="31">
        <f>SUMIFS(D395:D3130,K395:K3130,"0",B395:B3130,"1 2 4 1 1 12 31111 6 M78 07000 151 00C 002 51101 015 2112000 2019 00000000 001 001*")-SUMIFS(E395:E3130,K395:K3130,"0",B395:B3130,"1 2 4 1 1 12 31111 6 M78 07000 151 00C 002 51101 015 2112000 2019 00000000 001 001*")</f>
        <v>32036.799999999999</v>
      </c>
      <c r="E394"/>
      <c r="F394" s="31">
        <f>SUMIFS(F395:F3130,K395:K3130,"0",B395:B3130,"1 2 4 1 1 12 31111 6 M78 07000 151 00C 002 51101 015 2112000 2019 00000000 001 001*")</f>
        <v>0</v>
      </c>
      <c r="G394" s="31">
        <f>SUMIFS(G395:G3130,K395:K3130,"0",B395:B3130,"1 2 4 1 1 12 31111 6 M78 07000 151 00C 002 51101 015 2112000 2019 00000000 001 001*")</f>
        <v>0</v>
      </c>
      <c r="H394" s="31">
        <f t="shared" ref="H394:H457" si="6">D394 + F394 - G394</f>
        <v>32036.799999999999</v>
      </c>
      <c r="I394" s="31"/>
      <c r="K394" t="s">
        <v>13</v>
      </c>
    </row>
    <row r="395" spans="2:11" ht="22" x14ac:dyDescent="0.15">
      <c r="B395" s="27" t="s">
        <v>602</v>
      </c>
      <c r="C395" s="27" t="s">
        <v>603</v>
      </c>
      <c r="D395" s="30">
        <v>4639.8</v>
      </c>
      <c r="E395" s="30"/>
      <c r="F395" s="30">
        <v>0</v>
      </c>
      <c r="G395" s="30">
        <v>0</v>
      </c>
      <c r="H395" s="30">
        <f t="shared" si="6"/>
        <v>4639.8</v>
      </c>
      <c r="I395" s="30"/>
      <c r="K395" t="s">
        <v>37</v>
      </c>
    </row>
    <row r="396" spans="2:11" ht="22" x14ac:dyDescent="0.15">
      <c r="B396" s="27" t="s">
        <v>604</v>
      </c>
      <c r="C396" s="27" t="s">
        <v>605</v>
      </c>
      <c r="D396" s="30">
        <v>13899</v>
      </c>
      <c r="E396" s="30"/>
      <c r="F396" s="30">
        <v>0</v>
      </c>
      <c r="G396" s="30">
        <v>0</v>
      </c>
      <c r="H396" s="30">
        <f t="shared" si="6"/>
        <v>13899</v>
      </c>
      <c r="I396" s="30"/>
      <c r="K396" t="s">
        <v>37</v>
      </c>
    </row>
    <row r="397" spans="2:11" ht="22" x14ac:dyDescent="0.15">
      <c r="B397" s="27" t="s">
        <v>606</v>
      </c>
      <c r="C397" s="27" t="s">
        <v>607</v>
      </c>
      <c r="D397" s="30">
        <v>7999</v>
      </c>
      <c r="E397" s="30"/>
      <c r="F397" s="30">
        <v>0</v>
      </c>
      <c r="G397" s="30">
        <v>0</v>
      </c>
      <c r="H397" s="30">
        <f t="shared" si="6"/>
        <v>7999</v>
      </c>
      <c r="I397" s="30"/>
      <c r="K397" t="s">
        <v>37</v>
      </c>
    </row>
    <row r="398" spans="2:11" ht="22" x14ac:dyDescent="0.15">
      <c r="B398" s="27" t="s">
        <v>608</v>
      </c>
      <c r="C398" s="27" t="s">
        <v>609</v>
      </c>
      <c r="D398" s="30">
        <v>5499</v>
      </c>
      <c r="E398" s="30"/>
      <c r="F398" s="30">
        <v>0</v>
      </c>
      <c r="G398" s="30">
        <v>0</v>
      </c>
      <c r="H398" s="30">
        <f t="shared" si="6"/>
        <v>5499</v>
      </c>
      <c r="I398" s="30"/>
      <c r="K398" t="s">
        <v>37</v>
      </c>
    </row>
    <row r="399" spans="2:11" ht="22" x14ac:dyDescent="0.15">
      <c r="B399" s="29" t="s">
        <v>610</v>
      </c>
      <c r="C399" s="29" t="s">
        <v>611</v>
      </c>
      <c r="D399" s="31">
        <f>SUMIFS(D400:D3130,K400:K3130,"0",B400:B3130,"1 2 4 1 1 12 31111 6 M78 07000 151 00C 002 51101 015 2112000 2019 00000000 001 002*")-SUMIFS(E400:E3130,K400:K3130,"0",B400:B3130,"1 2 4 1 1 12 31111 6 M78 07000 151 00C 002 51101 015 2112000 2019 00000000 001 002*")</f>
        <v>4158.99</v>
      </c>
      <c r="E399"/>
      <c r="F399" s="31">
        <f>SUMIFS(F400:F3130,K400:K3130,"0",B400:B3130,"1 2 4 1 1 12 31111 6 M78 07000 151 00C 002 51101 015 2112000 2019 00000000 001 002*")</f>
        <v>0</v>
      </c>
      <c r="G399" s="31">
        <f>SUMIFS(G400:G3130,K400:K3130,"0",B400:B3130,"1 2 4 1 1 12 31111 6 M78 07000 151 00C 002 51101 015 2112000 2019 00000000 001 002*")</f>
        <v>0</v>
      </c>
      <c r="H399" s="31">
        <f t="shared" si="6"/>
        <v>4158.99</v>
      </c>
      <c r="I399" s="31"/>
      <c r="K399" t="s">
        <v>13</v>
      </c>
    </row>
    <row r="400" spans="2:11" ht="22" x14ac:dyDescent="0.15">
      <c r="B400" s="27" t="s">
        <v>612</v>
      </c>
      <c r="C400" s="27" t="s">
        <v>613</v>
      </c>
      <c r="D400" s="30">
        <v>4158.99</v>
      </c>
      <c r="E400" s="30"/>
      <c r="F400" s="30">
        <v>0</v>
      </c>
      <c r="G400" s="30">
        <v>0</v>
      </c>
      <c r="H400" s="30">
        <f t="shared" si="6"/>
        <v>4158.99</v>
      </c>
      <c r="I400" s="30"/>
      <c r="K400" t="s">
        <v>37</v>
      </c>
    </row>
    <row r="401" spans="2:11" ht="22" x14ac:dyDescent="0.15">
      <c r="B401" s="29" t="s">
        <v>614</v>
      </c>
      <c r="C401" s="29" t="s">
        <v>615</v>
      </c>
      <c r="D401" s="31">
        <f>SUMIFS(D402:D3130,K402:K3130,"0",B402:B3130,"1 2 4 1 1 12 31111 6 M78 07000 151 00C 002 51101 015 2112000 2019 00000000 001 007*")-SUMIFS(E402:E3130,K402:K3130,"0",B402:B3130,"1 2 4 1 1 12 31111 6 M78 07000 151 00C 002 51101 015 2112000 2019 00000000 001 007*")</f>
        <v>176471</v>
      </c>
      <c r="E401"/>
      <c r="F401" s="31">
        <f>SUMIFS(F402:F3130,K402:K3130,"0",B402:B3130,"1 2 4 1 1 12 31111 6 M78 07000 151 00C 002 51101 015 2112000 2019 00000000 001 007*")</f>
        <v>0</v>
      </c>
      <c r="G401" s="31">
        <f>SUMIFS(G402:G3130,K402:K3130,"0",B402:B3130,"1 2 4 1 1 12 31111 6 M78 07000 151 00C 002 51101 015 2112000 2019 00000000 001 007*")</f>
        <v>33675.25</v>
      </c>
      <c r="H401" s="31">
        <f t="shared" si="6"/>
        <v>142795.75</v>
      </c>
      <c r="I401" s="31"/>
      <c r="K401" t="s">
        <v>13</v>
      </c>
    </row>
    <row r="402" spans="2:11" ht="22" x14ac:dyDescent="0.15">
      <c r="B402" s="27" t="s">
        <v>616</v>
      </c>
      <c r="C402" s="27" t="s">
        <v>617</v>
      </c>
      <c r="D402" s="30">
        <v>5999</v>
      </c>
      <c r="E402" s="30"/>
      <c r="F402" s="30">
        <v>0</v>
      </c>
      <c r="G402" s="30">
        <v>0</v>
      </c>
      <c r="H402" s="30">
        <f t="shared" si="6"/>
        <v>5999</v>
      </c>
      <c r="I402" s="30"/>
      <c r="K402" t="s">
        <v>37</v>
      </c>
    </row>
    <row r="403" spans="2:11" ht="22" x14ac:dyDescent="0.15">
      <c r="B403" s="27" t="s">
        <v>618</v>
      </c>
      <c r="C403" s="27" t="s">
        <v>619</v>
      </c>
      <c r="D403" s="30">
        <v>4396.08</v>
      </c>
      <c r="E403" s="30"/>
      <c r="F403" s="30">
        <v>0</v>
      </c>
      <c r="G403" s="30">
        <v>0</v>
      </c>
      <c r="H403" s="30">
        <f t="shared" si="6"/>
        <v>4396.08</v>
      </c>
      <c r="I403" s="30"/>
      <c r="K403" t="s">
        <v>37</v>
      </c>
    </row>
    <row r="404" spans="2:11" ht="22" x14ac:dyDescent="0.15">
      <c r="B404" s="27" t="s">
        <v>620</v>
      </c>
      <c r="C404" s="27" t="s">
        <v>621</v>
      </c>
      <c r="D404" s="30">
        <v>1914</v>
      </c>
      <c r="E404" s="30"/>
      <c r="F404" s="30">
        <v>0</v>
      </c>
      <c r="G404" s="30">
        <v>957</v>
      </c>
      <c r="H404" s="30">
        <f t="shared" si="6"/>
        <v>957</v>
      </c>
      <c r="I404" s="30"/>
      <c r="K404" t="s">
        <v>37</v>
      </c>
    </row>
    <row r="405" spans="2:11" ht="22" x14ac:dyDescent="0.15">
      <c r="B405" s="27" t="s">
        <v>622</v>
      </c>
      <c r="C405" s="27" t="s">
        <v>623</v>
      </c>
      <c r="D405" s="30">
        <v>61270.83</v>
      </c>
      <c r="E405" s="30"/>
      <c r="F405" s="30">
        <v>0</v>
      </c>
      <c r="G405" s="30">
        <v>15317.71</v>
      </c>
      <c r="H405" s="30">
        <f t="shared" si="6"/>
        <v>45953.120000000003</v>
      </c>
      <c r="I405" s="30"/>
      <c r="K405" t="s">
        <v>37</v>
      </c>
    </row>
    <row r="406" spans="2:11" ht="22" x14ac:dyDescent="0.15">
      <c r="B406" s="27" t="s">
        <v>624</v>
      </c>
      <c r="C406" s="27" t="s">
        <v>625</v>
      </c>
      <c r="D406" s="30">
        <v>52311.15</v>
      </c>
      <c r="E406" s="30"/>
      <c r="F406" s="30">
        <v>0</v>
      </c>
      <c r="G406" s="30">
        <v>4755.5600000000004</v>
      </c>
      <c r="H406" s="30">
        <f t="shared" si="6"/>
        <v>47555.590000000004</v>
      </c>
      <c r="I406" s="30"/>
      <c r="K406" t="s">
        <v>37</v>
      </c>
    </row>
    <row r="407" spans="2:11" ht="22" x14ac:dyDescent="0.15">
      <c r="B407" s="27" t="s">
        <v>626</v>
      </c>
      <c r="C407" s="27" t="s">
        <v>627</v>
      </c>
      <c r="D407" s="30">
        <v>50579.94</v>
      </c>
      <c r="E407" s="30"/>
      <c r="F407" s="30">
        <v>0</v>
      </c>
      <c r="G407" s="30">
        <v>12644.98</v>
      </c>
      <c r="H407" s="30">
        <f t="shared" si="6"/>
        <v>37934.960000000006</v>
      </c>
      <c r="I407" s="30"/>
      <c r="K407" t="s">
        <v>37</v>
      </c>
    </row>
    <row r="408" spans="2:11" ht="22" x14ac:dyDescent="0.15">
      <c r="B408" s="29" t="s">
        <v>628</v>
      </c>
      <c r="C408" s="29" t="s">
        <v>629</v>
      </c>
      <c r="D408" s="31">
        <f>SUMIFS(D409:D3130,K409:K3130,"0",B409:B3130,"1 2 4 1 1 12 31111 6 M78 07000 151 00C 002 51101 015 2112000 2019 00000000 001 014*")-SUMIFS(E409:E3130,K409:K3130,"0",B409:B3130,"1 2 4 1 1 12 31111 6 M78 07000 151 00C 002 51101 015 2112000 2019 00000000 001 014*")</f>
        <v>119999.67999999999</v>
      </c>
      <c r="E408"/>
      <c r="F408" s="31">
        <f>SUMIFS(F409:F3130,K409:K3130,"0",B409:B3130,"1 2 4 1 1 12 31111 6 M78 07000 151 00C 002 51101 015 2112000 2019 00000000 001 014*")</f>
        <v>0</v>
      </c>
      <c r="G408" s="31">
        <f>SUMIFS(G409:G3130,K409:K3130,"0",B409:B3130,"1 2 4 1 1 12 31111 6 M78 07000 151 00C 002 51101 015 2112000 2019 00000000 001 014*")</f>
        <v>0</v>
      </c>
      <c r="H408" s="31">
        <f t="shared" si="6"/>
        <v>119999.67999999999</v>
      </c>
      <c r="I408" s="31"/>
      <c r="K408" t="s">
        <v>13</v>
      </c>
    </row>
    <row r="409" spans="2:11" ht="22" x14ac:dyDescent="0.15">
      <c r="B409" s="27" t="s">
        <v>630</v>
      </c>
      <c r="C409" s="27" t="s">
        <v>631</v>
      </c>
      <c r="D409" s="30">
        <v>119999.67999999999</v>
      </c>
      <c r="E409" s="30"/>
      <c r="F409" s="30">
        <v>0</v>
      </c>
      <c r="G409" s="30">
        <v>0</v>
      </c>
      <c r="H409" s="30">
        <f t="shared" si="6"/>
        <v>119999.67999999999</v>
      </c>
      <c r="I409" s="30"/>
      <c r="K409" t="s">
        <v>37</v>
      </c>
    </row>
    <row r="410" spans="2:11" ht="13" x14ac:dyDescent="0.15">
      <c r="B410" s="29" t="s">
        <v>632</v>
      </c>
      <c r="C410" s="29" t="s">
        <v>261</v>
      </c>
      <c r="D410" s="31">
        <f>SUMIFS(D411:D3130,K411:K3130,"0",B411:B3130,"1 2 4 1 1 12 31111 6 M78 10000*")-SUMIFS(E411:E3130,K411:K3130,"0",B411:B3130,"1 2 4 1 1 12 31111 6 M78 10000*")</f>
        <v>0</v>
      </c>
      <c r="E410"/>
      <c r="F410" s="31">
        <f>SUMIFS(F411:F3130,K411:K3130,"0",B411:B3130,"1 2 4 1 1 12 31111 6 M78 10000*")</f>
        <v>0</v>
      </c>
      <c r="G410" s="31">
        <f>SUMIFS(G411:G3130,K411:K3130,"0",B411:B3130,"1 2 4 1 1 12 31111 6 M78 10000*")</f>
        <v>5499</v>
      </c>
      <c r="H410" s="31">
        <f t="shared" si="6"/>
        <v>-5499</v>
      </c>
      <c r="I410" s="31"/>
      <c r="K410" t="s">
        <v>13</v>
      </c>
    </row>
    <row r="411" spans="2:11" ht="13" x14ac:dyDescent="0.15">
      <c r="B411" s="29" t="s">
        <v>633</v>
      </c>
      <c r="C411" s="29" t="s">
        <v>634</v>
      </c>
      <c r="D411" s="31">
        <f>SUMIFS(D412:D3130,K412:K3130,"0",B412:B3130,"1 2 4 1 1 12 31111 6 M78 10000 152*")-SUMIFS(E412:E3130,K412:K3130,"0",B412:B3130,"1 2 4 1 1 12 31111 6 M78 10000 152*")</f>
        <v>0</v>
      </c>
      <c r="E411"/>
      <c r="F411" s="31">
        <f>SUMIFS(F412:F3130,K412:K3130,"0",B412:B3130,"1 2 4 1 1 12 31111 6 M78 10000 152*")</f>
        <v>0</v>
      </c>
      <c r="G411" s="31">
        <f>SUMIFS(G412:G3130,K412:K3130,"0",B412:B3130,"1 2 4 1 1 12 31111 6 M78 10000 152*")</f>
        <v>5499</v>
      </c>
      <c r="H411" s="31">
        <f t="shared" si="6"/>
        <v>-5499</v>
      </c>
      <c r="I411" s="31"/>
      <c r="K411" t="s">
        <v>13</v>
      </c>
    </row>
    <row r="412" spans="2:11" ht="13" x14ac:dyDescent="0.15">
      <c r="B412" s="29" t="s">
        <v>635</v>
      </c>
      <c r="C412" s="29" t="s">
        <v>285</v>
      </c>
      <c r="D412" s="31">
        <f>SUMIFS(D413:D3130,K413:K3130,"0",B413:B3130,"1 2 4 1 1 12 31111 6 M78 10000 152 00I*")-SUMIFS(E413:E3130,K413:K3130,"0",B413:B3130,"1 2 4 1 1 12 31111 6 M78 10000 152 00I*")</f>
        <v>0</v>
      </c>
      <c r="E412"/>
      <c r="F412" s="31">
        <f>SUMIFS(F413:F3130,K413:K3130,"0",B413:B3130,"1 2 4 1 1 12 31111 6 M78 10000 152 00I*")</f>
        <v>0</v>
      </c>
      <c r="G412" s="31">
        <f>SUMIFS(G413:G3130,K413:K3130,"0",B413:B3130,"1 2 4 1 1 12 31111 6 M78 10000 152 00I*")</f>
        <v>5499</v>
      </c>
      <c r="H412" s="31">
        <f t="shared" si="6"/>
        <v>-5499</v>
      </c>
      <c r="I412" s="31"/>
      <c r="K412" t="s">
        <v>13</v>
      </c>
    </row>
    <row r="413" spans="2:11" ht="13" x14ac:dyDescent="0.15">
      <c r="B413" s="29" t="s">
        <v>636</v>
      </c>
      <c r="C413" s="29" t="s">
        <v>267</v>
      </c>
      <c r="D413" s="31">
        <f>SUMIFS(D414:D3130,K414:K3130,"0",B414:B3130,"1 2 4 1 1 12 31111 6 M78 10000 152 00I 002*")-SUMIFS(E414:E3130,K414:K3130,"0",B414:B3130,"1 2 4 1 1 12 31111 6 M78 10000 152 00I 002*")</f>
        <v>0</v>
      </c>
      <c r="E413"/>
      <c r="F413" s="31">
        <f>SUMIFS(F414:F3130,K414:K3130,"0",B414:B3130,"1 2 4 1 1 12 31111 6 M78 10000 152 00I 002*")</f>
        <v>0</v>
      </c>
      <c r="G413" s="31">
        <f>SUMIFS(G414:G3130,K414:K3130,"0",B414:B3130,"1 2 4 1 1 12 31111 6 M78 10000 152 00I 002*")</f>
        <v>5499</v>
      </c>
      <c r="H413" s="31">
        <f t="shared" si="6"/>
        <v>-5499</v>
      </c>
      <c r="I413" s="31"/>
      <c r="K413" t="s">
        <v>13</v>
      </c>
    </row>
    <row r="414" spans="2:11" ht="13" x14ac:dyDescent="0.15">
      <c r="B414" s="29" t="s">
        <v>637</v>
      </c>
      <c r="C414" s="29" t="s">
        <v>592</v>
      </c>
      <c r="D414" s="31">
        <f>SUMIFS(D415:D3130,K415:K3130,"0",B415:B3130,"1 2 4 1 1 12 31111 6 M78 10000 152 00I 002 51101*")-SUMIFS(E415:E3130,K415:K3130,"0",B415:B3130,"1 2 4 1 1 12 31111 6 M78 10000 152 00I 002 51101*")</f>
        <v>0</v>
      </c>
      <c r="E414"/>
      <c r="F414" s="31">
        <f>SUMIFS(F415:F3130,K415:K3130,"0",B415:B3130,"1 2 4 1 1 12 31111 6 M78 10000 152 00I 002 51101*")</f>
        <v>0</v>
      </c>
      <c r="G414" s="31">
        <f>SUMIFS(G415:G3130,K415:K3130,"0",B415:B3130,"1 2 4 1 1 12 31111 6 M78 10000 152 00I 002 51101*")</f>
        <v>5499</v>
      </c>
      <c r="H414" s="31">
        <f t="shared" si="6"/>
        <v>-5499</v>
      </c>
      <c r="I414" s="31"/>
      <c r="K414" t="s">
        <v>13</v>
      </c>
    </row>
    <row r="415" spans="2:11" ht="22" x14ac:dyDescent="0.15">
      <c r="B415" s="29" t="s">
        <v>638</v>
      </c>
      <c r="C415" s="29" t="s">
        <v>290</v>
      </c>
      <c r="D415" s="31">
        <f>SUMIFS(D416:D3130,K416:K3130,"0",B416:B3130,"1 2 4 1 1 12 31111 6 M78 10000 152 00I 002 51101 025*")-SUMIFS(E416:E3130,K416:K3130,"0",B416:B3130,"1 2 4 1 1 12 31111 6 M78 10000 152 00I 002 51101 025*")</f>
        <v>0</v>
      </c>
      <c r="E415"/>
      <c r="F415" s="31">
        <f>SUMIFS(F416:F3130,K416:K3130,"0",B416:B3130,"1 2 4 1 1 12 31111 6 M78 10000 152 00I 002 51101 025*")</f>
        <v>0</v>
      </c>
      <c r="G415" s="31">
        <f>SUMIFS(G416:G3130,K416:K3130,"0",B416:B3130,"1 2 4 1 1 12 31111 6 M78 10000 152 00I 002 51101 025*")</f>
        <v>5499</v>
      </c>
      <c r="H415" s="31">
        <f t="shared" si="6"/>
        <v>-5499</v>
      </c>
      <c r="I415" s="31"/>
      <c r="K415" t="s">
        <v>13</v>
      </c>
    </row>
    <row r="416" spans="2:11" ht="22" x14ac:dyDescent="0.15">
      <c r="B416" s="29" t="s">
        <v>639</v>
      </c>
      <c r="C416" s="29" t="s">
        <v>595</v>
      </c>
      <c r="D416" s="31">
        <f>SUMIFS(D417:D3130,K417:K3130,"0",B417:B3130,"1 2 4 1 1 12 31111 6 M78 10000 152 00I 002 51101 025 2112000*")-SUMIFS(E417:E3130,K417:K3130,"0",B417:B3130,"1 2 4 1 1 12 31111 6 M78 10000 152 00I 002 51101 025 2112000*")</f>
        <v>0</v>
      </c>
      <c r="E416"/>
      <c r="F416" s="31">
        <f>SUMIFS(F417:F3130,K417:K3130,"0",B417:B3130,"1 2 4 1 1 12 31111 6 M78 10000 152 00I 002 51101 025 2112000*")</f>
        <v>0</v>
      </c>
      <c r="G416" s="31">
        <f>SUMIFS(G417:G3130,K417:K3130,"0",B417:B3130,"1 2 4 1 1 12 31111 6 M78 10000 152 00I 002 51101 025 2112000*")</f>
        <v>5499</v>
      </c>
      <c r="H416" s="31">
        <f t="shared" si="6"/>
        <v>-5499</v>
      </c>
      <c r="I416" s="31"/>
      <c r="K416" t="s">
        <v>13</v>
      </c>
    </row>
    <row r="417" spans="2:11" ht="22" x14ac:dyDescent="0.15">
      <c r="B417" s="29" t="s">
        <v>640</v>
      </c>
      <c r="C417" s="29" t="s">
        <v>275</v>
      </c>
      <c r="D417" s="31">
        <f>SUMIFS(D418:D3130,K418:K3130,"0",B418:B3130,"1 2 4 1 1 12 31111 6 M78 10000 152 00I 002 51101 025 2112000 2024*")-SUMIFS(E418:E3130,K418:K3130,"0",B418:B3130,"1 2 4 1 1 12 31111 6 M78 10000 152 00I 002 51101 025 2112000 2024*")</f>
        <v>0</v>
      </c>
      <c r="E417"/>
      <c r="F417" s="31">
        <f>SUMIFS(F418:F3130,K418:K3130,"0",B418:B3130,"1 2 4 1 1 12 31111 6 M78 10000 152 00I 002 51101 025 2112000 2024*")</f>
        <v>0</v>
      </c>
      <c r="G417" s="31">
        <f>SUMIFS(G418:G3130,K418:K3130,"0",B418:B3130,"1 2 4 1 1 12 31111 6 M78 10000 152 00I 002 51101 025 2112000 2024*")</f>
        <v>5499</v>
      </c>
      <c r="H417" s="31">
        <f t="shared" si="6"/>
        <v>-5499</v>
      </c>
      <c r="I417" s="31"/>
      <c r="K417" t="s">
        <v>13</v>
      </c>
    </row>
    <row r="418" spans="2:11" ht="22" x14ac:dyDescent="0.15">
      <c r="B418" s="29" t="s">
        <v>641</v>
      </c>
      <c r="C418" s="29" t="s">
        <v>277</v>
      </c>
      <c r="D418" s="31">
        <f>SUMIFS(D419:D3130,K419:K3130,"0",B419:B3130,"1 2 4 1 1 12 31111 6 M78 10000 152 00I 002 51101 025 2112000 2024 00000000*")-SUMIFS(E419:E3130,K419:K3130,"0",B419:B3130,"1 2 4 1 1 12 31111 6 M78 10000 152 00I 002 51101 025 2112000 2024 00000000*")</f>
        <v>0</v>
      </c>
      <c r="E418"/>
      <c r="F418" s="31">
        <f>SUMIFS(F419:F3130,K419:K3130,"0",B419:B3130,"1 2 4 1 1 12 31111 6 M78 10000 152 00I 002 51101 025 2112000 2024 00000000*")</f>
        <v>0</v>
      </c>
      <c r="G418" s="31">
        <f>SUMIFS(G419:G3130,K419:K3130,"0",B419:B3130,"1 2 4 1 1 12 31111 6 M78 10000 152 00I 002 51101 025 2112000 2024 00000000*")</f>
        <v>5499</v>
      </c>
      <c r="H418" s="31">
        <f t="shared" si="6"/>
        <v>-5499</v>
      </c>
      <c r="I418" s="31"/>
      <c r="K418" t="s">
        <v>13</v>
      </c>
    </row>
    <row r="419" spans="2:11" ht="22" x14ac:dyDescent="0.15">
      <c r="B419" s="29" t="s">
        <v>642</v>
      </c>
      <c r="C419" s="29" t="s">
        <v>643</v>
      </c>
      <c r="D419" s="31">
        <f>SUMIFS(D420:D3130,K420:K3130,"0",B420:B3130,"1 2 4 1 1 12 31111 6 M78 10000 152 00I 002 51101 025 2112000 2024 00000000 002*")-SUMIFS(E420:E3130,K420:K3130,"0",B420:B3130,"1 2 4 1 1 12 31111 6 M78 10000 152 00I 002 51101 025 2112000 2024 00000000 002*")</f>
        <v>0</v>
      </c>
      <c r="E419"/>
      <c r="F419" s="31">
        <f>SUMIFS(F420:F3130,K420:K3130,"0",B420:B3130,"1 2 4 1 1 12 31111 6 M78 10000 152 00I 002 51101 025 2112000 2024 00000000 002*")</f>
        <v>0</v>
      </c>
      <c r="G419" s="31">
        <f>SUMIFS(G420:G3130,K420:K3130,"0",B420:B3130,"1 2 4 1 1 12 31111 6 M78 10000 152 00I 002 51101 025 2112000 2024 00000000 002*")</f>
        <v>5499</v>
      </c>
      <c r="H419" s="31">
        <f t="shared" si="6"/>
        <v>-5499</v>
      </c>
      <c r="I419" s="31"/>
      <c r="K419" t="s">
        <v>13</v>
      </c>
    </row>
    <row r="420" spans="2:11" ht="22" x14ac:dyDescent="0.15">
      <c r="B420" s="27" t="s">
        <v>644</v>
      </c>
      <c r="C420" s="27" t="s">
        <v>645</v>
      </c>
      <c r="D420" s="30">
        <v>0</v>
      </c>
      <c r="E420" s="30"/>
      <c r="F420" s="30">
        <v>0</v>
      </c>
      <c r="G420" s="30">
        <v>5499</v>
      </c>
      <c r="H420" s="30">
        <f t="shared" si="6"/>
        <v>-5499</v>
      </c>
      <c r="I420" s="30"/>
      <c r="K420" t="s">
        <v>37</v>
      </c>
    </row>
    <row r="421" spans="2:11" ht="13" x14ac:dyDescent="0.15">
      <c r="B421" s="29" t="s">
        <v>646</v>
      </c>
      <c r="C421" s="29" t="s">
        <v>647</v>
      </c>
      <c r="D421" s="31">
        <f>SUMIFS(D422:D3130,K422:K3130,"0",B422:B3130,"1 2 4 1 2*")-SUMIFS(E422:E3130,K422:K3130,"0",B422:B3130,"1 2 4 1 2*")</f>
        <v>19998</v>
      </c>
      <c r="E421"/>
      <c r="F421" s="31">
        <f>SUMIFS(F422:F3130,K422:K3130,"0",B422:B3130,"1 2 4 1 2*")</f>
        <v>25500</v>
      </c>
      <c r="G421" s="31">
        <f>SUMIFS(G422:G3130,K422:K3130,"0",B422:B3130,"1 2 4 1 2*")</f>
        <v>0</v>
      </c>
      <c r="H421" s="31">
        <f t="shared" si="6"/>
        <v>45498</v>
      </c>
      <c r="I421" s="31"/>
      <c r="K421" t="s">
        <v>13</v>
      </c>
    </row>
    <row r="422" spans="2:11" ht="13" x14ac:dyDescent="0.15">
      <c r="B422" s="29" t="s">
        <v>648</v>
      </c>
      <c r="C422" s="29" t="s">
        <v>24</v>
      </c>
      <c r="D422" s="31">
        <f>SUMIFS(D423:D3130,K423:K3130,"0",B423:B3130,"1 2 4 1 2 12*")-SUMIFS(E423:E3130,K423:K3130,"0",B423:B3130,"1 2 4 1 2 12*")</f>
        <v>19998</v>
      </c>
      <c r="E422"/>
      <c r="F422" s="31">
        <f>SUMIFS(F423:F3130,K423:K3130,"0",B423:B3130,"1 2 4 1 2 12*")</f>
        <v>25500</v>
      </c>
      <c r="G422" s="31">
        <f>SUMIFS(G423:G3130,K423:K3130,"0",B423:B3130,"1 2 4 1 2 12*")</f>
        <v>0</v>
      </c>
      <c r="H422" s="31">
        <f t="shared" si="6"/>
        <v>45498</v>
      </c>
      <c r="I422" s="31"/>
      <c r="K422" t="s">
        <v>13</v>
      </c>
    </row>
    <row r="423" spans="2:11" ht="13" x14ac:dyDescent="0.15">
      <c r="B423" s="29" t="s">
        <v>649</v>
      </c>
      <c r="C423" s="29" t="s">
        <v>26</v>
      </c>
      <c r="D423" s="31">
        <f>SUMIFS(D424:D3130,K424:K3130,"0",B424:B3130,"1 2 4 1 2 12 31111*")-SUMIFS(E424:E3130,K424:K3130,"0",B424:B3130,"1 2 4 1 2 12 31111*")</f>
        <v>19998</v>
      </c>
      <c r="E423"/>
      <c r="F423" s="31">
        <f>SUMIFS(F424:F3130,K424:K3130,"0",B424:B3130,"1 2 4 1 2 12 31111*")</f>
        <v>25500</v>
      </c>
      <c r="G423" s="31">
        <f>SUMIFS(G424:G3130,K424:K3130,"0",B424:B3130,"1 2 4 1 2 12 31111*")</f>
        <v>0</v>
      </c>
      <c r="H423" s="31">
        <f t="shared" si="6"/>
        <v>45498</v>
      </c>
      <c r="I423" s="31"/>
      <c r="K423" t="s">
        <v>13</v>
      </c>
    </row>
    <row r="424" spans="2:11" ht="13" x14ac:dyDescent="0.15">
      <c r="B424" s="29" t="s">
        <v>650</v>
      </c>
      <c r="C424" s="29" t="s">
        <v>28</v>
      </c>
      <c r="D424" s="31">
        <f>SUMIFS(D425:D3130,K425:K3130,"0",B425:B3130,"1 2 4 1 2 12 31111 6*")-SUMIFS(E425:E3130,K425:K3130,"0",B425:B3130,"1 2 4 1 2 12 31111 6*")</f>
        <v>19998</v>
      </c>
      <c r="E424"/>
      <c r="F424" s="31">
        <f>SUMIFS(F425:F3130,K425:K3130,"0",B425:B3130,"1 2 4 1 2 12 31111 6*")</f>
        <v>25500</v>
      </c>
      <c r="G424" s="31">
        <f>SUMIFS(G425:G3130,K425:K3130,"0",B425:B3130,"1 2 4 1 2 12 31111 6*")</f>
        <v>0</v>
      </c>
      <c r="H424" s="31">
        <f t="shared" si="6"/>
        <v>45498</v>
      </c>
      <c r="I424" s="31"/>
      <c r="K424" t="s">
        <v>13</v>
      </c>
    </row>
    <row r="425" spans="2:11" ht="13" x14ac:dyDescent="0.15">
      <c r="B425" s="29" t="s">
        <v>651</v>
      </c>
      <c r="C425" s="29" t="s">
        <v>652</v>
      </c>
      <c r="D425" s="31">
        <f>SUMIFS(D426:D3130,K426:K3130,"0",B426:B3130,"1 2 4 1 2 12 31111 6 M78*")-SUMIFS(E426:E3130,K426:K3130,"0",B426:B3130,"1 2 4 1 2 12 31111 6 M78*")</f>
        <v>19998</v>
      </c>
      <c r="E425"/>
      <c r="F425" s="31">
        <f>SUMIFS(F426:F3130,K426:K3130,"0",B426:B3130,"1 2 4 1 2 12 31111 6 M78*")</f>
        <v>25500</v>
      </c>
      <c r="G425" s="31">
        <f>SUMIFS(G426:G3130,K426:K3130,"0",B426:B3130,"1 2 4 1 2 12 31111 6 M78*")</f>
        <v>0</v>
      </c>
      <c r="H425" s="31">
        <f t="shared" si="6"/>
        <v>45498</v>
      </c>
      <c r="I425" s="31"/>
      <c r="K425" t="s">
        <v>13</v>
      </c>
    </row>
    <row r="426" spans="2:11" ht="13" x14ac:dyDescent="0.15">
      <c r="B426" s="29" t="s">
        <v>653</v>
      </c>
      <c r="C426" s="29" t="s">
        <v>8</v>
      </c>
      <c r="D426" s="31">
        <f>SUMIFS(D427:D3130,K427:K3130,"0",B427:B3130,"1 2 4 1 2 12 31111 6 M78 07000*")-SUMIFS(E427:E3130,K427:K3130,"0",B427:B3130,"1 2 4 1 2 12 31111 6 M78 07000*")</f>
        <v>19998</v>
      </c>
      <c r="E426"/>
      <c r="F426" s="31">
        <f>SUMIFS(F427:F3130,K427:K3130,"0",B427:B3130,"1 2 4 1 2 12 31111 6 M78 07000*")</f>
        <v>25500</v>
      </c>
      <c r="G426" s="31">
        <f>SUMIFS(G427:G3130,K427:K3130,"0",B427:B3130,"1 2 4 1 2 12 31111 6 M78 07000*")</f>
        <v>0</v>
      </c>
      <c r="H426" s="31">
        <f t="shared" si="6"/>
        <v>45498</v>
      </c>
      <c r="I426" s="31"/>
      <c r="K426" t="s">
        <v>13</v>
      </c>
    </row>
    <row r="427" spans="2:11" ht="13" x14ac:dyDescent="0.15">
      <c r="B427" s="29" t="s">
        <v>654</v>
      </c>
      <c r="C427" s="29" t="s">
        <v>588</v>
      </c>
      <c r="D427" s="31">
        <f>SUMIFS(D428:D3130,K428:K3130,"0",B428:B3130,"1 2 4 1 2 12 31111 6 M78 07000 151*")-SUMIFS(E428:E3130,K428:K3130,"0",B428:B3130,"1 2 4 1 2 12 31111 6 M78 07000 151*")</f>
        <v>19998</v>
      </c>
      <c r="E427"/>
      <c r="F427" s="31">
        <f>SUMIFS(F428:F3130,K428:K3130,"0",B428:B3130,"1 2 4 1 2 12 31111 6 M78 07000 151*")</f>
        <v>25500</v>
      </c>
      <c r="G427" s="31">
        <f>SUMIFS(G428:G3130,K428:K3130,"0",B428:B3130,"1 2 4 1 2 12 31111 6 M78 07000 151*")</f>
        <v>0</v>
      </c>
      <c r="H427" s="31">
        <f t="shared" si="6"/>
        <v>45498</v>
      </c>
      <c r="I427" s="31"/>
      <c r="K427" t="s">
        <v>13</v>
      </c>
    </row>
    <row r="428" spans="2:11" ht="13" x14ac:dyDescent="0.15">
      <c r="B428" s="29" t="s">
        <v>655</v>
      </c>
      <c r="C428" s="29" t="s">
        <v>265</v>
      </c>
      <c r="D428" s="31">
        <f>SUMIFS(D429:D3130,K429:K3130,"0",B429:B3130,"1 2 4 1 2 12 31111 6 M78 07000 151 00C*")-SUMIFS(E429:E3130,K429:K3130,"0",B429:B3130,"1 2 4 1 2 12 31111 6 M78 07000 151 00C*")</f>
        <v>19998</v>
      </c>
      <c r="E428"/>
      <c r="F428" s="31">
        <f>SUMIFS(F429:F3130,K429:K3130,"0",B429:B3130,"1 2 4 1 2 12 31111 6 M78 07000 151 00C*")</f>
        <v>25500</v>
      </c>
      <c r="G428" s="31">
        <f>SUMIFS(G429:G3130,K429:K3130,"0",B429:B3130,"1 2 4 1 2 12 31111 6 M78 07000 151 00C*")</f>
        <v>0</v>
      </c>
      <c r="H428" s="31">
        <f t="shared" si="6"/>
        <v>45498</v>
      </c>
      <c r="I428" s="31"/>
      <c r="K428" t="s">
        <v>13</v>
      </c>
    </row>
    <row r="429" spans="2:11" ht="13" x14ac:dyDescent="0.15">
      <c r="B429" s="29" t="s">
        <v>656</v>
      </c>
      <c r="C429" s="29" t="s">
        <v>267</v>
      </c>
      <c r="D429" s="31">
        <f>SUMIFS(D430:D3130,K430:K3130,"0",B430:B3130,"1 2 4 1 2 12 31111 6 M78 07000 151 00C 002*")-SUMIFS(E430:E3130,K430:K3130,"0",B430:B3130,"1 2 4 1 2 12 31111 6 M78 07000 151 00C 002*")</f>
        <v>19998</v>
      </c>
      <c r="E429"/>
      <c r="F429" s="31">
        <f>SUMIFS(F430:F3130,K430:K3130,"0",B430:B3130,"1 2 4 1 2 12 31111 6 M78 07000 151 00C 002*")</f>
        <v>25500</v>
      </c>
      <c r="G429" s="31">
        <f>SUMIFS(G430:G3130,K430:K3130,"0",B430:B3130,"1 2 4 1 2 12 31111 6 M78 07000 151 00C 002*")</f>
        <v>0</v>
      </c>
      <c r="H429" s="31">
        <f t="shared" si="6"/>
        <v>45498</v>
      </c>
      <c r="I429" s="31"/>
      <c r="K429" t="s">
        <v>13</v>
      </c>
    </row>
    <row r="430" spans="2:11" ht="13" x14ac:dyDescent="0.15">
      <c r="B430" s="29" t="s">
        <v>657</v>
      </c>
      <c r="C430" s="29" t="s">
        <v>658</v>
      </c>
      <c r="D430" s="31">
        <f>SUMIFS(D431:D3130,K431:K3130,"0",B431:B3130,"1 2 4 1 2 12 31111 6 M78 07000 151 00C 002 51201*")-SUMIFS(E431:E3130,K431:K3130,"0",B431:B3130,"1 2 4 1 2 12 31111 6 M78 07000 151 00C 002 51201*")</f>
        <v>19998</v>
      </c>
      <c r="E430"/>
      <c r="F430" s="31">
        <f>SUMIFS(F431:F3130,K431:K3130,"0",B431:B3130,"1 2 4 1 2 12 31111 6 M78 07000 151 00C 002 51201*")</f>
        <v>25500</v>
      </c>
      <c r="G430" s="31">
        <f>SUMIFS(G431:G3130,K431:K3130,"0",B431:B3130,"1 2 4 1 2 12 31111 6 M78 07000 151 00C 002 51201*")</f>
        <v>0</v>
      </c>
      <c r="H430" s="31">
        <f t="shared" si="6"/>
        <v>45498</v>
      </c>
      <c r="I430" s="31"/>
      <c r="K430" t="s">
        <v>13</v>
      </c>
    </row>
    <row r="431" spans="2:11" ht="22" x14ac:dyDescent="0.15">
      <c r="B431" s="29" t="s">
        <v>659</v>
      </c>
      <c r="C431" s="29" t="s">
        <v>271</v>
      </c>
      <c r="D431" s="31">
        <f>SUMIFS(D432:D3130,K432:K3130,"0",B432:B3130,"1 2 4 1 2 12 31111 6 M78 07000 151 00C 002 51201 015*")-SUMIFS(E432:E3130,K432:K3130,"0",B432:B3130,"1 2 4 1 2 12 31111 6 M78 07000 151 00C 002 51201 015*")</f>
        <v>19998</v>
      </c>
      <c r="E431"/>
      <c r="F431" s="31">
        <f>SUMIFS(F432:F3130,K432:K3130,"0",B432:B3130,"1 2 4 1 2 12 31111 6 M78 07000 151 00C 002 51201 015*")</f>
        <v>25500</v>
      </c>
      <c r="G431" s="31">
        <f>SUMIFS(G432:G3130,K432:K3130,"0",B432:B3130,"1 2 4 1 2 12 31111 6 M78 07000 151 00C 002 51201 015*")</f>
        <v>0</v>
      </c>
      <c r="H431" s="31">
        <f t="shared" si="6"/>
        <v>45498</v>
      </c>
      <c r="I431" s="31"/>
      <c r="K431" t="s">
        <v>13</v>
      </c>
    </row>
    <row r="432" spans="2:11" ht="22" x14ac:dyDescent="0.15">
      <c r="B432" s="29" t="s">
        <v>660</v>
      </c>
      <c r="C432" s="29" t="s">
        <v>595</v>
      </c>
      <c r="D432" s="31">
        <f>SUMIFS(D433:D3130,K433:K3130,"0",B433:B3130,"1 2 4 1 2 12 31111 6 M78 07000 151 00C 002 51201 015 2112000*")-SUMIFS(E433:E3130,K433:K3130,"0",B433:B3130,"1 2 4 1 2 12 31111 6 M78 07000 151 00C 002 51201 015 2112000*")</f>
        <v>19998</v>
      </c>
      <c r="E432"/>
      <c r="F432" s="31">
        <f>SUMIFS(F433:F3130,K433:K3130,"0",B433:B3130,"1 2 4 1 2 12 31111 6 M78 07000 151 00C 002 51201 015 2112000*")</f>
        <v>25500</v>
      </c>
      <c r="G432" s="31">
        <f>SUMIFS(G433:G3130,K433:K3130,"0",B433:B3130,"1 2 4 1 2 12 31111 6 M78 07000 151 00C 002 51201 015 2112000*")</f>
        <v>0</v>
      </c>
      <c r="H432" s="31">
        <f t="shared" si="6"/>
        <v>45498</v>
      </c>
      <c r="I432" s="31"/>
      <c r="K432" t="s">
        <v>13</v>
      </c>
    </row>
    <row r="433" spans="2:11" ht="22" x14ac:dyDescent="0.15">
      <c r="B433" s="29" t="s">
        <v>661</v>
      </c>
      <c r="C433" s="29" t="s">
        <v>662</v>
      </c>
      <c r="D433" s="31">
        <f>SUMIFS(D434:D3130,K434:K3130,"0",B434:B3130,"1 2 4 1 2 12 31111 6 M78 07000 151 00C 002 51201 015 2112000 2020*")-SUMIFS(E434:E3130,K434:K3130,"0",B434:B3130,"1 2 4 1 2 12 31111 6 M78 07000 151 00C 002 51201 015 2112000 2020*")</f>
        <v>8999</v>
      </c>
      <c r="E433"/>
      <c r="F433" s="31">
        <f>SUMIFS(F434:F3130,K434:K3130,"0",B434:B3130,"1 2 4 1 2 12 31111 6 M78 07000 151 00C 002 51201 015 2112000 2020*")</f>
        <v>0</v>
      </c>
      <c r="G433" s="31">
        <f>SUMIFS(G434:G3130,K434:K3130,"0",B434:B3130,"1 2 4 1 2 12 31111 6 M78 07000 151 00C 002 51201 015 2112000 2020*")</f>
        <v>0</v>
      </c>
      <c r="H433" s="31">
        <f t="shared" si="6"/>
        <v>8999</v>
      </c>
      <c r="I433" s="31"/>
      <c r="K433" t="s">
        <v>13</v>
      </c>
    </row>
    <row r="434" spans="2:11" ht="22" x14ac:dyDescent="0.15">
      <c r="B434" s="29" t="s">
        <v>663</v>
      </c>
      <c r="C434" s="29" t="s">
        <v>277</v>
      </c>
      <c r="D434" s="31">
        <f>SUMIFS(D435:D3130,K435:K3130,"0",B435:B3130,"1 2 4 1 2 12 31111 6 M78 07000 151 00C 002 51201 015 2112000 2020 00000000*")-SUMIFS(E435:E3130,K435:K3130,"0",B435:B3130,"1 2 4 1 2 12 31111 6 M78 07000 151 00C 002 51201 015 2112000 2020 00000000*")</f>
        <v>8999</v>
      </c>
      <c r="E434"/>
      <c r="F434" s="31">
        <f>SUMIFS(F435:F3130,K435:K3130,"0",B435:B3130,"1 2 4 1 2 12 31111 6 M78 07000 151 00C 002 51201 015 2112000 2020 00000000*")</f>
        <v>0</v>
      </c>
      <c r="G434" s="31">
        <f>SUMIFS(G435:G3130,K435:K3130,"0",B435:B3130,"1 2 4 1 2 12 31111 6 M78 07000 151 00C 002 51201 015 2112000 2020 00000000*")</f>
        <v>0</v>
      </c>
      <c r="H434" s="31">
        <f t="shared" si="6"/>
        <v>8999</v>
      </c>
      <c r="I434" s="31"/>
      <c r="K434" t="s">
        <v>13</v>
      </c>
    </row>
    <row r="435" spans="2:11" ht="22" x14ac:dyDescent="0.15">
      <c r="B435" s="29" t="s">
        <v>664</v>
      </c>
      <c r="C435" s="29" t="s">
        <v>32</v>
      </c>
      <c r="D435" s="31">
        <f>SUMIFS(D436:D3130,K436:K3130,"0",B436:B3130,"1 2 4 1 2 12 31111 6 M78 07000 151 00C 002 51201 015 2112000 2020 00000000 001*")-SUMIFS(E436:E3130,K436:K3130,"0",B436:B3130,"1 2 4 1 2 12 31111 6 M78 07000 151 00C 002 51201 015 2112000 2020 00000000 001*")</f>
        <v>8999</v>
      </c>
      <c r="E435"/>
      <c r="F435" s="31">
        <f>SUMIFS(F436:F3130,K436:K3130,"0",B436:B3130,"1 2 4 1 2 12 31111 6 M78 07000 151 00C 002 51201 015 2112000 2020 00000000 001*")</f>
        <v>0</v>
      </c>
      <c r="G435" s="31">
        <f>SUMIFS(G436:G3130,K436:K3130,"0",B436:B3130,"1 2 4 1 2 12 31111 6 M78 07000 151 00C 002 51201 015 2112000 2020 00000000 001*")</f>
        <v>0</v>
      </c>
      <c r="H435" s="31">
        <f t="shared" si="6"/>
        <v>8999</v>
      </c>
      <c r="I435" s="31"/>
      <c r="K435" t="s">
        <v>13</v>
      </c>
    </row>
    <row r="436" spans="2:11" ht="22" x14ac:dyDescent="0.15">
      <c r="B436" s="29" t="s">
        <v>665</v>
      </c>
      <c r="C436" s="29" t="s">
        <v>666</v>
      </c>
      <c r="D436" s="31">
        <f>SUMIFS(D437:D3130,K437:K3130,"0",B437:B3130,"1 2 4 1 2 12 31111 6 M78 07000 151 00C 002 51201 015 2112000 2020 00000000 001 012*")-SUMIFS(E437:E3130,K437:K3130,"0",B437:B3130,"1 2 4 1 2 12 31111 6 M78 07000 151 00C 002 51201 015 2112000 2020 00000000 001 012*")</f>
        <v>8999</v>
      </c>
      <c r="E436"/>
      <c r="F436" s="31">
        <f>SUMIFS(F437:F3130,K437:K3130,"0",B437:B3130,"1 2 4 1 2 12 31111 6 M78 07000 151 00C 002 51201 015 2112000 2020 00000000 001 012*")</f>
        <v>0</v>
      </c>
      <c r="G436" s="31">
        <f>SUMIFS(G437:G3130,K437:K3130,"0",B437:B3130,"1 2 4 1 2 12 31111 6 M78 07000 151 00C 002 51201 015 2112000 2020 00000000 001 012*")</f>
        <v>0</v>
      </c>
      <c r="H436" s="31">
        <f t="shared" si="6"/>
        <v>8999</v>
      </c>
      <c r="I436" s="31"/>
      <c r="K436" t="s">
        <v>13</v>
      </c>
    </row>
    <row r="437" spans="2:11" ht="22" x14ac:dyDescent="0.15">
      <c r="B437" s="27" t="s">
        <v>667</v>
      </c>
      <c r="C437" s="27" t="s">
        <v>668</v>
      </c>
      <c r="D437" s="30">
        <v>8999</v>
      </c>
      <c r="E437" s="30"/>
      <c r="F437" s="30">
        <v>0</v>
      </c>
      <c r="G437" s="30">
        <v>0</v>
      </c>
      <c r="H437" s="30">
        <f t="shared" si="6"/>
        <v>8999</v>
      </c>
      <c r="I437" s="30"/>
      <c r="K437" t="s">
        <v>37</v>
      </c>
    </row>
    <row r="438" spans="2:11" ht="22" x14ac:dyDescent="0.15">
      <c r="B438" s="29" t="s">
        <v>669</v>
      </c>
      <c r="C438" s="29" t="s">
        <v>670</v>
      </c>
      <c r="D438" s="31">
        <f>SUMIFS(D439:D3130,K439:K3130,"0",B439:B3130,"1 2 4 1 2 12 31111 6 M78 07000 151 00C 002 51201 015 2112000 2021*")-SUMIFS(E439:E3130,K439:K3130,"0",B439:B3130,"1 2 4 1 2 12 31111 6 M78 07000 151 00C 002 51201 015 2112000 2021*")</f>
        <v>10999</v>
      </c>
      <c r="E438"/>
      <c r="F438" s="31">
        <f>SUMIFS(F439:F3130,K439:K3130,"0",B439:B3130,"1 2 4 1 2 12 31111 6 M78 07000 151 00C 002 51201 015 2112000 2021*")</f>
        <v>0</v>
      </c>
      <c r="G438" s="31">
        <f>SUMIFS(G439:G3130,K439:K3130,"0",B439:B3130,"1 2 4 1 2 12 31111 6 M78 07000 151 00C 002 51201 015 2112000 2021*")</f>
        <v>0</v>
      </c>
      <c r="H438" s="31">
        <f t="shared" si="6"/>
        <v>10999</v>
      </c>
      <c r="I438" s="31"/>
      <c r="K438" t="s">
        <v>13</v>
      </c>
    </row>
    <row r="439" spans="2:11" ht="22" x14ac:dyDescent="0.15">
      <c r="B439" s="29" t="s">
        <v>671</v>
      </c>
      <c r="C439" s="29" t="s">
        <v>277</v>
      </c>
      <c r="D439" s="31">
        <f>SUMIFS(D440:D3130,K440:K3130,"0",B440:B3130,"1 2 4 1 2 12 31111 6 M78 07000 151 00C 002 51201 015 2112000 2021 00000000*")-SUMIFS(E440:E3130,K440:K3130,"0",B440:B3130,"1 2 4 1 2 12 31111 6 M78 07000 151 00C 002 51201 015 2112000 2021 00000000*")</f>
        <v>10999</v>
      </c>
      <c r="E439"/>
      <c r="F439" s="31">
        <f>SUMIFS(F440:F3130,K440:K3130,"0",B440:B3130,"1 2 4 1 2 12 31111 6 M78 07000 151 00C 002 51201 015 2112000 2021 00000000*")</f>
        <v>0</v>
      </c>
      <c r="G439" s="31">
        <f>SUMIFS(G440:G3130,K440:K3130,"0",B440:B3130,"1 2 4 1 2 12 31111 6 M78 07000 151 00C 002 51201 015 2112000 2021 00000000*")</f>
        <v>0</v>
      </c>
      <c r="H439" s="31">
        <f t="shared" si="6"/>
        <v>10999</v>
      </c>
      <c r="I439" s="31"/>
      <c r="K439" t="s">
        <v>13</v>
      </c>
    </row>
    <row r="440" spans="2:11" ht="22" x14ac:dyDescent="0.15">
      <c r="B440" s="29" t="s">
        <v>672</v>
      </c>
      <c r="C440" s="29" t="s">
        <v>32</v>
      </c>
      <c r="D440" s="31">
        <f>SUMIFS(D441:D3130,K441:K3130,"0",B441:B3130,"1 2 4 1 2 12 31111 6 M78 07000 151 00C 002 51201 015 2112000 2021 00000000 001*")-SUMIFS(E441:E3130,K441:K3130,"0",B441:B3130,"1 2 4 1 2 12 31111 6 M78 07000 151 00C 002 51201 015 2112000 2021 00000000 001*")</f>
        <v>10999</v>
      </c>
      <c r="E440"/>
      <c r="F440" s="31">
        <f>SUMIFS(F441:F3130,K441:K3130,"0",B441:B3130,"1 2 4 1 2 12 31111 6 M78 07000 151 00C 002 51201 015 2112000 2021 00000000 001*")</f>
        <v>0</v>
      </c>
      <c r="G440" s="31">
        <f>SUMIFS(G441:G3130,K441:K3130,"0",B441:B3130,"1 2 4 1 2 12 31111 6 M78 07000 151 00C 002 51201 015 2112000 2021 00000000 001*")</f>
        <v>0</v>
      </c>
      <c r="H440" s="31">
        <f t="shared" si="6"/>
        <v>10999</v>
      </c>
      <c r="I440" s="31"/>
      <c r="K440" t="s">
        <v>13</v>
      </c>
    </row>
    <row r="441" spans="2:11" ht="22" x14ac:dyDescent="0.15">
      <c r="B441" s="29" t="s">
        <v>673</v>
      </c>
      <c r="C441" s="29" t="s">
        <v>666</v>
      </c>
      <c r="D441" s="31">
        <f>SUMIFS(D442:D3130,K442:K3130,"0",B442:B3130,"1 2 4 1 2 12 31111 6 M78 07000 151 00C 002 51201 015 2112000 2021 00000000 001 012*")-SUMIFS(E442:E3130,K442:K3130,"0",B442:B3130,"1 2 4 1 2 12 31111 6 M78 07000 151 00C 002 51201 015 2112000 2021 00000000 001 012*")</f>
        <v>10999</v>
      </c>
      <c r="E441"/>
      <c r="F441" s="31">
        <f>SUMIFS(F442:F3130,K442:K3130,"0",B442:B3130,"1 2 4 1 2 12 31111 6 M78 07000 151 00C 002 51201 015 2112000 2021 00000000 001 012*")</f>
        <v>0</v>
      </c>
      <c r="G441" s="31">
        <f>SUMIFS(G442:G3130,K442:K3130,"0",B442:B3130,"1 2 4 1 2 12 31111 6 M78 07000 151 00C 002 51201 015 2112000 2021 00000000 001 012*")</f>
        <v>0</v>
      </c>
      <c r="H441" s="31">
        <f t="shared" si="6"/>
        <v>10999</v>
      </c>
      <c r="I441" s="31"/>
      <c r="K441" t="s">
        <v>13</v>
      </c>
    </row>
    <row r="442" spans="2:11" ht="22" x14ac:dyDescent="0.15">
      <c r="B442" s="27" t="s">
        <v>674</v>
      </c>
      <c r="C442" s="27" t="s">
        <v>675</v>
      </c>
      <c r="D442" s="30">
        <v>10999</v>
      </c>
      <c r="E442" s="30"/>
      <c r="F442" s="30">
        <v>0</v>
      </c>
      <c r="G442" s="30">
        <v>0</v>
      </c>
      <c r="H442" s="30">
        <f t="shared" si="6"/>
        <v>10999</v>
      </c>
      <c r="I442" s="30"/>
      <c r="K442" t="s">
        <v>37</v>
      </c>
    </row>
    <row r="443" spans="2:11" ht="22" x14ac:dyDescent="0.15">
      <c r="B443" s="29" t="s">
        <v>676</v>
      </c>
      <c r="C443" s="29" t="s">
        <v>275</v>
      </c>
      <c r="D443" s="31">
        <f>SUMIFS(D444:D3130,K444:K3130,"0",B444:B3130,"1 2 4 1 2 12 31111 6 M78 07000 151 00C 002 51201 015 2112000 2024*")-SUMIFS(E444:E3130,K444:K3130,"0",B444:B3130,"1 2 4 1 2 12 31111 6 M78 07000 151 00C 002 51201 015 2112000 2024*")</f>
        <v>0</v>
      </c>
      <c r="E443"/>
      <c r="F443" s="31">
        <f>SUMIFS(F444:F3130,K444:K3130,"0",B444:B3130,"1 2 4 1 2 12 31111 6 M78 07000 151 00C 002 51201 015 2112000 2024*")</f>
        <v>25500</v>
      </c>
      <c r="G443" s="31">
        <f>SUMIFS(G444:G3130,K444:K3130,"0",B444:B3130,"1 2 4 1 2 12 31111 6 M78 07000 151 00C 002 51201 015 2112000 2024*")</f>
        <v>0</v>
      </c>
      <c r="H443" s="31">
        <f t="shared" si="6"/>
        <v>25500</v>
      </c>
      <c r="I443" s="31"/>
      <c r="K443" t="s">
        <v>13</v>
      </c>
    </row>
    <row r="444" spans="2:11" ht="22" x14ac:dyDescent="0.15">
      <c r="B444" s="29" t="s">
        <v>677</v>
      </c>
      <c r="C444" s="29" t="s">
        <v>277</v>
      </c>
      <c r="D444" s="31">
        <f>SUMIFS(D445:D3130,K445:K3130,"0",B445:B3130,"1 2 4 1 2 12 31111 6 M78 07000 151 00C 002 51201 015 2112000 2024 00000000*")-SUMIFS(E445:E3130,K445:K3130,"0",B445:B3130,"1 2 4 1 2 12 31111 6 M78 07000 151 00C 002 51201 015 2112000 2024 00000000*")</f>
        <v>0</v>
      </c>
      <c r="E444"/>
      <c r="F444" s="31">
        <f>SUMIFS(F445:F3130,K445:K3130,"0",B445:B3130,"1 2 4 1 2 12 31111 6 M78 07000 151 00C 002 51201 015 2112000 2024 00000000*")</f>
        <v>25500</v>
      </c>
      <c r="G444" s="31">
        <f>SUMIFS(G445:G3130,K445:K3130,"0",B445:B3130,"1 2 4 1 2 12 31111 6 M78 07000 151 00C 002 51201 015 2112000 2024 00000000*")</f>
        <v>0</v>
      </c>
      <c r="H444" s="31">
        <f t="shared" si="6"/>
        <v>25500</v>
      </c>
      <c r="I444" s="31"/>
      <c r="K444" t="s">
        <v>13</v>
      </c>
    </row>
    <row r="445" spans="2:11" ht="22" x14ac:dyDescent="0.15">
      <c r="B445" s="29" t="s">
        <v>678</v>
      </c>
      <c r="C445" s="29" t="s">
        <v>32</v>
      </c>
      <c r="D445" s="31">
        <f>SUMIFS(D446:D3130,K446:K3130,"0",B446:B3130,"1 2 4 1 2 12 31111 6 M78 07000 151 00C 002 51201 015 2112000 2024 00000000 001*")-SUMIFS(E446:E3130,K446:K3130,"0",B446:B3130,"1 2 4 1 2 12 31111 6 M78 07000 151 00C 002 51201 015 2112000 2024 00000000 001*")</f>
        <v>0</v>
      </c>
      <c r="E445"/>
      <c r="F445" s="31">
        <f>SUMIFS(F446:F3130,K446:K3130,"0",B446:B3130,"1 2 4 1 2 12 31111 6 M78 07000 151 00C 002 51201 015 2112000 2024 00000000 001*")</f>
        <v>25500</v>
      </c>
      <c r="G445" s="31">
        <f>SUMIFS(G446:G3130,K446:K3130,"0",B446:B3130,"1 2 4 1 2 12 31111 6 M78 07000 151 00C 002 51201 015 2112000 2024 00000000 001*")</f>
        <v>0</v>
      </c>
      <c r="H445" s="31">
        <f t="shared" si="6"/>
        <v>25500</v>
      </c>
      <c r="I445" s="31"/>
      <c r="K445" t="s">
        <v>13</v>
      </c>
    </row>
    <row r="446" spans="2:11" ht="22" x14ac:dyDescent="0.15">
      <c r="B446" s="29" t="s">
        <v>679</v>
      </c>
      <c r="C446" s="29" t="s">
        <v>666</v>
      </c>
      <c r="D446" s="31">
        <f>SUMIFS(D447:D3130,K447:K3130,"0",B447:B3130,"1 2 4 1 2 12 31111 6 M78 07000 151 00C 002 51201 015 2112000 2024 00000000 001 012*")-SUMIFS(E447:E3130,K447:K3130,"0",B447:B3130,"1 2 4 1 2 12 31111 6 M78 07000 151 00C 002 51201 015 2112000 2024 00000000 001 012*")</f>
        <v>0</v>
      </c>
      <c r="E446"/>
      <c r="F446" s="31">
        <f>SUMIFS(F447:F3130,K447:K3130,"0",B447:B3130,"1 2 4 1 2 12 31111 6 M78 07000 151 00C 002 51201 015 2112000 2024 00000000 001 012*")</f>
        <v>25500</v>
      </c>
      <c r="G446" s="31">
        <f>SUMIFS(G447:G3130,K447:K3130,"0",B447:B3130,"1 2 4 1 2 12 31111 6 M78 07000 151 00C 002 51201 015 2112000 2024 00000000 001 012*")</f>
        <v>0</v>
      </c>
      <c r="H446" s="31">
        <f t="shared" si="6"/>
        <v>25500</v>
      </c>
      <c r="I446" s="31"/>
      <c r="K446" t="s">
        <v>13</v>
      </c>
    </row>
    <row r="447" spans="2:11" ht="22" x14ac:dyDescent="0.15">
      <c r="B447" s="27" t="s">
        <v>680</v>
      </c>
      <c r="C447" s="27" t="s">
        <v>681</v>
      </c>
      <c r="D447" s="30">
        <v>0</v>
      </c>
      <c r="E447" s="30"/>
      <c r="F447" s="30">
        <v>8500</v>
      </c>
      <c r="G447" s="30">
        <v>0</v>
      </c>
      <c r="H447" s="30">
        <f t="shared" si="6"/>
        <v>8500</v>
      </c>
      <c r="I447" s="30"/>
      <c r="K447" t="s">
        <v>37</v>
      </c>
    </row>
    <row r="448" spans="2:11" ht="22" x14ac:dyDescent="0.15">
      <c r="B448" s="27" t="s">
        <v>682</v>
      </c>
      <c r="C448" s="27" t="s">
        <v>683</v>
      </c>
      <c r="D448" s="30">
        <v>0</v>
      </c>
      <c r="E448" s="30"/>
      <c r="F448" s="30">
        <v>8500</v>
      </c>
      <c r="G448" s="30">
        <v>0</v>
      </c>
      <c r="H448" s="30">
        <f t="shared" si="6"/>
        <v>8500</v>
      </c>
      <c r="I448" s="30"/>
      <c r="K448" t="s">
        <v>37</v>
      </c>
    </row>
    <row r="449" spans="2:11" ht="22" x14ac:dyDescent="0.15">
      <c r="B449" s="27" t="s">
        <v>684</v>
      </c>
      <c r="C449" s="27" t="s">
        <v>685</v>
      </c>
      <c r="D449" s="30">
        <v>0</v>
      </c>
      <c r="E449" s="30"/>
      <c r="F449" s="30">
        <v>8500</v>
      </c>
      <c r="G449" s="30">
        <v>0</v>
      </c>
      <c r="H449" s="30">
        <f t="shared" si="6"/>
        <v>8500</v>
      </c>
      <c r="I449" s="30"/>
      <c r="K449" t="s">
        <v>37</v>
      </c>
    </row>
    <row r="450" spans="2:11" ht="13" x14ac:dyDescent="0.15">
      <c r="B450" s="29" t="s">
        <v>686</v>
      </c>
      <c r="C450" s="29" t="s">
        <v>687</v>
      </c>
      <c r="D450" s="31">
        <f>SUMIFS(D451:D3130,K451:K3130,"0",B451:B3130,"1 2 4 1 3*")-SUMIFS(E451:E3130,K451:K3130,"0",B451:B3130,"1 2 4 1 3*")</f>
        <v>401528.36000000004</v>
      </c>
      <c r="E450"/>
      <c r="F450" s="31">
        <f>SUMIFS(F451:F3130,K451:K3130,"0",B451:B3130,"1 2 4 1 3*")</f>
        <v>222186</v>
      </c>
      <c r="G450" s="31">
        <f>SUMIFS(G451:G3130,K451:K3130,"0",B451:B3130,"1 2 4 1 3*")</f>
        <v>179492.56</v>
      </c>
      <c r="H450" s="31">
        <f t="shared" si="6"/>
        <v>444221.8000000001</v>
      </c>
      <c r="I450" s="31"/>
      <c r="K450" t="s">
        <v>13</v>
      </c>
    </row>
    <row r="451" spans="2:11" ht="13" x14ac:dyDescent="0.15">
      <c r="B451" s="29" t="s">
        <v>688</v>
      </c>
      <c r="C451" s="29" t="s">
        <v>24</v>
      </c>
      <c r="D451" s="31">
        <f>SUMIFS(D452:D3130,K452:K3130,"0",B452:B3130,"1 2 4 1 3 12*")-SUMIFS(E452:E3130,K452:K3130,"0",B452:B3130,"1 2 4 1 3 12*")</f>
        <v>401528.36000000004</v>
      </c>
      <c r="E451"/>
      <c r="F451" s="31">
        <f>SUMIFS(F452:F3130,K452:K3130,"0",B452:B3130,"1 2 4 1 3 12*")</f>
        <v>222186</v>
      </c>
      <c r="G451" s="31">
        <f>SUMIFS(G452:G3130,K452:K3130,"0",B452:B3130,"1 2 4 1 3 12*")</f>
        <v>179492.56</v>
      </c>
      <c r="H451" s="31">
        <f t="shared" si="6"/>
        <v>444221.8000000001</v>
      </c>
      <c r="I451" s="31"/>
      <c r="K451" t="s">
        <v>13</v>
      </c>
    </row>
    <row r="452" spans="2:11" ht="13" x14ac:dyDescent="0.15">
      <c r="B452" s="29" t="s">
        <v>689</v>
      </c>
      <c r="C452" s="29" t="s">
        <v>26</v>
      </c>
      <c r="D452" s="31">
        <f>SUMIFS(D453:D3130,K453:K3130,"0",B453:B3130,"1 2 4 1 3 12 31111*")-SUMIFS(E453:E3130,K453:K3130,"0",B453:B3130,"1 2 4 1 3 12 31111*")</f>
        <v>401528.36000000004</v>
      </c>
      <c r="E452"/>
      <c r="F452" s="31">
        <f>SUMIFS(F453:F3130,K453:K3130,"0",B453:B3130,"1 2 4 1 3 12 31111*")</f>
        <v>222186</v>
      </c>
      <c r="G452" s="31">
        <f>SUMIFS(G453:G3130,K453:K3130,"0",B453:B3130,"1 2 4 1 3 12 31111*")</f>
        <v>179492.56</v>
      </c>
      <c r="H452" s="31">
        <f t="shared" si="6"/>
        <v>444221.8000000001</v>
      </c>
      <c r="I452" s="31"/>
      <c r="K452" t="s">
        <v>13</v>
      </c>
    </row>
    <row r="453" spans="2:11" ht="13" x14ac:dyDescent="0.15">
      <c r="B453" s="29" t="s">
        <v>690</v>
      </c>
      <c r="C453" s="29" t="s">
        <v>28</v>
      </c>
      <c r="D453" s="31">
        <f>SUMIFS(D454:D3130,K454:K3130,"0",B454:B3130,"1 2 4 1 3 12 31111 6*")-SUMIFS(E454:E3130,K454:K3130,"0",B454:B3130,"1 2 4 1 3 12 31111 6*")</f>
        <v>401528.36000000004</v>
      </c>
      <c r="E453"/>
      <c r="F453" s="31">
        <f>SUMIFS(F454:F3130,K454:K3130,"0",B454:B3130,"1 2 4 1 3 12 31111 6*")</f>
        <v>222186</v>
      </c>
      <c r="G453" s="31">
        <f>SUMIFS(G454:G3130,K454:K3130,"0",B454:B3130,"1 2 4 1 3 12 31111 6*")</f>
        <v>179492.56</v>
      </c>
      <c r="H453" s="31">
        <f t="shared" si="6"/>
        <v>444221.8000000001</v>
      </c>
      <c r="I453" s="31"/>
      <c r="K453" t="s">
        <v>13</v>
      </c>
    </row>
    <row r="454" spans="2:11" ht="13" x14ac:dyDescent="0.15">
      <c r="B454" s="29" t="s">
        <v>691</v>
      </c>
      <c r="C454" s="29" t="s">
        <v>30</v>
      </c>
      <c r="D454" s="31">
        <f>SUMIFS(D455:D3130,K455:K3130,"0",B455:B3130,"1 2 4 1 3 12 31111 6 M78*")-SUMIFS(E455:E3130,K455:K3130,"0",B455:B3130,"1 2 4 1 3 12 31111 6 M78*")</f>
        <v>401528.36000000004</v>
      </c>
      <c r="E454"/>
      <c r="F454" s="31">
        <f>SUMIFS(F455:F3130,K455:K3130,"0",B455:B3130,"1 2 4 1 3 12 31111 6 M78*")</f>
        <v>222186</v>
      </c>
      <c r="G454" s="31">
        <f>SUMIFS(G455:G3130,K455:K3130,"0",B455:B3130,"1 2 4 1 3 12 31111 6 M78*")</f>
        <v>179492.56</v>
      </c>
      <c r="H454" s="31">
        <f t="shared" si="6"/>
        <v>444221.8000000001</v>
      </c>
      <c r="I454" s="31"/>
      <c r="K454" t="s">
        <v>13</v>
      </c>
    </row>
    <row r="455" spans="2:11" ht="13" x14ac:dyDescent="0.15">
      <c r="B455" s="29" t="s">
        <v>692</v>
      </c>
      <c r="C455" s="29" t="s">
        <v>521</v>
      </c>
      <c r="D455" s="31">
        <f>SUMIFS(D456:D3130,K456:K3130,"0",B456:B3130,"1 2 4 1 3 12 31111 6 M78 00000*")-SUMIFS(E456:E3130,K456:K3130,"0",B456:B3130,"1 2 4 1 3 12 31111 6 M78 00000*")</f>
        <v>268864.37000000005</v>
      </c>
      <c r="E455"/>
      <c r="F455" s="31">
        <f>SUMIFS(F456:F3130,K456:K3130,"0",B456:B3130,"1 2 4 1 3 12 31111 6 M78 00000*")</f>
        <v>0</v>
      </c>
      <c r="G455" s="31">
        <f>SUMIFS(G456:G3130,K456:K3130,"0",B456:B3130,"1 2 4 1 3 12 31111 6 M78 00000*")</f>
        <v>153911.57</v>
      </c>
      <c r="H455" s="31">
        <f t="shared" si="6"/>
        <v>114952.80000000005</v>
      </c>
      <c r="I455" s="31"/>
      <c r="K455" t="s">
        <v>13</v>
      </c>
    </row>
    <row r="456" spans="2:11" ht="13" x14ac:dyDescent="0.15">
      <c r="B456" s="29" t="s">
        <v>693</v>
      </c>
      <c r="C456" s="29" t="s">
        <v>694</v>
      </c>
      <c r="D456" s="31">
        <f>SUMIFS(D457:D3130,K457:K3130,"0",B457:B3130,"1 2 4 1 3 12 31111 6 M78 00000 001*")-SUMIFS(E457:E3130,K457:K3130,"0",B457:B3130,"1 2 4 1 3 12 31111 6 M78 00000 001*")</f>
        <v>64311.78</v>
      </c>
      <c r="E456"/>
      <c r="F456" s="31">
        <f>SUMIFS(F457:F3130,K457:K3130,"0",B457:B3130,"1 2 4 1 3 12 31111 6 M78 00000 001*")</f>
        <v>0</v>
      </c>
      <c r="G456" s="31">
        <f>SUMIFS(G457:G3130,K457:K3130,"0",B457:B3130,"1 2 4 1 3 12 31111 6 M78 00000 001*")</f>
        <v>64311.78</v>
      </c>
      <c r="H456" s="31">
        <f t="shared" si="6"/>
        <v>0</v>
      </c>
      <c r="I456" s="31"/>
      <c r="K456" t="s">
        <v>13</v>
      </c>
    </row>
    <row r="457" spans="2:11" ht="13" x14ac:dyDescent="0.15">
      <c r="B457" s="29" t="s">
        <v>695</v>
      </c>
      <c r="C457" s="29" t="s">
        <v>524</v>
      </c>
      <c r="D457" s="31">
        <f>SUMIFS(D458:D3130,K458:K3130,"0",B458:B3130,"1 2 4 1 3 12 31111 6 M78 00000 001 001*")-SUMIFS(E458:E3130,K458:K3130,"0",B458:B3130,"1 2 4 1 3 12 31111 6 M78 00000 001 001*")</f>
        <v>64311.78</v>
      </c>
      <c r="E457"/>
      <c r="F457" s="31">
        <f>SUMIFS(F458:F3130,K458:K3130,"0",B458:B3130,"1 2 4 1 3 12 31111 6 M78 00000 001 001*")</f>
        <v>0</v>
      </c>
      <c r="G457" s="31">
        <f>SUMIFS(G458:G3130,K458:K3130,"0",B458:B3130,"1 2 4 1 3 12 31111 6 M78 00000 001 001*")</f>
        <v>64311.78</v>
      </c>
      <c r="H457" s="31">
        <f t="shared" si="6"/>
        <v>0</v>
      </c>
      <c r="I457" s="31"/>
      <c r="K457" t="s">
        <v>13</v>
      </c>
    </row>
    <row r="458" spans="2:11" ht="13" x14ac:dyDescent="0.15">
      <c r="B458" s="29" t="s">
        <v>696</v>
      </c>
      <c r="C458" s="29" t="s">
        <v>535</v>
      </c>
      <c r="D458" s="31">
        <f>SUMIFS(D459:D3130,K459:K3130,"0",B459:B3130,"1 2 4 1 3 12 31111 6 M78 00000 001 001 004*")-SUMIFS(E459:E3130,K459:K3130,"0",B459:B3130,"1 2 4 1 3 12 31111 6 M78 00000 001 001 004*")</f>
        <v>23712.780000000002</v>
      </c>
      <c r="E458"/>
      <c r="F458" s="31">
        <f>SUMIFS(F459:F3130,K459:K3130,"0",B459:B3130,"1 2 4 1 3 12 31111 6 M78 00000 001 001 004*")</f>
        <v>0</v>
      </c>
      <c r="G458" s="31">
        <f>SUMIFS(G459:G3130,K459:K3130,"0",B459:B3130,"1 2 4 1 3 12 31111 6 M78 00000 001 001 004*")</f>
        <v>23712.780000000002</v>
      </c>
      <c r="H458" s="31">
        <f t="shared" ref="H458:H521" si="7">D458 + F458 - G458</f>
        <v>0</v>
      </c>
      <c r="I458" s="31"/>
      <c r="K458" t="s">
        <v>13</v>
      </c>
    </row>
    <row r="459" spans="2:11" ht="13" x14ac:dyDescent="0.15">
      <c r="B459" s="27" t="s">
        <v>697</v>
      </c>
      <c r="C459" s="27" t="s">
        <v>698</v>
      </c>
      <c r="D459" s="30">
        <v>3001</v>
      </c>
      <c r="E459" s="30"/>
      <c r="F459" s="30">
        <v>0</v>
      </c>
      <c r="G459" s="30">
        <v>3001</v>
      </c>
      <c r="H459" s="30">
        <f t="shared" si="7"/>
        <v>0</v>
      </c>
      <c r="I459" s="30"/>
      <c r="K459" t="s">
        <v>37</v>
      </c>
    </row>
    <row r="460" spans="2:11" ht="13" x14ac:dyDescent="0.15">
      <c r="B460" s="27" t="s">
        <v>699</v>
      </c>
      <c r="C460" s="27" t="s">
        <v>700</v>
      </c>
      <c r="D460" s="30">
        <v>6251.22</v>
      </c>
      <c r="E460" s="30"/>
      <c r="F460" s="30">
        <v>0</v>
      </c>
      <c r="G460" s="30">
        <v>6251.22</v>
      </c>
      <c r="H460" s="30">
        <f t="shared" si="7"/>
        <v>0</v>
      </c>
      <c r="I460" s="30"/>
      <c r="K460" t="s">
        <v>37</v>
      </c>
    </row>
    <row r="461" spans="2:11" ht="13" x14ac:dyDescent="0.15">
      <c r="B461" s="27" t="s">
        <v>701</v>
      </c>
      <c r="C461" s="27" t="s">
        <v>700</v>
      </c>
      <c r="D461" s="30">
        <v>6251.22</v>
      </c>
      <c r="E461" s="30"/>
      <c r="F461" s="30">
        <v>0</v>
      </c>
      <c r="G461" s="30">
        <v>6251.22</v>
      </c>
      <c r="H461" s="30">
        <f t="shared" si="7"/>
        <v>0</v>
      </c>
      <c r="I461" s="30"/>
      <c r="K461" t="s">
        <v>37</v>
      </c>
    </row>
    <row r="462" spans="2:11" ht="13" x14ac:dyDescent="0.15">
      <c r="B462" s="27" t="s">
        <v>702</v>
      </c>
      <c r="C462" s="27" t="s">
        <v>703</v>
      </c>
      <c r="D462" s="30">
        <v>2989.34</v>
      </c>
      <c r="E462" s="30"/>
      <c r="F462" s="30">
        <v>0</v>
      </c>
      <c r="G462" s="30">
        <v>2989.34</v>
      </c>
      <c r="H462" s="30">
        <f t="shared" si="7"/>
        <v>0</v>
      </c>
      <c r="I462" s="30"/>
      <c r="K462" t="s">
        <v>37</v>
      </c>
    </row>
    <row r="463" spans="2:11" ht="13" x14ac:dyDescent="0.15">
      <c r="B463" s="27" t="s">
        <v>704</v>
      </c>
      <c r="C463" s="27" t="s">
        <v>705</v>
      </c>
      <c r="D463" s="30">
        <v>5220</v>
      </c>
      <c r="E463" s="30"/>
      <c r="F463" s="30">
        <v>0</v>
      </c>
      <c r="G463" s="30">
        <v>5220</v>
      </c>
      <c r="H463" s="30">
        <f t="shared" si="7"/>
        <v>0</v>
      </c>
      <c r="I463" s="30"/>
      <c r="K463" t="s">
        <v>37</v>
      </c>
    </row>
    <row r="464" spans="2:11" ht="13" x14ac:dyDescent="0.15">
      <c r="B464" s="29" t="s">
        <v>706</v>
      </c>
      <c r="C464" s="29" t="s">
        <v>545</v>
      </c>
      <c r="D464" s="31">
        <f>SUMIFS(D465:D3130,K465:K3130,"0",B465:B3130,"1 2 4 1 3 12 31111 6 M78 00000 001 001 005*")-SUMIFS(E465:E3130,K465:K3130,"0",B465:B3130,"1 2 4 1 3 12 31111 6 M78 00000 001 001 005*")</f>
        <v>20300</v>
      </c>
      <c r="E464"/>
      <c r="F464" s="31">
        <f>SUMIFS(F465:F3130,K465:K3130,"0",B465:B3130,"1 2 4 1 3 12 31111 6 M78 00000 001 001 005*")</f>
        <v>0</v>
      </c>
      <c r="G464" s="31">
        <f>SUMIFS(G465:G3130,K465:K3130,"0",B465:B3130,"1 2 4 1 3 12 31111 6 M78 00000 001 001 005*")</f>
        <v>20300</v>
      </c>
      <c r="H464" s="31">
        <f t="shared" si="7"/>
        <v>0</v>
      </c>
      <c r="I464" s="31"/>
      <c r="K464" t="s">
        <v>13</v>
      </c>
    </row>
    <row r="465" spans="2:11" ht="13" x14ac:dyDescent="0.15">
      <c r="B465" s="27" t="s">
        <v>707</v>
      </c>
      <c r="C465" s="27" t="s">
        <v>708</v>
      </c>
      <c r="D465" s="30">
        <v>20300</v>
      </c>
      <c r="E465" s="30"/>
      <c r="F465" s="30">
        <v>0</v>
      </c>
      <c r="G465" s="30">
        <v>20300</v>
      </c>
      <c r="H465" s="30">
        <f t="shared" si="7"/>
        <v>0</v>
      </c>
      <c r="I465" s="30"/>
      <c r="K465" t="s">
        <v>37</v>
      </c>
    </row>
    <row r="466" spans="2:11" ht="13" x14ac:dyDescent="0.15">
      <c r="B466" s="29" t="s">
        <v>709</v>
      </c>
      <c r="C466" s="29" t="s">
        <v>666</v>
      </c>
      <c r="D466" s="31">
        <f>SUMIFS(D467:D3130,K467:K3130,"0",B467:B3130,"1 2 4 1 3 12 31111 6 M78 00000 001 001 006*")-SUMIFS(E467:E3130,K467:K3130,"0",B467:B3130,"1 2 4 1 3 12 31111 6 M78 00000 001 001 006*")</f>
        <v>20299</v>
      </c>
      <c r="E466"/>
      <c r="F466" s="31">
        <f>SUMIFS(F467:F3130,K467:K3130,"0",B467:B3130,"1 2 4 1 3 12 31111 6 M78 00000 001 001 006*")</f>
        <v>0</v>
      </c>
      <c r="G466" s="31">
        <f>SUMIFS(G467:G3130,K467:K3130,"0",B467:B3130,"1 2 4 1 3 12 31111 6 M78 00000 001 001 006*")</f>
        <v>20299</v>
      </c>
      <c r="H466" s="31">
        <f t="shared" si="7"/>
        <v>0</v>
      </c>
      <c r="I466" s="31"/>
      <c r="K466" t="s">
        <v>13</v>
      </c>
    </row>
    <row r="467" spans="2:11" ht="13" x14ac:dyDescent="0.15">
      <c r="B467" s="27" t="s">
        <v>710</v>
      </c>
      <c r="C467" s="27" t="s">
        <v>711</v>
      </c>
      <c r="D467" s="30">
        <v>20299</v>
      </c>
      <c r="E467" s="30"/>
      <c r="F467" s="30">
        <v>0</v>
      </c>
      <c r="G467" s="30">
        <v>20299</v>
      </c>
      <c r="H467" s="30">
        <f t="shared" si="7"/>
        <v>0</v>
      </c>
      <c r="I467" s="30"/>
      <c r="K467" t="s">
        <v>37</v>
      </c>
    </row>
    <row r="468" spans="2:11" ht="13" x14ac:dyDescent="0.15">
      <c r="B468" s="29" t="s">
        <v>712</v>
      </c>
      <c r="C468" s="29" t="s">
        <v>713</v>
      </c>
      <c r="D468" s="31">
        <f>SUMIFS(D469:D3130,K469:K3130,"0",B469:B3130,"1 2 4 1 3 12 31111 6 M78 00000 002*")-SUMIFS(E469:E3130,K469:K3130,"0",B469:B3130,"1 2 4 1 3 12 31111 6 M78 00000 002*")</f>
        <v>130110.80000000002</v>
      </c>
      <c r="E468"/>
      <c r="F468" s="31">
        <f>SUMIFS(F469:F3130,K469:K3130,"0",B469:B3130,"1 2 4 1 3 12 31111 6 M78 00000 002*")</f>
        <v>0</v>
      </c>
      <c r="G468" s="31">
        <f>SUMIFS(G469:G3130,K469:K3130,"0",B469:B3130,"1 2 4 1 3 12 31111 6 M78 00000 002*")</f>
        <v>15158</v>
      </c>
      <c r="H468" s="31">
        <f t="shared" si="7"/>
        <v>114952.80000000002</v>
      </c>
      <c r="I468" s="31"/>
      <c r="K468" t="s">
        <v>13</v>
      </c>
    </row>
    <row r="469" spans="2:11" ht="13" x14ac:dyDescent="0.15">
      <c r="B469" s="29" t="s">
        <v>714</v>
      </c>
      <c r="C469" s="29" t="s">
        <v>524</v>
      </c>
      <c r="D469" s="31">
        <f>SUMIFS(D470:D3130,K470:K3130,"0",B470:B3130,"1 2 4 1 3 12 31111 6 M78 00000 002 001*")-SUMIFS(E470:E3130,K470:K3130,"0",B470:B3130,"1 2 4 1 3 12 31111 6 M78 00000 002 001*")</f>
        <v>130110.80000000002</v>
      </c>
      <c r="E469"/>
      <c r="F469" s="31">
        <f>SUMIFS(F470:F3130,K470:K3130,"0",B470:B3130,"1 2 4 1 3 12 31111 6 M78 00000 002 001*")</f>
        <v>0</v>
      </c>
      <c r="G469" s="31">
        <f>SUMIFS(G470:G3130,K470:K3130,"0",B470:B3130,"1 2 4 1 3 12 31111 6 M78 00000 002 001*")</f>
        <v>15158</v>
      </c>
      <c r="H469" s="31">
        <f t="shared" si="7"/>
        <v>114952.80000000002</v>
      </c>
      <c r="I469" s="31"/>
      <c r="K469" t="s">
        <v>13</v>
      </c>
    </row>
    <row r="470" spans="2:11" ht="13" x14ac:dyDescent="0.15">
      <c r="B470" s="27" t="s">
        <v>715</v>
      </c>
      <c r="C470" s="27" t="s">
        <v>716</v>
      </c>
      <c r="D470" s="30">
        <v>12474.35</v>
      </c>
      <c r="E470" s="30"/>
      <c r="F470" s="30">
        <v>0</v>
      </c>
      <c r="G470" s="30">
        <v>0</v>
      </c>
      <c r="H470" s="30">
        <f t="shared" si="7"/>
        <v>12474.35</v>
      </c>
      <c r="I470" s="30"/>
      <c r="K470" t="s">
        <v>37</v>
      </c>
    </row>
    <row r="471" spans="2:11" ht="13" x14ac:dyDescent="0.15">
      <c r="B471" s="27" t="s">
        <v>717</v>
      </c>
      <c r="C471" s="27" t="s">
        <v>716</v>
      </c>
      <c r="D471" s="30">
        <v>12474.35</v>
      </c>
      <c r="E471" s="30"/>
      <c r="F471" s="30">
        <v>0</v>
      </c>
      <c r="G471" s="30">
        <v>0</v>
      </c>
      <c r="H471" s="30">
        <f t="shared" si="7"/>
        <v>12474.35</v>
      </c>
      <c r="I471" s="30"/>
      <c r="K471" t="s">
        <v>37</v>
      </c>
    </row>
    <row r="472" spans="2:11" ht="13" x14ac:dyDescent="0.15">
      <c r="B472" s="27" t="s">
        <v>718</v>
      </c>
      <c r="C472" s="27" t="s">
        <v>716</v>
      </c>
      <c r="D472" s="30">
        <v>12474.35</v>
      </c>
      <c r="E472" s="30"/>
      <c r="F472" s="30">
        <v>0</v>
      </c>
      <c r="G472" s="30">
        <v>0</v>
      </c>
      <c r="H472" s="30">
        <f t="shared" si="7"/>
        <v>12474.35</v>
      </c>
      <c r="I472" s="30"/>
      <c r="K472" t="s">
        <v>37</v>
      </c>
    </row>
    <row r="473" spans="2:11" ht="13" x14ac:dyDescent="0.15">
      <c r="B473" s="27" t="s">
        <v>719</v>
      </c>
      <c r="C473" s="27" t="s">
        <v>716</v>
      </c>
      <c r="D473" s="30">
        <v>12474.35</v>
      </c>
      <c r="E473" s="30"/>
      <c r="F473" s="30">
        <v>0</v>
      </c>
      <c r="G473" s="30">
        <v>0</v>
      </c>
      <c r="H473" s="30">
        <f t="shared" si="7"/>
        <v>12474.35</v>
      </c>
      <c r="I473" s="30"/>
      <c r="K473" t="s">
        <v>37</v>
      </c>
    </row>
    <row r="474" spans="2:11" ht="13" x14ac:dyDescent="0.15">
      <c r="B474" s="27" t="s">
        <v>720</v>
      </c>
      <c r="C474" s="27" t="s">
        <v>716</v>
      </c>
      <c r="D474" s="30">
        <v>12474.35</v>
      </c>
      <c r="E474" s="30"/>
      <c r="F474" s="30">
        <v>0</v>
      </c>
      <c r="G474" s="30">
        <v>0</v>
      </c>
      <c r="H474" s="30">
        <f t="shared" si="7"/>
        <v>12474.35</v>
      </c>
      <c r="I474" s="30"/>
      <c r="K474" t="s">
        <v>37</v>
      </c>
    </row>
    <row r="475" spans="2:11" ht="13" x14ac:dyDescent="0.15">
      <c r="B475" s="27" t="s">
        <v>721</v>
      </c>
      <c r="C475" s="27" t="s">
        <v>716</v>
      </c>
      <c r="D475" s="30">
        <v>12474.35</v>
      </c>
      <c r="E475" s="30"/>
      <c r="F475" s="30">
        <v>0</v>
      </c>
      <c r="G475" s="30">
        <v>0</v>
      </c>
      <c r="H475" s="30">
        <f t="shared" si="7"/>
        <v>12474.35</v>
      </c>
      <c r="I475" s="30"/>
      <c r="K475" t="s">
        <v>37</v>
      </c>
    </row>
    <row r="476" spans="2:11" ht="13" x14ac:dyDescent="0.15">
      <c r="B476" s="27" t="s">
        <v>722</v>
      </c>
      <c r="C476" s="27" t="s">
        <v>716</v>
      </c>
      <c r="D476" s="30">
        <v>12474.35</v>
      </c>
      <c r="E476" s="30"/>
      <c r="F476" s="30">
        <v>0</v>
      </c>
      <c r="G476" s="30">
        <v>0</v>
      </c>
      <c r="H476" s="30">
        <f t="shared" si="7"/>
        <v>12474.35</v>
      </c>
      <c r="I476" s="30"/>
      <c r="K476" t="s">
        <v>37</v>
      </c>
    </row>
    <row r="477" spans="2:11" ht="13" x14ac:dyDescent="0.15">
      <c r="B477" s="27" t="s">
        <v>723</v>
      </c>
      <c r="C477" s="27" t="s">
        <v>716</v>
      </c>
      <c r="D477" s="30">
        <v>12474.35</v>
      </c>
      <c r="E477" s="30"/>
      <c r="F477" s="30">
        <v>0</v>
      </c>
      <c r="G477" s="30">
        <v>0</v>
      </c>
      <c r="H477" s="30">
        <f t="shared" si="7"/>
        <v>12474.35</v>
      </c>
      <c r="I477" s="30"/>
      <c r="K477" t="s">
        <v>37</v>
      </c>
    </row>
    <row r="478" spans="2:11" ht="13" x14ac:dyDescent="0.15">
      <c r="B478" s="27" t="s">
        <v>724</v>
      </c>
      <c r="C478" s="27" t="s">
        <v>725</v>
      </c>
      <c r="D478" s="30">
        <v>3789.5</v>
      </c>
      <c r="E478" s="30"/>
      <c r="F478" s="30">
        <v>0</v>
      </c>
      <c r="G478" s="30">
        <v>0</v>
      </c>
      <c r="H478" s="30">
        <f t="shared" si="7"/>
        <v>3789.5</v>
      </c>
      <c r="I478" s="30"/>
      <c r="K478" t="s">
        <v>37</v>
      </c>
    </row>
    <row r="479" spans="2:11" ht="13" x14ac:dyDescent="0.15">
      <c r="B479" s="27" t="s">
        <v>726</v>
      </c>
      <c r="C479" s="27" t="s">
        <v>725</v>
      </c>
      <c r="D479" s="30">
        <v>3789.5</v>
      </c>
      <c r="E479" s="30"/>
      <c r="F479" s="30">
        <v>0</v>
      </c>
      <c r="G479" s="30">
        <v>0</v>
      </c>
      <c r="H479" s="30">
        <f t="shared" si="7"/>
        <v>3789.5</v>
      </c>
      <c r="I479" s="30"/>
      <c r="K479" t="s">
        <v>37</v>
      </c>
    </row>
    <row r="480" spans="2:11" ht="13" x14ac:dyDescent="0.15">
      <c r="B480" s="27" t="s">
        <v>727</v>
      </c>
      <c r="C480" s="27" t="s">
        <v>725</v>
      </c>
      <c r="D480" s="30">
        <v>3789.5</v>
      </c>
      <c r="E480" s="30"/>
      <c r="F480" s="30">
        <v>0</v>
      </c>
      <c r="G480" s="30">
        <v>0</v>
      </c>
      <c r="H480" s="30">
        <f t="shared" si="7"/>
        <v>3789.5</v>
      </c>
      <c r="I480" s="30"/>
      <c r="K480" t="s">
        <v>37</v>
      </c>
    </row>
    <row r="481" spans="2:11" ht="13" x14ac:dyDescent="0.15">
      <c r="B481" s="27" t="s">
        <v>728</v>
      </c>
      <c r="C481" s="27" t="s">
        <v>725</v>
      </c>
      <c r="D481" s="30">
        <v>3789.5</v>
      </c>
      <c r="E481" s="30"/>
      <c r="F481" s="30">
        <v>0</v>
      </c>
      <c r="G481" s="30">
        <v>0</v>
      </c>
      <c r="H481" s="30">
        <f t="shared" si="7"/>
        <v>3789.5</v>
      </c>
      <c r="I481" s="30"/>
      <c r="K481" t="s">
        <v>37</v>
      </c>
    </row>
    <row r="482" spans="2:11" ht="13" x14ac:dyDescent="0.15">
      <c r="B482" s="27" t="s">
        <v>729</v>
      </c>
      <c r="C482" s="27" t="s">
        <v>725</v>
      </c>
      <c r="D482" s="30">
        <v>3789.5</v>
      </c>
      <c r="E482" s="30"/>
      <c r="F482" s="30">
        <v>0</v>
      </c>
      <c r="G482" s="30">
        <v>3789.5</v>
      </c>
      <c r="H482" s="30">
        <f t="shared" si="7"/>
        <v>0</v>
      </c>
      <c r="I482" s="30"/>
      <c r="K482" t="s">
        <v>37</v>
      </c>
    </row>
    <row r="483" spans="2:11" ht="13" x14ac:dyDescent="0.15">
      <c r="B483" s="27" t="s">
        <v>730</v>
      </c>
      <c r="C483" s="27" t="s">
        <v>725</v>
      </c>
      <c r="D483" s="30">
        <v>3789.5</v>
      </c>
      <c r="E483" s="30"/>
      <c r="F483" s="30">
        <v>0</v>
      </c>
      <c r="G483" s="30">
        <v>3789.5</v>
      </c>
      <c r="H483" s="30">
        <f t="shared" si="7"/>
        <v>0</v>
      </c>
      <c r="I483" s="30"/>
      <c r="K483" t="s">
        <v>37</v>
      </c>
    </row>
    <row r="484" spans="2:11" ht="13" x14ac:dyDescent="0.15">
      <c r="B484" s="27" t="s">
        <v>731</v>
      </c>
      <c r="C484" s="27" t="s">
        <v>725</v>
      </c>
      <c r="D484" s="30">
        <v>3789.5</v>
      </c>
      <c r="E484" s="30"/>
      <c r="F484" s="30">
        <v>0</v>
      </c>
      <c r="G484" s="30">
        <v>3789.5</v>
      </c>
      <c r="H484" s="30">
        <f t="shared" si="7"/>
        <v>0</v>
      </c>
      <c r="I484" s="30"/>
      <c r="K484" t="s">
        <v>37</v>
      </c>
    </row>
    <row r="485" spans="2:11" ht="13" x14ac:dyDescent="0.15">
      <c r="B485" s="27" t="s">
        <v>732</v>
      </c>
      <c r="C485" s="27" t="s">
        <v>725</v>
      </c>
      <c r="D485" s="30">
        <v>3789.5</v>
      </c>
      <c r="E485" s="30"/>
      <c r="F485" s="30">
        <v>0</v>
      </c>
      <c r="G485" s="30">
        <v>3789.5</v>
      </c>
      <c r="H485" s="30">
        <f t="shared" si="7"/>
        <v>0</v>
      </c>
      <c r="I485" s="30"/>
      <c r="K485" t="s">
        <v>37</v>
      </c>
    </row>
    <row r="486" spans="2:11" ht="13" x14ac:dyDescent="0.15">
      <c r="B486" s="29" t="s">
        <v>733</v>
      </c>
      <c r="C486" s="29" t="s">
        <v>219</v>
      </c>
      <c r="D486" s="31">
        <f>SUMIFS(D487:D3130,K487:K3130,"0",B487:B3130,"1 2 4 1 3 12 31111 6 M78 00000 003*")-SUMIFS(E487:E3130,K487:K3130,"0",B487:B3130,"1 2 4 1 3 12 31111 6 M78 00000 003*")</f>
        <v>74441.790000000008</v>
      </c>
      <c r="E486"/>
      <c r="F486" s="31">
        <f>SUMIFS(F487:F3130,K487:K3130,"0",B487:B3130,"1 2 4 1 3 12 31111 6 M78 00000 003*")</f>
        <v>0</v>
      </c>
      <c r="G486" s="31">
        <f>SUMIFS(G487:G3130,K487:K3130,"0",B487:B3130,"1 2 4 1 3 12 31111 6 M78 00000 003*")</f>
        <v>74441.790000000008</v>
      </c>
      <c r="H486" s="31">
        <f t="shared" si="7"/>
        <v>0</v>
      </c>
      <c r="I486" s="31"/>
      <c r="K486" t="s">
        <v>13</v>
      </c>
    </row>
    <row r="487" spans="2:11" ht="13" x14ac:dyDescent="0.15">
      <c r="B487" s="29" t="s">
        <v>734</v>
      </c>
      <c r="C487" s="29" t="s">
        <v>735</v>
      </c>
      <c r="D487" s="31">
        <f>SUMIFS(D488:D3130,K488:K3130,"0",B488:B3130,"1 2 4 1 3 12 31111 6 M78 00000 003 001*")-SUMIFS(E488:E3130,K488:K3130,"0",B488:B3130,"1 2 4 1 3 12 31111 6 M78 00000 003 001*")</f>
        <v>74441.790000000008</v>
      </c>
      <c r="E487"/>
      <c r="F487" s="31">
        <f>SUMIFS(F488:F3130,K488:K3130,"0",B488:B3130,"1 2 4 1 3 12 31111 6 M78 00000 003 001*")</f>
        <v>0</v>
      </c>
      <c r="G487" s="31">
        <f>SUMIFS(G488:G3130,K488:K3130,"0",B488:B3130,"1 2 4 1 3 12 31111 6 M78 00000 003 001*")</f>
        <v>74441.790000000008</v>
      </c>
      <c r="H487" s="31">
        <f t="shared" si="7"/>
        <v>0</v>
      </c>
      <c r="I487" s="31"/>
      <c r="K487" t="s">
        <v>13</v>
      </c>
    </row>
    <row r="488" spans="2:11" ht="13" x14ac:dyDescent="0.15">
      <c r="B488" s="29" t="s">
        <v>736</v>
      </c>
      <c r="C488" s="29" t="s">
        <v>581</v>
      </c>
      <c r="D488" s="31">
        <f>SUMIFS(D489:D3130,K489:K3130,"0",B489:B3130,"1 2 4 1 3 12 31111 6 M78 00000 003 001 001*")-SUMIFS(E489:E3130,K489:K3130,"0",B489:B3130,"1 2 4 1 3 12 31111 6 M78 00000 003 001 001*")</f>
        <v>74441.790000000008</v>
      </c>
      <c r="E488"/>
      <c r="F488" s="31">
        <f>SUMIFS(F489:F3130,K489:K3130,"0",B489:B3130,"1 2 4 1 3 12 31111 6 M78 00000 003 001 001*")</f>
        <v>0</v>
      </c>
      <c r="G488" s="31">
        <f>SUMIFS(G489:G3130,K489:K3130,"0",B489:B3130,"1 2 4 1 3 12 31111 6 M78 00000 003 001 001*")</f>
        <v>74441.790000000008</v>
      </c>
      <c r="H488" s="31">
        <f t="shared" si="7"/>
        <v>0</v>
      </c>
      <c r="I488" s="31"/>
      <c r="K488" t="s">
        <v>13</v>
      </c>
    </row>
    <row r="489" spans="2:11" ht="13" x14ac:dyDescent="0.15">
      <c r="B489" s="27" t="s">
        <v>737</v>
      </c>
      <c r="C489" s="27" t="s">
        <v>738</v>
      </c>
      <c r="D489" s="30">
        <v>45259.02</v>
      </c>
      <c r="E489" s="30"/>
      <c r="F489" s="30">
        <v>0</v>
      </c>
      <c r="G489" s="30">
        <v>45259.02</v>
      </c>
      <c r="H489" s="30">
        <f t="shared" si="7"/>
        <v>0</v>
      </c>
      <c r="I489" s="30"/>
      <c r="K489" t="s">
        <v>37</v>
      </c>
    </row>
    <row r="490" spans="2:11" ht="13" x14ac:dyDescent="0.15">
      <c r="B490" s="27" t="s">
        <v>739</v>
      </c>
      <c r="C490" s="27" t="s">
        <v>740</v>
      </c>
      <c r="D490" s="30">
        <v>4278.9399999999996</v>
      </c>
      <c r="E490" s="30"/>
      <c r="F490" s="30">
        <v>0</v>
      </c>
      <c r="G490" s="30">
        <v>4278.9399999999996</v>
      </c>
      <c r="H490" s="30">
        <f t="shared" si="7"/>
        <v>0</v>
      </c>
      <c r="I490" s="30"/>
      <c r="K490" t="s">
        <v>37</v>
      </c>
    </row>
    <row r="491" spans="2:11" ht="13" x14ac:dyDescent="0.15">
      <c r="B491" s="27" t="s">
        <v>741</v>
      </c>
      <c r="C491" s="27" t="s">
        <v>740</v>
      </c>
      <c r="D491" s="30">
        <v>4473.3900000000003</v>
      </c>
      <c r="E491" s="30"/>
      <c r="F491" s="30">
        <v>0</v>
      </c>
      <c r="G491" s="30">
        <v>4473.3900000000003</v>
      </c>
      <c r="H491" s="30">
        <f t="shared" si="7"/>
        <v>0</v>
      </c>
      <c r="I491" s="30"/>
      <c r="K491" t="s">
        <v>37</v>
      </c>
    </row>
    <row r="492" spans="2:11" ht="13" x14ac:dyDescent="0.15">
      <c r="B492" s="27" t="s">
        <v>742</v>
      </c>
      <c r="C492" s="27" t="s">
        <v>743</v>
      </c>
      <c r="D492" s="30">
        <v>5751.5</v>
      </c>
      <c r="E492" s="30"/>
      <c r="F492" s="30">
        <v>0</v>
      </c>
      <c r="G492" s="30">
        <v>5751.5</v>
      </c>
      <c r="H492" s="30">
        <f t="shared" si="7"/>
        <v>0</v>
      </c>
      <c r="I492" s="30"/>
      <c r="K492" t="s">
        <v>37</v>
      </c>
    </row>
    <row r="493" spans="2:11" ht="13" x14ac:dyDescent="0.15">
      <c r="B493" s="27" t="s">
        <v>744</v>
      </c>
      <c r="C493" s="27" t="s">
        <v>745</v>
      </c>
      <c r="D493" s="30">
        <v>4278.9399999999996</v>
      </c>
      <c r="E493" s="30"/>
      <c r="F493" s="30">
        <v>0</v>
      </c>
      <c r="G493" s="30">
        <v>4278.9399999999996</v>
      </c>
      <c r="H493" s="30">
        <f t="shared" si="7"/>
        <v>0</v>
      </c>
      <c r="I493" s="30"/>
      <c r="K493" t="s">
        <v>37</v>
      </c>
    </row>
    <row r="494" spans="2:11" ht="13" x14ac:dyDescent="0.15">
      <c r="B494" s="27" t="s">
        <v>746</v>
      </c>
      <c r="C494" s="27" t="s">
        <v>747</v>
      </c>
      <c r="D494" s="30">
        <v>6800</v>
      </c>
      <c r="E494" s="30"/>
      <c r="F494" s="30">
        <v>0</v>
      </c>
      <c r="G494" s="30">
        <v>6800</v>
      </c>
      <c r="H494" s="30">
        <f t="shared" si="7"/>
        <v>0</v>
      </c>
      <c r="I494" s="30"/>
      <c r="K494" t="s">
        <v>37</v>
      </c>
    </row>
    <row r="495" spans="2:11" ht="13" x14ac:dyDescent="0.15">
      <c r="B495" s="27" t="s">
        <v>748</v>
      </c>
      <c r="C495" s="27" t="s">
        <v>749</v>
      </c>
      <c r="D495" s="30">
        <v>3600</v>
      </c>
      <c r="E495" s="30"/>
      <c r="F495" s="30">
        <v>0</v>
      </c>
      <c r="G495" s="30">
        <v>3600</v>
      </c>
      <c r="H495" s="30">
        <f t="shared" si="7"/>
        <v>0</v>
      </c>
      <c r="I495" s="30"/>
      <c r="K495" t="s">
        <v>37</v>
      </c>
    </row>
    <row r="496" spans="2:11" ht="13" x14ac:dyDescent="0.15">
      <c r="B496" s="29" t="s">
        <v>750</v>
      </c>
      <c r="C496" s="29" t="s">
        <v>8</v>
      </c>
      <c r="D496" s="31">
        <f>SUMIFS(D497:D3130,K497:K3130,"0",B497:B3130,"1 2 4 1 3 12 31111 6 M78 07000*")-SUMIFS(E497:E3130,K497:K3130,"0",B497:B3130,"1 2 4 1 3 12 31111 6 M78 07000*")</f>
        <v>91574</v>
      </c>
      <c r="E496"/>
      <c r="F496" s="31">
        <f>SUMIFS(F497:F3130,K497:K3130,"0",B497:B3130,"1 2 4 1 3 12 31111 6 M78 07000*")</f>
        <v>222186</v>
      </c>
      <c r="G496" s="31">
        <f>SUMIFS(G497:G3130,K497:K3130,"0",B497:B3130,"1 2 4 1 3 12 31111 6 M78 07000*")</f>
        <v>19691</v>
      </c>
      <c r="H496" s="31">
        <f t="shared" si="7"/>
        <v>294069</v>
      </c>
      <c r="I496" s="31"/>
      <c r="K496" t="s">
        <v>13</v>
      </c>
    </row>
    <row r="497" spans="2:11" ht="13" x14ac:dyDescent="0.15">
      <c r="B497" s="29" t="s">
        <v>751</v>
      </c>
      <c r="C497" s="29" t="s">
        <v>588</v>
      </c>
      <c r="D497" s="31">
        <f>SUMIFS(D498:D3130,K498:K3130,"0",B498:B3130,"1 2 4 1 3 12 31111 6 M78 07000 151*")-SUMIFS(E498:E3130,K498:K3130,"0",B498:B3130,"1 2 4 1 3 12 31111 6 M78 07000 151*")</f>
        <v>91574</v>
      </c>
      <c r="E497"/>
      <c r="F497" s="31">
        <f>SUMIFS(F498:F3130,K498:K3130,"0",B498:B3130,"1 2 4 1 3 12 31111 6 M78 07000 151*")</f>
        <v>222186</v>
      </c>
      <c r="G497" s="31">
        <f>SUMIFS(G498:G3130,K498:K3130,"0",B498:B3130,"1 2 4 1 3 12 31111 6 M78 07000 151*")</f>
        <v>19691</v>
      </c>
      <c r="H497" s="31">
        <f t="shared" si="7"/>
        <v>294069</v>
      </c>
      <c r="I497" s="31"/>
      <c r="K497" t="s">
        <v>13</v>
      </c>
    </row>
    <row r="498" spans="2:11" ht="13" x14ac:dyDescent="0.15">
      <c r="B498" s="29" t="s">
        <v>752</v>
      </c>
      <c r="C498" s="29" t="s">
        <v>265</v>
      </c>
      <c r="D498" s="31">
        <f>SUMIFS(D499:D3130,K499:K3130,"0",B499:B3130,"1 2 4 1 3 12 31111 6 M78 07000 151 00C*")-SUMIFS(E499:E3130,K499:K3130,"0",B499:B3130,"1 2 4 1 3 12 31111 6 M78 07000 151 00C*")</f>
        <v>29375</v>
      </c>
      <c r="E498"/>
      <c r="F498" s="31">
        <f>SUMIFS(F499:F3130,K499:K3130,"0",B499:B3130,"1 2 4 1 3 12 31111 6 M78 07000 151 00C*")</f>
        <v>222186</v>
      </c>
      <c r="G498" s="31">
        <f>SUMIFS(G499:G3130,K499:K3130,"0",B499:B3130,"1 2 4 1 3 12 31111 6 M78 07000 151 00C*")</f>
        <v>19691</v>
      </c>
      <c r="H498" s="31">
        <f t="shared" si="7"/>
        <v>231870</v>
      </c>
      <c r="I498" s="31"/>
      <c r="K498" t="s">
        <v>13</v>
      </c>
    </row>
    <row r="499" spans="2:11" ht="13" x14ac:dyDescent="0.15">
      <c r="B499" s="29" t="s">
        <v>753</v>
      </c>
      <c r="C499" s="29" t="s">
        <v>267</v>
      </c>
      <c r="D499" s="31">
        <f>SUMIFS(D500:D3130,K500:K3130,"0",B500:B3130,"1 2 4 1 3 12 31111 6 M78 07000 151 00C 002*")-SUMIFS(E500:E3130,K500:K3130,"0",B500:B3130,"1 2 4 1 3 12 31111 6 M78 07000 151 00C 002*")</f>
        <v>29375</v>
      </c>
      <c r="E499"/>
      <c r="F499" s="31">
        <f>SUMIFS(F500:F3130,K500:K3130,"0",B500:B3130,"1 2 4 1 3 12 31111 6 M78 07000 151 00C 002*")</f>
        <v>222186</v>
      </c>
      <c r="G499" s="31">
        <f>SUMIFS(G500:G3130,K500:K3130,"0",B500:B3130,"1 2 4 1 3 12 31111 6 M78 07000 151 00C 002*")</f>
        <v>19691</v>
      </c>
      <c r="H499" s="31">
        <f t="shared" si="7"/>
        <v>231870</v>
      </c>
      <c r="I499" s="31"/>
      <c r="K499" t="s">
        <v>13</v>
      </c>
    </row>
    <row r="500" spans="2:11" ht="13" x14ac:dyDescent="0.15">
      <c r="B500" s="29" t="s">
        <v>754</v>
      </c>
      <c r="C500" s="29" t="s">
        <v>755</v>
      </c>
      <c r="D500" s="31">
        <f>SUMIFS(D501:D3130,K501:K3130,"0",B501:B3130,"1 2 4 1 3 12 31111 6 M78 07000 151 00C 002 51501*")-SUMIFS(E501:E3130,K501:K3130,"0",B501:B3130,"1 2 4 1 3 12 31111 6 M78 07000 151 00C 002 51501*")</f>
        <v>29375</v>
      </c>
      <c r="E500"/>
      <c r="F500" s="31">
        <f>SUMIFS(F501:F3130,K501:K3130,"0",B501:B3130,"1 2 4 1 3 12 31111 6 M78 07000 151 00C 002 51501*")</f>
        <v>222186</v>
      </c>
      <c r="G500" s="31">
        <f>SUMIFS(G501:G3130,K501:K3130,"0",B501:B3130,"1 2 4 1 3 12 31111 6 M78 07000 151 00C 002 51501*")</f>
        <v>19691</v>
      </c>
      <c r="H500" s="31">
        <f t="shared" si="7"/>
        <v>231870</v>
      </c>
      <c r="I500" s="31"/>
      <c r="K500" t="s">
        <v>13</v>
      </c>
    </row>
    <row r="501" spans="2:11" ht="22" x14ac:dyDescent="0.15">
      <c r="B501" s="29" t="s">
        <v>756</v>
      </c>
      <c r="C501" s="29" t="s">
        <v>271</v>
      </c>
      <c r="D501" s="31">
        <f>SUMIFS(D502:D3130,K502:K3130,"0",B502:B3130,"1 2 4 1 3 12 31111 6 M78 07000 151 00C 002 51501 015*")-SUMIFS(E502:E3130,K502:K3130,"0",B502:B3130,"1 2 4 1 3 12 31111 6 M78 07000 151 00C 002 51501 015*")</f>
        <v>29375</v>
      </c>
      <c r="E501"/>
      <c r="F501" s="31">
        <f>SUMIFS(F502:F3130,K502:K3130,"0",B502:B3130,"1 2 4 1 3 12 31111 6 M78 07000 151 00C 002 51501 015*")</f>
        <v>222186</v>
      </c>
      <c r="G501" s="31">
        <f>SUMIFS(G502:G3130,K502:K3130,"0",B502:B3130,"1 2 4 1 3 12 31111 6 M78 07000 151 00C 002 51501 015*")</f>
        <v>19691</v>
      </c>
      <c r="H501" s="31">
        <f t="shared" si="7"/>
        <v>231870</v>
      </c>
      <c r="I501" s="31"/>
      <c r="K501" t="s">
        <v>13</v>
      </c>
    </row>
    <row r="502" spans="2:11" ht="22" x14ac:dyDescent="0.15">
      <c r="B502" s="29" t="s">
        <v>757</v>
      </c>
      <c r="C502" s="29" t="s">
        <v>595</v>
      </c>
      <c r="D502" s="31">
        <f>SUMIFS(D503:D3130,K503:K3130,"0",B503:B3130,"1 2 4 1 3 12 31111 6 M78 07000 151 00C 002 51501 015 2112000*")-SUMIFS(E503:E3130,K503:K3130,"0",B503:B3130,"1 2 4 1 3 12 31111 6 M78 07000 151 00C 002 51501 015 2112000*")</f>
        <v>29375</v>
      </c>
      <c r="E502"/>
      <c r="F502" s="31">
        <f>SUMIFS(F503:F3130,K503:K3130,"0",B503:B3130,"1 2 4 1 3 12 31111 6 M78 07000 151 00C 002 51501 015 2112000*")</f>
        <v>222186</v>
      </c>
      <c r="G502" s="31">
        <f>SUMIFS(G503:G3130,K503:K3130,"0",B503:B3130,"1 2 4 1 3 12 31111 6 M78 07000 151 00C 002 51501 015 2112000*")</f>
        <v>19691</v>
      </c>
      <c r="H502" s="31">
        <f t="shared" si="7"/>
        <v>231870</v>
      </c>
      <c r="I502" s="31"/>
      <c r="K502" t="s">
        <v>13</v>
      </c>
    </row>
    <row r="503" spans="2:11" ht="22" x14ac:dyDescent="0.15">
      <c r="B503" s="29" t="s">
        <v>758</v>
      </c>
      <c r="C503" s="29" t="s">
        <v>597</v>
      </c>
      <c r="D503" s="31">
        <f>SUMIFS(D504:D3130,K504:K3130,"0",B504:B3130,"1 2 4 1 3 12 31111 6 M78 07000 151 00C 002 51501 015 2112000 2019*")-SUMIFS(E504:E3130,K504:K3130,"0",B504:B3130,"1 2 4 1 3 12 31111 6 M78 07000 151 00C 002 51501 015 2112000 2019*")</f>
        <v>19051</v>
      </c>
      <c r="E503"/>
      <c r="F503" s="31">
        <f>SUMIFS(F504:F3130,K504:K3130,"0",B504:B3130,"1 2 4 1 3 12 31111 6 M78 07000 151 00C 002 51501 015 2112000 2019*")</f>
        <v>0</v>
      </c>
      <c r="G503" s="31">
        <f>SUMIFS(G504:G3130,K504:K3130,"0",B504:B3130,"1 2 4 1 3 12 31111 6 M78 07000 151 00C 002 51501 015 2112000 2019*")</f>
        <v>14152</v>
      </c>
      <c r="H503" s="31">
        <f t="shared" si="7"/>
        <v>4899</v>
      </c>
      <c r="I503" s="31"/>
      <c r="K503" t="s">
        <v>13</v>
      </c>
    </row>
    <row r="504" spans="2:11" ht="22" x14ac:dyDescent="0.15">
      <c r="B504" s="29" t="s">
        <v>759</v>
      </c>
      <c r="C504" s="29" t="s">
        <v>277</v>
      </c>
      <c r="D504" s="31">
        <f>SUMIFS(D505:D3130,K505:K3130,"0",B505:B3130,"1 2 4 1 3 12 31111 6 M78 07000 151 00C 002 51501 015 2112000 2019 00000000*")-SUMIFS(E505:E3130,K505:K3130,"0",B505:B3130,"1 2 4 1 3 12 31111 6 M78 07000 151 00C 002 51501 015 2112000 2019 00000000*")</f>
        <v>19051</v>
      </c>
      <c r="E504"/>
      <c r="F504" s="31">
        <f>SUMIFS(F505:F3130,K505:K3130,"0",B505:B3130,"1 2 4 1 3 12 31111 6 M78 07000 151 00C 002 51501 015 2112000 2019 00000000*")</f>
        <v>0</v>
      </c>
      <c r="G504" s="31">
        <f>SUMIFS(G505:G3130,K505:K3130,"0",B505:B3130,"1 2 4 1 3 12 31111 6 M78 07000 151 00C 002 51501 015 2112000 2019 00000000*")</f>
        <v>14152</v>
      </c>
      <c r="H504" s="31">
        <f t="shared" si="7"/>
        <v>4899</v>
      </c>
      <c r="I504" s="31"/>
      <c r="K504" t="s">
        <v>13</v>
      </c>
    </row>
    <row r="505" spans="2:11" ht="22" x14ac:dyDescent="0.15">
      <c r="B505" s="29" t="s">
        <v>760</v>
      </c>
      <c r="C505" s="29" t="s">
        <v>32</v>
      </c>
      <c r="D505" s="31">
        <f>SUMIFS(D506:D3130,K506:K3130,"0",B506:B3130,"1 2 4 1 3 12 31111 6 M78 07000 151 00C 002 51501 015 2112000 2019 00000000 001*")-SUMIFS(E506:E3130,K506:K3130,"0",B506:B3130,"1 2 4 1 3 12 31111 6 M78 07000 151 00C 002 51501 015 2112000 2019 00000000 001*")</f>
        <v>19051</v>
      </c>
      <c r="E505"/>
      <c r="F505" s="31">
        <f>SUMIFS(F506:F3130,K506:K3130,"0",B506:B3130,"1 2 4 1 3 12 31111 6 M78 07000 151 00C 002 51501 015 2112000 2019 00000000 001*")</f>
        <v>0</v>
      </c>
      <c r="G505" s="31">
        <f>SUMIFS(G506:G3130,K506:K3130,"0",B506:B3130,"1 2 4 1 3 12 31111 6 M78 07000 151 00C 002 51501 015 2112000 2019 00000000 001*")</f>
        <v>14152</v>
      </c>
      <c r="H505" s="31">
        <f t="shared" si="7"/>
        <v>4899</v>
      </c>
      <c r="I505" s="31"/>
      <c r="K505" t="s">
        <v>13</v>
      </c>
    </row>
    <row r="506" spans="2:11" ht="22" x14ac:dyDescent="0.15">
      <c r="B506" s="29" t="s">
        <v>761</v>
      </c>
      <c r="C506" s="29" t="s">
        <v>8</v>
      </c>
      <c r="D506" s="31">
        <f>SUMIFS(D507:D3130,K507:K3130,"0",B507:B3130,"1 2 4 1 3 12 31111 6 M78 07000 151 00C 002 51501 015 2112000 2019 00000000 001 007*")-SUMIFS(E507:E3130,K507:K3130,"0",B507:B3130,"1 2 4 1 3 12 31111 6 M78 07000 151 00C 002 51501 015 2112000 2019 00000000 001 007*")</f>
        <v>4899</v>
      </c>
      <c r="E506"/>
      <c r="F506" s="31">
        <f>SUMIFS(F507:F3130,K507:K3130,"0",B507:B3130,"1 2 4 1 3 12 31111 6 M78 07000 151 00C 002 51501 015 2112000 2019 00000000 001 007*")</f>
        <v>0</v>
      </c>
      <c r="G506" s="31">
        <f>SUMIFS(G507:G3130,K507:K3130,"0",B507:B3130,"1 2 4 1 3 12 31111 6 M78 07000 151 00C 002 51501 015 2112000 2019 00000000 001 007*")</f>
        <v>0</v>
      </c>
      <c r="H506" s="31">
        <f t="shared" si="7"/>
        <v>4899</v>
      </c>
      <c r="I506" s="31"/>
      <c r="K506" t="s">
        <v>13</v>
      </c>
    </row>
    <row r="507" spans="2:11" ht="22" x14ac:dyDescent="0.15">
      <c r="B507" s="27" t="s">
        <v>762</v>
      </c>
      <c r="C507" s="27" t="s">
        <v>763</v>
      </c>
      <c r="D507" s="30">
        <v>4899</v>
      </c>
      <c r="E507" s="30"/>
      <c r="F507" s="30">
        <v>0</v>
      </c>
      <c r="G507" s="30">
        <v>0</v>
      </c>
      <c r="H507" s="30">
        <f t="shared" si="7"/>
        <v>4899</v>
      </c>
      <c r="I507" s="30"/>
      <c r="K507" t="s">
        <v>37</v>
      </c>
    </row>
    <row r="508" spans="2:11" ht="22" x14ac:dyDescent="0.15">
      <c r="B508" s="29" t="s">
        <v>764</v>
      </c>
      <c r="C508" s="29" t="s">
        <v>765</v>
      </c>
      <c r="D508" s="31">
        <f>SUMIFS(D509:D3130,K509:K3130,"0",B509:B3130,"1 2 4 1 3 12 31111 6 M78 07000 151 00C 002 51501 015 2112000 2019 00000000 001 019*")-SUMIFS(E509:E3130,K509:K3130,"0",B509:B3130,"1 2 4 1 3 12 31111 6 M78 07000 151 00C 002 51501 015 2112000 2019 00000000 001 019*")</f>
        <v>14152</v>
      </c>
      <c r="E508"/>
      <c r="F508" s="31">
        <f>SUMIFS(F509:F3130,K509:K3130,"0",B509:B3130,"1 2 4 1 3 12 31111 6 M78 07000 151 00C 002 51501 015 2112000 2019 00000000 001 019*")</f>
        <v>0</v>
      </c>
      <c r="G508" s="31">
        <f>SUMIFS(G509:G3130,K509:K3130,"0",B509:B3130,"1 2 4 1 3 12 31111 6 M78 07000 151 00C 002 51501 015 2112000 2019 00000000 001 019*")</f>
        <v>14152</v>
      </c>
      <c r="H508" s="31">
        <f t="shared" si="7"/>
        <v>0</v>
      </c>
      <c r="I508" s="31"/>
      <c r="K508" t="s">
        <v>13</v>
      </c>
    </row>
    <row r="509" spans="2:11" ht="22" x14ac:dyDescent="0.15">
      <c r="B509" s="27" t="s">
        <v>766</v>
      </c>
      <c r="C509" s="27" t="s">
        <v>767</v>
      </c>
      <c r="D509" s="30">
        <v>14152</v>
      </c>
      <c r="E509" s="30"/>
      <c r="F509" s="30">
        <v>0</v>
      </c>
      <c r="G509" s="30">
        <v>14152</v>
      </c>
      <c r="H509" s="30">
        <f t="shared" si="7"/>
        <v>0</v>
      </c>
      <c r="I509" s="30"/>
      <c r="K509" t="s">
        <v>37</v>
      </c>
    </row>
    <row r="510" spans="2:11" ht="22" x14ac:dyDescent="0.15">
      <c r="B510" s="29" t="s">
        <v>768</v>
      </c>
      <c r="C510" s="29" t="s">
        <v>769</v>
      </c>
      <c r="D510" s="31">
        <f>SUMIFS(D511:D3130,K511:K3130,"0",B511:B3130,"1 2 4 1 3 12 31111 6 M78 07000 151 00C 002 51501 015 2112000 2023*")-SUMIFS(E511:E3130,K511:K3130,"0",B511:B3130,"1 2 4 1 3 12 31111 6 M78 07000 151 00C 002 51501 015 2112000 2023*")</f>
        <v>10324</v>
      </c>
      <c r="E510"/>
      <c r="F510" s="31">
        <f>SUMIFS(F511:F3130,K511:K3130,"0",B511:B3130,"1 2 4 1 3 12 31111 6 M78 07000 151 00C 002 51501 015 2112000 2023*")</f>
        <v>0</v>
      </c>
      <c r="G510" s="31">
        <f>SUMIFS(G511:G3130,K511:K3130,"0",B511:B3130,"1 2 4 1 3 12 31111 6 M78 07000 151 00C 002 51501 015 2112000 2023*")</f>
        <v>0</v>
      </c>
      <c r="H510" s="31">
        <f t="shared" si="7"/>
        <v>10324</v>
      </c>
      <c r="I510" s="31"/>
      <c r="K510" t="s">
        <v>13</v>
      </c>
    </row>
    <row r="511" spans="2:11" ht="22" x14ac:dyDescent="0.15">
      <c r="B511" s="29" t="s">
        <v>770</v>
      </c>
      <c r="C511" s="29" t="s">
        <v>277</v>
      </c>
      <c r="D511" s="31">
        <f>SUMIFS(D512:D3130,K512:K3130,"0",B512:B3130,"1 2 4 1 3 12 31111 6 M78 07000 151 00C 002 51501 015 2112000 2023 00000000*")-SUMIFS(E512:E3130,K512:K3130,"0",B512:B3130,"1 2 4 1 3 12 31111 6 M78 07000 151 00C 002 51501 015 2112000 2023 00000000*")</f>
        <v>10324</v>
      </c>
      <c r="E511"/>
      <c r="F511" s="31">
        <f>SUMIFS(F512:F3130,K512:K3130,"0",B512:B3130,"1 2 4 1 3 12 31111 6 M78 07000 151 00C 002 51501 015 2112000 2023 00000000*")</f>
        <v>0</v>
      </c>
      <c r="G511" s="31">
        <f>SUMIFS(G512:G3130,K512:K3130,"0",B512:B3130,"1 2 4 1 3 12 31111 6 M78 07000 151 00C 002 51501 015 2112000 2023 00000000*")</f>
        <v>0</v>
      </c>
      <c r="H511" s="31">
        <f t="shared" si="7"/>
        <v>10324</v>
      </c>
      <c r="I511" s="31"/>
      <c r="K511" t="s">
        <v>13</v>
      </c>
    </row>
    <row r="512" spans="2:11" ht="22" x14ac:dyDescent="0.15">
      <c r="B512" s="29" t="s">
        <v>771</v>
      </c>
      <c r="C512" s="29" t="s">
        <v>32</v>
      </c>
      <c r="D512" s="31">
        <f>SUMIFS(D513:D3130,K513:K3130,"0",B513:B3130,"1 2 4 1 3 12 31111 6 M78 07000 151 00C 002 51501 015 2112000 2023 00000000 001*")-SUMIFS(E513:E3130,K513:K3130,"0",B513:B3130,"1 2 4 1 3 12 31111 6 M78 07000 151 00C 002 51501 015 2112000 2023 00000000 001*")</f>
        <v>10324</v>
      </c>
      <c r="E512"/>
      <c r="F512" s="31">
        <f>SUMIFS(F513:F3130,K513:K3130,"0",B513:B3130,"1 2 4 1 3 12 31111 6 M78 07000 151 00C 002 51501 015 2112000 2023 00000000 001*")</f>
        <v>0</v>
      </c>
      <c r="G512" s="31">
        <f>SUMIFS(G513:G3130,K513:K3130,"0",B513:B3130,"1 2 4 1 3 12 31111 6 M78 07000 151 00C 002 51501 015 2112000 2023 00000000 001*")</f>
        <v>0</v>
      </c>
      <c r="H512" s="31">
        <f t="shared" si="7"/>
        <v>10324</v>
      </c>
      <c r="I512" s="31"/>
      <c r="K512" t="s">
        <v>13</v>
      </c>
    </row>
    <row r="513" spans="2:11" ht="22" x14ac:dyDescent="0.15">
      <c r="B513" s="29" t="s">
        <v>772</v>
      </c>
      <c r="C513" s="29" t="s">
        <v>8</v>
      </c>
      <c r="D513" s="31">
        <f>SUMIFS(D514:D3130,K514:K3130,"0",B514:B3130,"1 2 4 1 3 12 31111 6 M78 07000 151 00C 002 51501 015 2112000 2023 00000000 001 007*")-SUMIFS(E514:E3130,K514:K3130,"0",B514:B3130,"1 2 4 1 3 12 31111 6 M78 07000 151 00C 002 51501 015 2112000 2023 00000000 001 007*")</f>
        <v>10324</v>
      </c>
      <c r="E513"/>
      <c r="F513" s="31">
        <f>SUMIFS(F514:F3130,K514:K3130,"0",B514:B3130,"1 2 4 1 3 12 31111 6 M78 07000 151 00C 002 51501 015 2112000 2023 00000000 001 007*")</f>
        <v>0</v>
      </c>
      <c r="G513" s="31">
        <f>SUMIFS(G514:G3130,K514:K3130,"0",B514:B3130,"1 2 4 1 3 12 31111 6 M78 07000 151 00C 002 51501 015 2112000 2023 00000000 001 007*")</f>
        <v>0</v>
      </c>
      <c r="H513" s="31">
        <f t="shared" si="7"/>
        <v>10324</v>
      </c>
      <c r="I513" s="31"/>
      <c r="K513" t="s">
        <v>13</v>
      </c>
    </row>
    <row r="514" spans="2:11" ht="22" x14ac:dyDescent="0.15">
      <c r="B514" s="27" t="s">
        <v>773</v>
      </c>
      <c r="C514" s="27" t="s">
        <v>774</v>
      </c>
      <c r="D514" s="30">
        <v>10324</v>
      </c>
      <c r="E514" s="30"/>
      <c r="F514" s="30">
        <v>0</v>
      </c>
      <c r="G514" s="30">
        <v>0</v>
      </c>
      <c r="H514" s="30">
        <f t="shared" si="7"/>
        <v>10324</v>
      </c>
      <c r="I514" s="30"/>
      <c r="K514" t="s">
        <v>37</v>
      </c>
    </row>
    <row r="515" spans="2:11" ht="22" x14ac:dyDescent="0.15">
      <c r="B515" s="29" t="s">
        <v>775</v>
      </c>
      <c r="C515" s="29" t="s">
        <v>275</v>
      </c>
      <c r="D515" s="31">
        <f>SUMIFS(D516:D3130,K516:K3130,"0",B516:B3130,"1 2 4 1 3 12 31111 6 M78 07000 151 00C 002 51501 015 2112000 2024*")-SUMIFS(E516:E3130,K516:K3130,"0",B516:B3130,"1 2 4 1 3 12 31111 6 M78 07000 151 00C 002 51501 015 2112000 2024*")</f>
        <v>0</v>
      </c>
      <c r="E515"/>
      <c r="F515" s="31">
        <f>SUMIFS(F516:F3130,K516:K3130,"0",B516:B3130,"1 2 4 1 3 12 31111 6 M78 07000 151 00C 002 51501 015 2112000 2024*")</f>
        <v>222186</v>
      </c>
      <c r="G515" s="31">
        <f>SUMIFS(G516:G3130,K516:K3130,"0",B516:B3130,"1 2 4 1 3 12 31111 6 M78 07000 151 00C 002 51501 015 2112000 2024*")</f>
        <v>5539</v>
      </c>
      <c r="H515" s="31">
        <f t="shared" si="7"/>
        <v>216647</v>
      </c>
      <c r="I515" s="31"/>
      <c r="K515" t="s">
        <v>13</v>
      </c>
    </row>
    <row r="516" spans="2:11" ht="22" x14ac:dyDescent="0.15">
      <c r="B516" s="29" t="s">
        <v>776</v>
      </c>
      <c r="C516" s="29" t="s">
        <v>277</v>
      </c>
      <c r="D516" s="31">
        <f>SUMIFS(D517:D3130,K517:K3130,"0",B517:B3130,"1 2 4 1 3 12 31111 6 M78 07000 151 00C 002 51501 015 2112000 2024 00000000*")-SUMIFS(E517:E3130,K517:K3130,"0",B517:B3130,"1 2 4 1 3 12 31111 6 M78 07000 151 00C 002 51501 015 2112000 2024 00000000*")</f>
        <v>0</v>
      </c>
      <c r="E516"/>
      <c r="F516" s="31">
        <f>SUMIFS(F517:F3130,K517:K3130,"0",B517:B3130,"1 2 4 1 3 12 31111 6 M78 07000 151 00C 002 51501 015 2112000 2024 00000000*")</f>
        <v>222186</v>
      </c>
      <c r="G516" s="31">
        <f>SUMIFS(G517:G3130,K517:K3130,"0",B517:B3130,"1 2 4 1 3 12 31111 6 M78 07000 151 00C 002 51501 015 2112000 2024 00000000*")</f>
        <v>5539</v>
      </c>
      <c r="H516" s="31">
        <f t="shared" si="7"/>
        <v>216647</v>
      </c>
      <c r="I516" s="31"/>
      <c r="K516" t="s">
        <v>13</v>
      </c>
    </row>
    <row r="517" spans="2:11" ht="22" x14ac:dyDescent="0.15">
      <c r="B517" s="29" t="s">
        <v>777</v>
      </c>
      <c r="C517" s="29" t="s">
        <v>32</v>
      </c>
      <c r="D517" s="31">
        <f>SUMIFS(D518:D3130,K518:K3130,"0",B518:B3130,"1 2 4 1 3 12 31111 6 M78 07000 151 00C 002 51501 015 2112000 2024 00000000 001*")-SUMIFS(E518:E3130,K518:K3130,"0",B518:B3130,"1 2 4 1 3 12 31111 6 M78 07000 151 00C 002 51501 015 2112000 2024 00000000 001*")</f>
        <v>0</v>
      </c>
      <c r="E517"/>
      <c r="F517" s="31">
        <f>SUMIFS(F518:F3130,K518:K3130,"0",B518:B3130,"1 2 4 1 3 12 31111 6 M78 07000 151 00C 002 51501 015 2112000 2024 00000000 001*")</f>
        <v>222186</v>
      </c>
      <c r="G517" s="31">
        <f>SUMIFS(G518:G3130,K518:K3130,"0",B518:B3130,"1 2 4 1 3 12 31111 6 M78 07000 151 00C 002 51501 015 2112000 2024 00000000 001*")</f>
        <v>5539</v>
      </c>
      <c r="H517" s="31">
        <f t="shared" si="7"/>
        <v>216647</v>
      </c>
      <c r="I517" s="31"/>
      <c r="K517" t="s">
        <v>13</v>
      </c>
    </row>
    <row r="518" spans="2:11" ht="22" x14ac:dyDescent="0.15">
      <c r="B518" s="29" t="s">
        <v>778</v>
      </c>
      <c r="C518" s="29" t="s">
        <v>8</v>
      </c>
      <c r="D518" s="31">
        <f>SUMIFS(D519:D3130,K519:K3130,"0",B519:B3130,"1 2 4 1 3 12 31111 6 M78 07000 151 00C 002 51501 015 2112000 2024 00000000 001 007*")-SUMIFS(E519:E3130,K519:K3130,"0",B519:B3130,"1 2 4 1 3 12 31111 6 M78 07000 151 00C 002 51501 015 2112000 2024 00000000 001 007*")</f>
        <v>0</v>
      </c>
      <c r="E518"/>
      <c r="F518" s="31">
        <f>SUMIFS(F519:F3130,K519:K3130,"0",B519:B3130,"1 2 4 1 3 12 31111 6 M78 07000 151 00C 002 51501 015 2112000 2024 00000000 001 007*")</f>
        <v>222186</v>
      </c>
      <c r="G518" s="31">
        <f>SUMIFS(G519:G3130,K519:K3130,"0",B519:B3130,"1 2 4 1 3 12 31111 6 M78 07000 151 00C 002 51501 015 2112000 2024 00000000 001 007*")</f>
        <v>5539</v>
      </c>
      <c r="H518" s="31">
        <f t="shared" si="7"/>
        <v>216647</v>
      </c>
      <c r="I518" s="31"/>
      <c r="K518" t="s">
        <v>13</v>
      </c>
    </row>
    <row r="519" spans="2:11" ht="22" x14ac:dyDescent="0.15">
      <c r="B519" s="27" t="s">
        <v>779</v>
      </c>
      <c r="C519" s="27" t="s">
        <v>780</v>
      </c>
      <c r="D519" s="30">
        <v>0</v>
      </c>
      <c r="E519" s="30"/>
      <c r="F519" s="30">
        <v>24800</v>
      </c>
      <c r="G519" s="30">
        <v>0</v>
      </c>
      <c r="H519" s="30">
        <f t="shared" si="7"/>
        <v>24800</v>
      </c>
      <c r="I519" s="30"/>
      <c r="K519" t="s">
        <v>37</v>
      </c>
    </row>
    <row r="520" spans="2:11" ht="22" x14ac:dyDescent="0.15">
      <c r="B520" s="27" t="s">
        <v>781</v>
      </c>
      <c r="C520" s="27" t="s">
        <v>782</v>
      </c>
      <c r="D520" s="30">
        <v>0</v>
      </c>
      <c r="E520" s="30"/>
      <c r="F520" s="30">
        <v>14499</v>
      </c>
      <c r="G520" s="30">
        <v>0</v>
      </c>
      <c r="H520" s="30">
        <f t="shared" si="7"/>
        <v>14499</v>
      </c>
      <c r="I520" s="30"/>
      <c r="K520" t="s">
        <v>37</v>
      </c>
    </row>
    <row r="521" spans="2:11" ht="22" x14ac:dyDescent="0.15">
      <c r="B521" s="27" t="s">
        <v>783</v>
      </c>
      <c r="C521" s="27" t="s">
        <v>784</v>
      </c>
      <c r="D521" s="30">
        <v>0</v>
      </c>
      <c r="E521" s="30"/>
      <c r="F521" s="30">
        <v>14499</v>
      </c>
      <c r="G521" s="30">
        <v>0</v>
      </c>
      <c r="H521" s="30">
        <f t="shared" si="7"/>
        <v>14499</v>
      </c>
      <c r="I521" s="30"/>
      <c r="K521" t="s">
        <v>37</v>
      </c>
    </row>
    <row r="522" spans="2:11" ht="22" x14ac:dyDescent="0.15">
      <c r="B522" s="27" t="s">
        <v>785</v>
      </c>
      <c r="C522" s="27" t="s">
        <v>786</v>
      </c>
      <c r="D522" s="30">
        <v>0</v>
      </c>
      <c r="E522" s="30"/>
      <c r="F522" s="30">
        <v>14499</v>
      </c>
      <c r="G522" s="30">
        <v>0</v>
      </c>
      <c r="H522" s="30">
        <f t="shared" ref="H522:H585" si="8">D522 + F522 - G522</f>
        <v>14499</v>
      </c>
      <c r="I522" s="30"/>
      <c r="K522" t="s">
        <v>37</v>
      </c>
    </row>
    <row r="523" spans="2:11" ht="22" x14ac:dyDescent="0.15">
      <c r="B523" s="27" t="s">
        <v>787</v>
      </c>
      <c r="C523" s="27" t="s">
        <v>788</v>
      </c>
      <c r="D523" s="30">
        <v>0</v>
      </c>
      <c r="E523" s="30"/>
      <c r="F523" s="30">
        <v>14499</v>
      </c>
      <c r="G523" s="30">
        <v>0</v>
      </c>
      <c r="H523" s="30">
        <f t="shared" si="8"/>
        <v>14499</v>
      </c>
      <c r="I523" s="30"/>
      <c r="K523" t="s">
        <v>37</v>
      </c>
    </row>
    <row r="524" spans="2:11" ht="22" x14ac:dyDescent="0.15">
      <c r="B524" s="27" t="s">
        <v>789</v>
      </c>
      <c r="C524" s="27" t="s">
        <v>790</v>
      </c>
      <c r="D524" s="30">
        <v>0</v>
      </c>
      <c r="E524" s="30"/>
      <c r="F524" s="30">
        <v>5539</v>
      </c>
      <c r="G524" s="30">
        <v>0</v>
      </c>
      <c r="H524" s="30">
        <f t="shared" si="8"/>
        <v>5539</v>
      </c>
      <c r="I524" s="30"/>
      <c r="K524" t="s">
        <v>37</v>
      </c>
    </row>
    <row r="525" spans="2:11" ht="22" x14ac:dyDescent="0.15">
      <c r="B525" s="27" t="s">
        <v>791</v>
      </c>
      <c r="C525" s="27" t="s">
        <v>792</v>
      </c>
      <c r="D525" s="30">
        <v>0</v>
      </c>
      <c r="E525" s="30"/>
      <c r="F525" s="30">
        <v>5539</v>
      </c>
      <c r="G525" s="30">
        <v>0</v>
      </c>
      <c r="H525" s="30">
        <f t="shared" si="8"/>
        <v>5539</v>
      </c>
      <c r="I525" s="30"/>
      <c r="K525" t="s">
        <v>37</v>
      </c>
    </row>
    <row r="526" spans="2:11" ht="22" x14ac:dyDescent="0.15">
      <c r="B526" s="27" t="s">
        <v>793</v>
      </c>
      <c r="C526" s="27" t="s">
        <v>794</v>
      </c>
      <c r="D526" s="30">
        <v>0</v>
      </c>
      <c r="E526" s="30"/>
      <c r="F526" s="30">
        <v>5539</v>
      </c>
      <c r="G526" s="30">
        <v>0</v>
      </c>
      <c r="H526" s="30">
        <f t="shared" si="8"/>
        <v>5539</v>
      </c>
      <c r="I526" s="30"/>
      <c r="K526" t="s">
        <v>37</v>
      </c>
    </row>
    <row r="527" spans="2:11" ht="22" x14ac:dyDescent="0.15">
      <c r="B527" s="27" t="s">
        <v>795</v>
      </c>
      <c r="C527" s="27" t="s">
        <v>796</v>
      </c>
      <c r="D527" s="30">
        <v>0</v>
      </c>
      <c r="E527" s="30"/>
      <c r="F527" s="30">
        <v>5539</v>
      </c>
      <c r="G527" s="30">
        <v>0</v>
      </c>
      <c r="H527" s="30">
        <f t="shared" si="8"/>
        <v>5539</v>
      </c>
      <c r="I527" s="30"/>
      <c r="K527" t="s">
        <v>37</v>
      </c>
    </row>
    <row r="528" spans="2:11" ht="22" x14ac:dyDescent="0.15">
      <c r="B528" s="27" t="s">
        <v>797</v>
      </c>
      <c r="C528" s="27" t="s">
        <v>798</v>
      </c>
      <c r="D528" s="30">
        <v>0</v>
      </c>
      <c r="E528" s="30"/>
      <c r="F528" s="30">
        <v>5539</v>
      </c>
      <c r="G528" s="30">
        <v>5539</v>
      </c>
      <c r="H528" s="30">
        <f t="shared" si="8"/>
        <v>0</v>
      </c>
      <c r="I528" s="30"/>
      <c r="K528" t="s">
        <v>37</v>
      </c>
    </row>
    <row r="529" spans="2:11" ht="22" x14ac:dyDescent="0.15">
      <c r="B529" s="27" t="s">
        <v>799</v>
      </c>
      <c r="C529" s="27" t="s">
        <v>800</v>
      </c>
      <c r="D529" s="30">
        <v>0</v>
      </c>
      <c r="E529" s="30"/>
      <c r="F529" s="30">
        <v>5539</v>
      </c>
      <c r="G529" s="30">
        <v>0</v>
      </c>
      <c r="H529" s="30">
        <f t="shared" si="8"/>
        <v>5539</v>
      </c>
      <c r="I529" s="30"/>
      <c r="K529" t="s">
        <v>37</v>
      </c>
    </row>
    <row r="530" spans="2:11" ht="22" x14ac:dyDescent="0.15">
      <c r="B530" s="27" t="s">
        <v>801</v>
      </c>
      <c r="C530" s="27" t="s">
        <v>802</v>
      </c>
      <c r="D530" s="30">
        <v>0</v>
      </c>
      <c r="E530" s="30"/>
      <c r="F530" s="30">
        <v>5539</v>
      </c>
      <c r="G530" s="30">
        <v>0</v>
      </c>
      <c r="H530" s="30">
        <f t="shared" si="8"/>
        <v>5539</v>
      </c>
      <c r="I530" s="30"/>
      <c r="K530" t="s">
        <v>37</v>
      </c>
    </row>
    <row r="531" spans="2:11" ht="22" x14ac:dyDescent="0.15">
      <c r="B531" s="27" t="s">
        <v>803</v>
      </c>
      <c r="C531" s="27" t="s">
        <v>804</v>
      </c>
      <c r="D531" s="30">
        <v>0</v>
      </c>
      <c r="E531" s="30"/>
      <c r="F531" s="30">
        <v>5539</v>
      </c>
      <c r="G531" s="30">
        <v>0</v>
      </c>
      <c r="H531" s="30">
        <f t="shared" si="8"/>
        <v>5539</v>
      </c>
      <c r="I531" s="30"/>
      <c r="K531" t="s">
        <v>37</v>
      </c>
    </row>
    <row r="532" spans="2:11" ht="22" x14ac:dyDescent="0.15">
      <c r="B532" s="27" t="s">
        <v>805</v>
      </c>
      <c r="C532" s="27" t="s">
        <v>806</v>
      </c>
      <c r="D532" s="30">
        <v>0</v>
      </c>
      <c r="E532" s="30"/>
      <c r="F532" s="30">
        <v>5539</v>
      </c>
      <c r="G532" s="30">
        <v>0</v>
      </c>
      <c r="H532" s="30">
        <f t="shared" si="8"/>
        <v>5539</v>
      </c>
      <c r="I532" s="30"/>
      <c r="K532" t="s">
        <v>37</v>
      </c>
    </row>
    <row r="533" spans="2:11" ht="22" x14ac:dyDescent="0.15">
      <c r="B533" s="27" t="s">
        <v>807</v>
      </c>
      <c r="C533" s="27" t="s">
        <v>808</v>
      </c>
      <c r="D533" s="30">
        <v>0</v>
      </c>
      <c r="E533" s="30"/>
      <c r="F533" s="30">
        <v>5539</v>
      </c>
      <c r="G533" s="30">
        <v>0</v>
      </c>
      <c r="H533" s="30">
        <f t="shared" si="8"/>
        <v>5539</v>
      </c>
      <c r="I533" s="30"/>
      <c r="K533" t="s">
        <v>37</v>
      </c>
    </row>
    <row r="534" spans="2:11" ht="22" x14ac:dyDescent="0.15">
      <c r="B534" s="27" t="s">
        <v>809</v>
      </c>
      <c r="C534" s="27" t="s">
        <v>810</v>
      </c>
      <c r="D534" s="30">
        <v>0</v>
      </c>
      <c r="E534" s="30"/>
      <c r="F534" s="30">
        <v>84000</v>
      </c>
      <c r="G534" s="30">
        <v>0</v>
      </c>
      <c r="H534" s="30">
        <f t="shared" si="8"/>
        <v>84000</v>
      </c>
      <c r="I534" s="30"/>
      <c r="K534" t="s">
        <v>37</v>
      </c>
    </row>
    <row r="535" spans="2:11" ht="13" x14ac:dyDescent="0.15">
      <c r="B535" s="29" t="s">
        <v>811</v>
      </c>
      <c r="C535" s="29" t="s">
        <v>812</v>
      </c>
      <c r="D535" s="31">
        <f>SUMIFS(D536:D3130,K536:K3130,"0",B536:B3130,"1 2 4 1 3 12 31111 6 M78 07000 151 00E*")-SUMIFS(E536:E3130,K536:K3130,"0",B536:B3130,"1 2 4 1 3 12 31111 6 M78 07000 151 00E*")</f>
        <v>62199</v>
      </c>
      <c r="E535"/>
      <c r="F535" s="31">
        <f>SUMIFS(F536:F3130,K536:K3130,"0",B536:B3130,"1 2 4 1 3 12 31111 6 M78 07000 151 00E*")</f>
        <v>0</v>
      </c>
      <c r="G535" s="31">
        <f>SUMIFS(G536:G3130,K536:K3130,"0",B536:B3130,"1 2 4 1 3 12 31111 6 M78 07000 151 00E*")</f>
        <v>0</v>
      </c>
      <c r="H535" s="31">
        <f t="shared" si="8"/>
        <v>62199</v>
      </c>
      <c r="I535" s="31"/>
      <c r="K535" t="s">
        <v>13</v>
      </c>
    </row>
    <row r="536" spans="2:11" ht="13" x14ac:dyDescent="0.15">
      <c r="B536" s="29" t="s">
        <v>813</v>
      </c>
      <c r="C536" s="29" t="s">
        <v>267</v>
      </c>
      <c r="D536" s="31">
        <f>SUMIFS(D537:D3130,K537:K3130,"0",B537:B3130,"1 2 4 1 3 12 31111 6 M78 07000 151 00E 002*")-SUMIFS(E537:E3130,K537:K3130,"0",B537:B3130,"1 2 4 1 3 12 31111 6 M78 07000 151 00E 002*")</f>
        <v>62199</v>
      </c>
      <c r="E536"/>
      <c r="F536" s="31">
        <f>SUMIFS(F537:F3130,K537:K3130,"0",B537:B3130,"1 2 4 1 3 12 31111 6 M78 07000 151 00E 002*")</f>
        <v>0</v>
      </c>
      <c r="G536" s="31">
        <f>SUMIFS(G537:G3130,K537:K3130,"0",B537:B3130,"1 2 4 1 3 12 31111 6 M78 07000 151 00E 002*")</f>
        <v>0</v>
      </c>
      <c r="H536" s="31">
        <f t="shared" si="8"/>
        <v>62199</v>
      </c>
      <c r="I536" s="31"/>
      <c r="K536" t="s">
        <v>13</v>
      </c>
    </row>
    <row r="537" spans="2:11" ht="13" x14ac:dyDescent="0.15">
      <c r="B537" s="29" t="s">
        <v>814</v>
      </c>
      <c r="C537" s="29" t="s">
        <v>755</v>
      </c>
      <c r="D537" s="31">
        <f>SUMIFS(D538:D3130,K538:K3130,"0",B538:B3130,"1 2 4 1 3 12 31111 6 M78 07000 151 00E 002 51501*")-SUMIFS(E538:E3130,K538:K3130,"0",B538:B3130,"1 2 4 1 3 12 31111 6 M78 07000 151 00E 002 51501*")</f>
        <v>62199</v>
      </c>
      <c r="E537"/>
      <c r="F537" s="31">
        <f>SUMIFS(F538:F3130,K538:K3130,"0",B538:B3130,"1 2 4 1 3 12 31111 6 M78 07000 151 00E 002 51501*")</f>
        <v>0</v>
      </c>
      <c r="G537" s="31">
        <f>SUMIFS(G538:G3130,K538:K3130,"0",B538:B3130,"1 2 4 1 3 12 31111 6 M78 07000 151 00E 002 51501*")</f>
        <v>0</v>
      </c>
      <c r="H537" s="31">
        <f t="shared" si="8"/>
        <v>62199</v>
      </c>
      <c r="I537" s="31"/>
      <c r="K537" t="s">
        <v>13</v>
      </c>
    </row>
    <row r="538" spans="2:11" ht="22" x14ac:dyDescent="0.15">
      <c r="B538" s="29" t="s">
        <v>815</v>
      </c>
      <c r="C538" s="29" t="s">
        <v>816</v>
      </c>
      <c r="D538" s="31">
        <f>SUMIFS(D539:D3130,K539:K3130,"0",B539:B3130,"1 2 4 1 3 12 31111 6 M78 07000 151 00E 002 51501 011*")-SUMIFS(E539:E3130,K539:K3130,"0",B539:B3130,"1 2 4 1 3 12 31111 6 M78 07000 151 00E 002 51501 011*")</f>
        <v>62199</v>
      </c>
      <c r="E538"/>
      <c r="F538" s="31">
        <f>SUMIFS(F539:F3130,K539:K3130,"0",B539:B3130,"1 2 4 1 3 12 31111 6 M78 07000 151 00E 002 51501 011*")</f>
        <v>0</v>
      </c>
      <c r="G538" s="31">
        <f>SUMIFS(G539:G3130,K539:K3130,"0",B539:B3130,"1 2 4 1 3 12 31111 6 M78 07000 151 00E 002 51501 011*")</f>
        <v>0</v>
      </c>
      <c r="H538" s="31">
        <f t="shared" si="8"/>
        <v>62199</v>
      </c>
      <c r="I538" s="31"/>
      <c r="K538" t="s">
        <v>13</v>
      </c>
    </row>
    <row r="539" spans="2:11" ht="22" x14ac:dyDescent="0.15">
      <c r="B539" s="29" t="s">
        <v>817</v>
      </c>
      <c r="C539" s="29" t="s">
        <v>595</v>
      </c>
      <c r="D539" s="31">
        <f>SUMIFS(D540:D3130,K540:K3130,"0",B540:B3130,"1 2 4 1 3 12 31111 6 M78 07000 151 00E 002 51501 011 2112000*")-SUMIFS(E540:E3130,K540:K3130,"0",B540:B3130,"1 2 4 1 3 12 31111 6 M78 07000 151 00E 002 51501 011 2112000*")</f>
        <v>62199</v>
      </c>
      <c r="E539"/>
      <c r="F539" s="31">
        <f>SUMIFS(F540:F3130,K540:K3130,"0",B540:B3130,"1 2 4 1 3 12 31111 6 M78 07000 151 00E 002 51501 011 2112000*")</f>
        <v>0</v>
      </c>
      <c r="G539" s="31">
        <f>SUMIFS(G540:G3130,K540:K3130,"0",B540:B3130,"1 2 4 1 3 12 31111 6 M78 07000 151 00E 002 51501 011 2112000*")</f>
        <v>0</v>
      </c>
      <c r="H539" s="31">
        <f t="shared" si="8"/>
        <v>62199</v>
      </c>
      <c r="I539" s="31"/>
      <c r="K539" t="s">
        <v>13</v>
      </c>
    </row>
    <row r="540" spans="2:11" ht="22" x14ac:dyDescent="0.15">
      <c r="B540" s="29" t="s">
        <v>818</v>
      </c>
      <c r="C540" s="29" t="s">
        <v>597</v>
      </c>
      <c r="D540" s="31">
        <f>SUMIFS(D541:D3130,K541:K3130,"0",B541:B3130,"1 2 4 1 3 12 31111 6 M78 07000 151 00E 002 51501 011 2112000 2019*")-SUMIFS(E541:E3130,K541:K3130,"0",B541:B3130,"1 2 4 1 3 12 31111 6 M78 07000 151 00E 002 51501 011 2112000 2019*")</f>
        <v>4199</v>
      </c>
      <c r="E540"/>
      <c r="F540" s="31">
        <f>SUMIFS(F541:F3130,K541:K3130,"0",B541:B3130,"1 2 4 1 3 12 31111 6 M78 07000 151 00E 002 51501 011 2112000 2019*")</f>
        <v>0</v>
      </c>
      <c r="G540" s="31">
        <f>SUMIFS(G541:G3130,K541:K3130,"0",B541:B3130,"1 2 4 1 3 12 31111 6 M78 07000 151 00E 002 51501 011 2112000 2019*")</f>
        <v>0</v>
      </c>
      <c r="H540" s="31">
        <f t="shared" si="8"/>
        <v>4199</v>
      </c>
      <c r="I540" s="31"/>
      <c r="K540" t="s">
        <v>13</v>
      </c>
    </row>
    <row r="541" spans="2:11" ht="22" x14ac:dyDescent="0.15">
      <c r="B541" s="29" t="s">
        <v>819</v>
      </c>
      <c r="C541" s="29" t="s">
        <v>277</v>
      </c>
      <c r="D541" s="31">
        <f>SUMIFS(D542:D3130,K542:K3130,"0",B542:B3130,"1 2 4 1 3 12 31111 6 M78 07000 151 00E 002 51501 011 2112000 2019 00000000*")-SUMIFS(E542:E3130,K542:K3130,"0",B542:B3130,"1 2 4 1 3 12 31111 6 M78 07000 151 00E 002 51501 011 2112000 2019 00000000*")</f>
        <v>4199</v>
      </c>
      <c r="E541"/>
      <c r="F541" s="31">
        <f>SUMIFS(F542:F3130,K542:K3130,"0",B542:B3130,"1 2 4 1 3 12 31111 6 M78 07000 151 00E 002 51501 011 2112000 2019 00000000*")</f>
        <v>0</v>
      </c>
      <c r="G541" s="31">
        <f>SUMIFS(G542:G3130,K542:K3130,"0",B542:B3130,"1 2 4 1 3 12 31111 6 M78 07000 151 00E 002 51501 011 2112000 2019 00000000*")</f>
        <v>0</v>
      </c>
      <c r="H541" s="31">
        <f t="shared" si="8"/>
        <v>4199</v>
      </c>
      <c r="I541" s="31"/>
      <c r="K541" t="s">
        <v>13</v>
      </c>
    </row>
    <row r="542" spans="2:11" ht="22" x14ac:dyDescent="0.15">
      <c r="B542" s="29" t="s">
        <v>820</v>
      </c>
      <c r="C542" s="29" t="s">
        <v>67</v>
      </c>
      <c r="D542" s="31">
        <f>SUMIFS(D543:D3130,K543:K3130,"0",B543:B3130,"1 2 4 1 3 12 31111 6 M78 07000 151 00E 002 51501 011 2112000 2019 00000000 005*")-SUMIFS(E543:E3130,K543:K3130,"0",B543:B3130,"1 2 4 1 3 12 31111 6 M78 07000 151 00E 002 51501 011 2112000 2019 00000000 005*")</f>
        <v>4199</v>
      </c>
      <c r="E542"/>
      <c r="F542" s="31">
        <f>SUMIFS(F543:F3130,K543:K3130,"0",B543:B3130,"1 2 4 1 3 12 31111 6 M78 07000 151 00E 002 51501 011 2112000 2019 00000000 005*")</f>
        <v>0</v>
      </c>
      <c r="G542" s="31">
        <f>SUMIFS(G543:G3130,K543:K3130,"0",B543:B3130,"1 2 4 1 3 12 31111 6 M78 07000 151 00E 002 51501 011 2112000 2019 00000000 005*")</f>
        <v>0</v>
      </c>
      <c r="H542" s="31">
        <f t="shared" si="8"/>
        <v>4199</v>
      </c>
      <c r="I542" s="31"/>
      <c r="K542" t="s">
        <v>13</v>
      </c>
    </row>
    <row r="543" spans="2:11" ht="22" x14ac:dyDescent="0.15">
      <c r="B543" s="29" t="s">
        <v>821</v>
      </c>
      <c r="C543" s="29" t="s">
        <v>822</v>
      </c>
      <c r="D543" s="31">
        <f>SUMIFS(D544:D3130,K544:K3130,"0",B544:B3130,"1 2 4 1 3 12 31111 6 M78 07000 151 00E 002 51501 011 2112000 2019 00000000 005 022*")-SUMIFS(E544:E3130,K544:K3130,"0",B544:B3130,"1 2 4 1 3 12 31111 6 M78 07000 151 00E 002 51501 011 2112000 2019 00000000 005 022*")</f>
        <v>4199</v>
      </c>
      <c r="E543"/>
      <c r="F543" s="31">
        <f>SUMIFS(F544:F3130,K544:K3130,"0",B544:B3130,"1 2 4 1 3 12 31111 6 M78 07000 151 00E 002 51501 011 2112000 2019 00000000 005 022*")</f>
        <v>0</v>
      </c>
      <c r="G543" s="31">
        <f>SUMIFS(G544:G3130,K544:K3130,"0",B544:B3130,"1 2 4 1 3 12 31111 6 M78 07000 151 00E 002 51501 011 2112000 2019 00000000 005 022*")</f>
        <v>0</v>
      </c>
      <c r="H543" s="31">
        <f t="shared" si="8"/>
        <v>4199</v>
      </c>
      <c r="I543" s="31"/>
      <c r="K543" t="s">
        <v>13</v>
      </c>
    </row>
    <row r="544" spans="2:11" ht="22" x14ac:dyDescent="0.15">
      <c r="B544" s="27" t="s">
        <v>823</v>
      </c>
      <c r="C544" s="27" t="s">
        <v>824</v>
      </c>
      <c r="D544" s="30">
        <v>4199</v>
      </c>
      <c r="E544" s="30"/>
      <c r="F544" s="30">
        <v>0</v>
      </c>
      <c r="G544" s="30">
        <v>0</v>
      </c>
      <c r="H544" s="30">
        <f t="shared" si="8"/>
        <v>4199</v>
      </c>
      <c r="I544" s="30"/>
      <c r="K544" t="s">
        <v>37</v>
      </c>
    </row>
    <row r="545" spans="2:11" ht="22" x14ac:dyDescent="0.15">
      <c r="B545" s="29" t="s">
        <v>825</v>
      </c>
      <c r="C545" s="29" t="s">
        <v>826</v>
      </c>
      <c r="D545" s="31">
        <f>SUMIFS(D546:D3130,K546:K3130,"0",B546:B3130,"1 2 4 1 3 12 31111 6 M78 07000 151 00E 002 51501 011 2112000 2022*")-SUMIFS(E546:E3130,K546:K3130,"0",B546:B3130,"1 2 4 1 3 12 31111 6 M78 07000 151 00E 002 51501 011 2112000 2022*")</f>
        <v>58000</v>
      </c>
      <c r="E545"/>
      <c r="F545" s="31">
        <f>SUMIFS(F546:F3130,K546:K3130,"0",B546:B3130,"1 2 4 1 3 12 31111 6 M78 07000 151 00E 002 51501 011 2112000 2022*")</f>
        <v>0</v>
      </c>
      <c r="G545" s="31">
        <f>SUMIFS(G546:G3130,K546:K3130,"0",B546:B3130,"1 2 4 1 3 12 31111 6 M78 07000 151 00E 002 51501 011 2112000 2022*")</f>
        <v>0</v>
      </c>
      <c r="H545" s="31">
        <f t="shared" si="8"/>
        <v>58000</v>
      </c>
      <c r="I545" s="31"/>
      <c r="K545" t="s">
        <v>13</v>
      </c>
    </row>
    <row r="546" spans="2:11" ht="22" x14ac:dyDescent="0.15">
      <c r="B546" s="29" t="s">
        <v>827</v>
      </c>
      <c r="C546" s="29" t="s">
        <v>277</v>
      </c>
      <c r="D546" s="31">
        <f>SUMIFS(D547:D3130,K547:K3130,"0",B547:B3130,"1 2 4 1 3 12 31111 6 M78 07000 151 00E 002 51501 011 2112000 2022 00000000*")-SUMIFS(E547:E3130,K547:K3130,"0",B547:B3130,"1 2 4 1 3 12 31111 6 M78 07000 151 00E 002 51501 011 2112000 2022 00000000*")</f>
        <v>58000</v>
      </c>
      <c r="E546"/>
      <c r="F546" s="31">
        <f>SUMIFS(F547:F3130,K547:K3130,"0",B547:B3130,"1 2 4 1 3 12 31111 6 M78 07000 151 00E 002 51501 011 2112000 2022 00000000*")</f>
        <v>0</v>
      </c>
      <c r="G546" s="31">
        <f>SUMIFS(G547:G3130,K547:K3130,"0",B547:B3130,"1 2 4 1 3 12 31111 6 M78 07000 151 00E 002 51501 011 2112000 2022 00000000*")</f>
        <v>0</v>
      </c>
      <c r="H546" s="31">
        <f t="shared" si="8"/>
        <v>58000</v>
      </c>
      <c r="I546" s="31"/>
      <c r="K546" t="s">
        <v>13</v>
      </c>
    </row>
    <row r="547" spans="2:11" ht="22" x14ac:dyDescent="0.15">
      <c r="B547" s="29" t="s">
        <v>828</v>
      </c>
      <c r="C547" s="29" t="s">
        <v>67</v>
      </c>
      <c r="D547" s="31">
        <f>SUMIFS(D548:D3130,K548:K3130,"0",B548:B3130,"1 2 4 1 3 12 31111 6 M78 07000 151 00E 002 51501 011 2112000 2022 00000000 005*")-SUMIFS(E548:E3130,K548:K3130,"0",B548:B3130,"1 2 4 1 3 12 31111 6 M78 07000 151 00E 002 51501 011 2112000 2022 00000000 005*")</f>
        <v>58000</v>
      </c>
      <c r="E547"/>
      <c r="F547" s="31">
        <f>SUMIFS(F548:F3130,K548:K3130,"0",B548:B3130,"1 2 4 1 3 12 31111 6 M78 07000 151 00E 002 51501 011 2112000 2022 00000000 005*")</f>
        <v>0</v>
      </c>
      <c r="G547" s="31">
        <f>SUMIFS(G548:G3130,K548:K3130,"0",B548:B3130,"1 2 4 1 3 12 31111 6 M78 07000 151 00E 002 51501 011 2112000 2022 00000000 005*")</f>
        <v>0</v>
      </c>
      <c r="H547" s="31">
        <f t="shared" si="8"/>
        <v>58000</v>
      </c>
      <c r="I547" s="31"/>
      <c r="K547" t="s">
        <v>13</v>
      </c>
    </row>
    <row r="548" spans="2:11" ht="22" x14ac:dyDescent="0.15">
      <c r="B548" s="29" t="s">
        <v>829</v>
      </c>
      <c r="C548" s="29" t="s">
        <v>822</v>
      </c>
      <c r="D548" s="31">
        <f>SUMIFS(D549:D3130,K549:K3130,"0",B549:B3130,"1 2 4 1 3 12 31111 6 M78 07000 151 00E 002 51501 011 2112000 2022 00000000 005 022*")-SUMIFS(E549:E3130,K549:K3130,"0",B549:B3130,"1 2 4 1 3 12 31111 6 M78 07000 151 00E 002 51501 011 2112000 2022 00000000 005 022*")</f>
        <v>58000</v>
      </c>
      <c r="E548"/>
      <c r="F548" s="31">
        <f>SUMIFS(F549:F3130,K549:K3130,"0",B549:B3130,"1 2 4 1 3 12 31111 6 M78 07000 151 00E 002 51501 011 2112000 2022 00000000 005 022*")</f>
        <v>0</v>
      </c>
      <c r="G548" s="31">
        <f>SUMIFS(G549:G3130,K549:K3130,"0",B549:B3130,"1 2 4 1 3 12 31111 6 M78 07000 151 00E 002 51501 011 2112000 2022 00000000 005 022*")</f>
        <v>0</v>
      </c>
      <c r="H548" s="31">
        <f t="shared" si="8"/>
        <v>58000</v>
      </c>
      <c r="I548" s="31"/>
      <c r="K548" t="s">
        <v>13</v>
      </c>
    </row>
    <row r="549" spans="2:11" ht="22" x14ac:dyDescent="0.15">
      <c r="B549" s="27" t="s">
        <v>830</v>
      </c>
      <c r="C549" s="27" t="s">
        <v>831</v>
      </c>
      <c r="D549" s="30">
        <v>58000</v>
      </c>
      <c r="E549" s="30"/>
      <c r="F549" s="30">
        <v>0</v>
      </c>
      <c r="G549" s="30">
        <v>0</v>
      </c>
      <c r="H549" s="30">
        <f t="shared" si="8"/>
        <v>58000</v>
      </c>
      <c r="I549" s="30"/>
      <c r="K549" t="s">
        <v>37</v>
      </c>
    </row>
    <row r="550" spans="2:11" ht="13" x14ac:dyDescent="0.15">
      <c r="B550" s="29" t="s">
        <v>832</v>
      </c>
      <c r="C550" s="29" t="s">
        <v>833</v>
      </c>
      <c r="D550" s="31">
        <f>SUMIFS(D551:D3130,K551:K3130,"0",B551:B3130,"1 2 4 1 3 12 31111 6 M78 15000*")-SUMIFS(E551:E3130,K551:K3130,"0",B551:B3130,"1 2 4 1 3 12 31111 6 M78 15000*")</f>
        <v>41089.99</v>
      </c>
      <c r="E550"/>
      <c r="F550" s="31">
        <f>SUMIFS(F551:F3130,K551:K3130,"0",B551:B3130,"1 2 4 1 3 12 31111 6 M78 15000*")</f>
        <v>0</v>
      </c>
      <c r="G550" s="31">
        <f>SUMIFS(G551:G3130,K551:K3130,"0",B551:B3130,"1 2 4 1 3 12 31111 6 M78 15000*")</f>
        <v>5889.99</v>
      </c>
      <c r="H550" s="31">
        <f t="shared" si="8"/>
        <v>35200</v>
      </c>
      <c r="I550" s="31"/>
      <c r="K550" t="s">
        <v>13</v>
      </c>
    </row>
    <row r="551" spans="2:11" ht="13" x14ac:dyDescent="0.15">
      <c r="B551" s="29" t="s">
        <v>834</v>
      </c>
      <c r="C551" s="29" t="s">
        <v>835</v>
      </c>
      <c r="D551" s="31">
        <f>SUMIFS(D552:D3130,K552:K3130,"0",B552:B3130,"1 2 4 1 3 12 31111 6 M78 15000 171*")-SUMIFS(E552:E3130,K552:K3130,"0",B552:B3130,"1 2 4 1 3 12 31111 6 M78 15000 171*")</f>
        <v>41089.99</v>
      </c>
      <c r="E551"/>
      <c r="F551" s="31">
        <f>SUMIFS(F552:F3130,K552:K3130,"0",B552:B3130,"1 2 4 1 3 12 31111 6 M78 15000 171*")</f>
        <v>0</v>
      </c>
      <c r="G551" s="31">
        <f>SUMIFS(G552:G3130,K552:K3130,"0",B552:B3130,"1 2 4 1 3 12 31111 6 M78 15000 171*")</f>
        <v>5889.99</v>
      </c>
      <c r="H551" s="31">
        <f t="shared" si="8"/>
        <v>35200</v>
      </c>
      <c r="I551" s="31"/>
      <c r="K551" t="s">
        <v>13</v>
      </c>
    </row>
    <row r="552" spans="2:11" ht="13" x14ac:dyDescent="0.15">
      <c r="B552" s="29" t="s">
        <v>836</v>
      </c>
      <c r="C552" s="29" t="s">
        <v>285</v>
      </c>
      <c r="D552" s="31">
        <f>SUMIFS(D553:D3130,K553:K3130,"0",B553:B3130,"1 2 4 1 3 12 31111 6 M78 15000 171 00I*")-SUMIFS(E553:E3130,K553:K3130,"0",B553:B3130,"1 2 4 1 3 12 31111 6 M78 15000 171 00I*")</f>
        <v>41089.99</v>
      </c>
      <c r="E552"/>
      <c r="F552" s="31">
        <f>SUMIFS(F553:F3130,K553:K3130,"0",B553:B3130,"1 2 4 1 3 12 31111 6 M78 15000 171 00I*")</f>
        <v>0</v>
      </c>
      <c r="G552" s="31">
        <f>SUMIFS(G553:G3130,K553:K3130,"0",B553:B3130,"1 2 4 1 3 12 31111 6 M78 15000 171 00I*")</f>
        <v>5889.99</v>
      </c>
      <c r="H552" s="31">
        <f t="shared" si="8"/>
        <v>35200</v>
      </c>
      <c r="I552" s="31"/>
      <c r="K552" t="s">
        <v>13</v>
      </c>
    </row>
    <row r="553" spans="2:11" ht="13" x14ac:dyDescent="0.15">
      <c r="B553" s="29" t="s">
        <v>837</v>
      </c>
      <c r="C553" s="29" t="s">
        <v>267</v>
      </c>
      <c r="D553" s="31">
        <f>SUMIFS(D554:D3130,K554:K3130,"0",B554:B3130,"1 2 4 1 3 12 31111 6 M78 15000 171 00I 002*")-SUMIFS(E554:E3130,K554:K3130,"0",B554:B3130,"1 2 4 1 3 12 31111 6 M78 15000 171 00I 002*")</f>
        <v>41089.99</v>
      </c>
      <c r="E553"/>
      <c r="F553" s="31">
        <f>SUMIFS(F554:F3130,K554:K3130,"0",B554:B3130,"1 2 4 1 3 12 31111 6 M78 15000 171 00I 002*")</f>
        <v>0</v>
      </c>
      <c r="G553" s="31">
        <f>SUMIFS(G554:G3130,K554:K3130,"0",B554:B3130,"1 2 4 1 3 12 31111 6 M78 15000 171 00I 002*")</f>
        <v>5889.99</v>
      </c>
      <c r="H553" s="31">
        <f t="shared" si="8"/>
        <v>35200</v>
      </c>
      <c r="I553" s="31"/>
      <c r="K553" t="s">
        <v>13</v>
      </c>
    </row>
    <row r="554" spans="2:11" ht="13" x14ac:dyDescent="0.15">
      <c r="B554" s="29" t="s">
        <v>838</v>
      </c>
      <c r="C554" s="29" t="s">
        <v>755</v>
      </c>
      <c r="D554" s="31">
        <f>SUMIFS(D555:D3130,K555:K3130,"0",B555:B3130,"1 2 4 1 3 12 31111 6 M78 15000 171 00I 002 51501*")-SUMIFS(E555:E3130,K555:K3130,"0",B555:B3130,"1 2 4 1 3 12 31111 6 M78 15000 171 00I 002 51501*")</f>
        <v>41089.99</v>
      </c>
      <c r="E554"/>
      <c r="F554" s="31">
        <f>SUMIFS(F555:F3130,K555:K3130,"0",B555:B3130,"1 2 4 1 3 12 31111 6 M78 15000 171 00I 002 51501*")</f>
        <v>0</v>
      </c>
      <c r="G554" s="31">
        <f>SUMIFS(G555:G3130,K555:K3130,"0",B555:B3130,"1 2 4 1 3 12 31111 6 M78 15000 171 00I 002 51501*")</f>
        <v>5889.99</v>
      </c>
      <c r="H554" s="31">
        <f t="shared" si="8"/>
        <v>35200</v>
      </c>
      <c r="I554" s="31"/>
      <c r="K554" t="s">
        <v>13</v>
      </c>
    </row>
    <row r="555" spans="2:11" ht="22" x14ac:dyDescent="0.15">
      <c r="B555" s="29" t="s">
        <v>839</v>
      </c>
      <c r="C555" s="29" t="s">
        <v>290</v>
      </c>
      <c r="D555" s="31">
        <f>SUMIFS(D556:D3130,K556:K3130,"0",B556:B3130,"1 2 4 1 3 12 31111 6 M78 15000 171 00I 002 51501 025*")-SUMIFS(E556:E3130,K556:K3130,"0",B556:B3130,"1 2 4 1 3 12 31111 6 M78 15000 171 00I 002 51501 025*")</f>
        <v>41089.99</v>
      </c>
      <c r="E555"/>
      <c r="F555" s="31">
        <f>SUMIFS(F556:F3130,K556:K3130,"0",B556:B3130,"1 2 4 1 3 12 31111 6 M78 15000 171 00I 002 51501 025*")</f>
        <v>0</v>
      </c>
      <c r="G555" s="31">
        <f>SUMIFS(G556:G3130,K556:K3130,"0",B556:B3130,"1 2 4 1 3 12 31111 6 M78 15000 171 00I 002 51501 025*")</f>
        <v>5889.99</v>
      </c>
      <c r="H555" s="31">
        <f t="shared" si="8"/>
        <v>35200</v>
      </c>
      <c r="I555" s="31"/>
      <c r="K555" t="s">
        <v>13</v>
      </c>
    </row>
    <row r="556" spans="2:11" ht="22" x14ac:dyDescent="0.15">
      <c r="B556" s="29" t="s">
        <v>840</v>
      </c>
      <c r="C556" s="29" t="s">
        <v>595</v>
      </c>
      <c r="D556" s="31">
        <f>SUMIFS(D557:D3130,K557:K3130,"0",B557:B3130,"1 2 4 1 3 12 31111 6 M78 15000 171 00I 002 51501 025 2112000*")-SUMIFS(E557:E3130,K557:K3130,"0",B557:B3130,"1 2 4 1 3 12 31111 6 M78 15000 171 00I 002 51501 025 2112000*")</f>
        <v>41089.99</v>
      </c>
      <c r="E556"/>
      <c r="F556" s="31">
        <f>SUMIFS(F557:F3130,K557:K3130,"0",B557:B3130,"1 2 4 1 3 12 31111 6 M78 15000 171 00I 002 51501 025 2112000*")</f>
        <v>0</v>
      </c>
      <c r="G556" s="31">
        <f>SUMIFS(G557:G3130,K557:K3130,"0",B557:B3130,"1 2 4 1 3 12 31111 6 M78 15000 171 00I 002 51501 025 2112000*")</f>
        <v>5889.99</v>
      </c>
      <c r="H556" s="31">
        <f t="shared" si="8"/>
        <v>35200</v>
      </c>
      <c r="I556" s="31"/>
      <c r="K556" t="s">
        <v>13</v>
      </c>
    </row>
    <row r="557" spans="2:11" ht="22" x14ac:dyDescent="0.15">
      <c r="B557" s="29" t="s">
        <v>841</v>
      </c>
      <c r="C557" s="29" t="s">
        <v>597</v>
      </c>
      <c r="D557" s="31">
        <f>SUMIFS(D558:D3130,K558:K3130,"0",B558:B3130,"1 2 4 1 3 12 31111 6 M78 15000 171 00I 002 51501 025 2112000 2019*")-SUMIFS(E558:E3130,K558:K3130,"0",B558:B3130,"1 2 4 1 3 12 31111 6 M78 15000 171 00I 002 51501 025 2112000 2019*")</f>
        <v>5889.99</v>
      </c>
      <c r="E557"/>
      <c r="F557" s="31">
        <f>SUMIFS(F558:F3130,K558:K3130,"0",B558:B3130,"1 2 4 1 3 12 31111 6 M78 15000 171 00I 002 51501 025 2112000 2019*")</f>
        <v>0</v>
      </c>
      <c r="G557" s="31">
        <f>SUMIFS(G558:G3130,K558:K3130,"0",B558:B3130,"1 2 4 1 3 12 31111 6 M78 15000 171 00I 002 51501 025 2112000 2019*")</f>
        <v>5889.99</v>
      </c>
      <c r="H557" s="31">
        <f t="shared" si="8"/>
        <v>0</v>
      </c>
      <c r="I557" s="31"/>
      <c r="K557" t="s">
        <v>13</v>
      </c>
    </row>
    <row r="558" spans="2:11" ht="22" x14ac:dyDescent="0.15">
      <c r="B558" s="29" t="s">
        <v>842</v>
      </c>
      <c r="C558" s="29" t="s">
        <v>277</v>
      </c>
      <c r="D558" s="31">
        <f>SUMIFS(D559:D3130,K559:K3130,"0",B559:B3130,"1 2 4 1 3 12 31111 6 M78 15000 171 00I 002 51501 025 2112000 2019 00000000*")-SUMIFS(E559:E3130,K559:K3130,"0",B559:B3130,"1 2 4 1 3 12 31111 6 M78 15000 171 00I 002 51501 025 2112000 2019 00000000*")</f>
        <v>5889.99</v>
      </c>
      <c r="E558"/>
      <c r="F558" s="31">
        <f>SUMIFS(F559:F3130,K559:K3130,"0",B559:B3130,"1 2 4 1 3 12 31111 6 M78 15000 171 00I 002 51501 025 2112000 2019 00000000*")</f>
        <v>0</v>
      </c>
      <c r="G558" s="31">
        <f>SUMIFS(G559:G3130,K559:K3130,"0",B559:B3130,"1 2 4 1 3 12 31111 6 M78 15000 171 00I 002 51501 025 2112000 2019 00000000*")</f>
        <v>5889.99</v>
      </c>
      <c r="H558" s="31">
        <f t="shared" si="8"/>
        <v>0</v>
      </c>
      <c r="I558" s="31"/>
      <c r="K558" t="s">
        <v>13</v>
      </c>
    </row>
    <row r="559" spans="2:11" ht="22" x14ac:dyDescent="0.15">
      <c r="B559" s="29" t="s">
        <v>843</v>
      </c>
      <c r="C559" s="29" t="s">
        <v>581</v>
      </c>
      <c r="D559" s="31">
        <f>SUMIFS(D560:D3130,K560:K3130,"0",B560:B3130,"1 2 4 1 3 12 31111 6 M78 15000 171 00I 002 51501 025 2112000 2019 00000000 003*")-SUMIFS(E560:E3130,K560:K3130,"0",B560:B3130,"1 2 4 1 3 12 31111 6 M78 15000 171 00I 002 51501 025 2112000 2019 00000000 003*")</f>
        <v>5889.99</v>
      </c>
      <c r="E559"/>
      <c r="F559" s="31">
        <f>SUMIFS(F560:F3130,K560:K3130,"0",B560:B3130,"1 2 4 1 3 12 31111 6 M78 15000 171 00I 002 51501 025 2112000 2019 00000000 003*")</f>
        <v>0</v>
      </c>
      <c r="G559" s="31">
        <f>SUMIFS(G560:G3130,K560:K3130,"0",B560:B3130,"1 2 4 1 3 12 31111 6 M78 15000 171 00I 002 51501 025 2112000 2019 00000000 003*")</f>
        <v>5889.99</v>
      </c>
      <c r="H559" s="31">
        <f t="shared" si="8"/>
        <v>0</v>
      </c>
      <c r="I559" s="31"/>
      <c r="K559" t="s">
        <v>13</v>
      </c>
    </row>
    <row r="560" spans="2:11" ht="22" x14ac:dyDescent="0.15">
      <c r="B560" s="29" t="s">
        <v>844</v>
      </c>
      <c r="C560" s="29" t="s">
        <v>833</v>
      </c>
      <c r="D560" s="31">
        <f>SUMIFS(D561:D3130,K561:K3130,"0",B561:B3130,"1 2 4 1 3 12 31111 6 M78 15000 171 00I 002 51501 025 2112000 2019 00000000 003 015*")-SUMIFS(E561:E3130,K561:K3130,"0",B561:B3130,"1 2 4 1 3 12 31111 6 M78 15000 171 00I 002 51501 025 2112000 2019 00000000 003 015*")</f>
        <v>5889.99</v>
      </c>
      <c r="E560"/>
      <c r="F560" s="31">
        <f>SUMIFS(F561:F3130,K561:K3130,"0",B561:B3130,"1 2 4 1 3 12 31111 6 M78 15000 171 00I 002 51501 025 2112000 2019 00000000 003 015*")</f>
        <v>0</v>
      </c>
      <c r="G560" s="31">
        <f>SUMIFS(G561:G3130,K561:K3130,"0",B561:B3130,"1 2 4 1 3 12 31111 6 M78 15000 171 00I 002 51501 025 2112000 2019 00000000 003 015*")</f>
        <v>5889.99</v>
      </c>
      <c r="H560" s="31">
        <f t="shared" si="8"/>
        <v>0</v>
      </c>
      <c r="I560" s="31"/>
      <c r="K560" t="s">
        <v>13</v>
      </c>
    </row>
    <row r="561" spans="2:11" ht="22" x14ac:dyDescent="0.15">
      <c r="B561" s="27" t="s">
        <v>845</v>
      </c>
      <c r="C561" s="27" t="s">
        <v>846</v>
      </c>
      <c r="D561" s="30">
        <v>5889.99</v>
      </c>
      <c r="E561" s="30"/>
      <c r="F561" s="30">
        <v>0</v>
      </c>
      <c r="G561" s="30">
        <v>5889.99</v>
      </c>
      <c r="H561" s="30">
        <f t="shared" si="8"/>
        <v>0</v>
      </c>
      <c r="I561" s="30"/>
      <c r="K561" t="s">
        <v>37</v>
      </c>
    </row>
    <row r="562" spans="2:11" ht="22" x14ac:dyDescent="0.15">
      <c r="B562" s="29" t="s">
        <v>847</v>
      </c>
      <c r="C562" s="29" t="s">
        <v>769</v>
      </c>
      <c r="D562" s="31">
        <f>SUMIFS(D563:D3130,K563:K3130,"0",B563:B3130,"1 2 4 1 3 12 31111 6 M78 15000 171 00I 002 51501 025 2112000 2023*")-SUMIFS(E563:E3130,K563:K3130,"0",B563:B3130,"1 2 4 1 3 12 31111 6 M78 15000 171 00I 002 51501 025 2112000 2023*")</f>
        <v>35200</v>
      </c>
      <c r="E562"/>
      <c r="F562" s="31">
        <f>SUMIFS(F563:F3130,K563:K3130,"0",B563:B3130,"1 2 4 1 3 12 31111 6 M78 15000 171 00I 002 51501 025 2112000 2023*")</f>
        <v>0</v>
      </c>
      <c r="G562" s="31">
        <f>SUMIFS(G563:G3130,K563:K3130,"0",B563:B3130,"1 2 4 1 3 12 31111 6 M78 15000 171 00I 002 51501 025 2112000 2023*")</f>
        <v>0</v>
      </c>
      <c r="H562" s="31">
        <f t="shared" si="8"/>
        <v>35200</v>
      </c>
      <c r="I562" s="31"/>
      <c r="K562" t="s">
        <v>13</v>
      </c>
    </row>
    <row r="563" spans="2:11" ht="22" x14ac:dyDescent="0.15">
      <c r="B563" s="29" t="s">
        <v>848</v>
      </c>
      <c r="C563" s="29" t="s">
        <v>277</v>
      </c>
      <c r="D563" s="31">
        <f>SUMIFS(D564:D3130,K564:K3130,"0",B564:B3130,"1 2 4 1 3 12 31111 6 M78 15000 171 00I 002 51501 025 2112000 2023 00000000*")-SUMIFS(E564:E3130,K564:K3130,"0",B564:B3130,"1 2 4 1 3 12 31111 6 M78 15000 171 00I 002 51501 025 2112000 2023 00000000*")</f>
        <v>35200</v>
      </c>
      <c r="E563"/>
      <c r="F563" s="31">
        <f>SUMIFS(F564:F3130,K564:K3130,"0",B564:B3130,"1 2 4 1 3 12 31111 6 M78 15000 171 00I 002 51501 025 2112000 2023 00000000*")</f>
        <v>0</v>
      </c>
      <c r="G563" s="31">
        <f>SUMIFS(G564:G3130,K564:K3130,"0",B564:B3130,"1 2 4 1 3 12 31111 6 M78 15000 171 00I 002 51501 025 2112000 2023 00000000*")</f>
        <v>0</v>
      </c>
      <c r="H563" s="31">
        <f t="shared" si="8"/>
        <v>35200</v>
      </c>
      <c r="I563" s="31"/>
      <c r="K563" t="s">
        <v>13</v>
      </c>
    </row>
    <row r="564" spans="2:11" ht="22" x14ac:dyDescent="0.15">
      <c r="B564" s="29" t="s">
        <v>849</v>
      </c>
      <c r="C564" s="29" t="s">
        <v>581</v>
      </c>
      <c r="D564" s="31">
        <f>SUMIFS(D565:D3130,K565:K3130,"0",B565:B3130,"1 2 4 1 3 12 31111 6 M78 15000 171 00I 002 51501 025 2112000 2023 00000000 003*")-SUMIFS(E565:E3130,K565:K3130,"0",B565:B3130,"1 2 4 1 3 12 31111 6 M78 15000 171 00I 002 51501 025 2112000 2023 00000000 003*")</f>
        <v>35200</v>
      </c>
      <c r="E564"/>
      <c r="F564" s="31">
        <f>SUMIFS(F565:F3130,K565:K3130,"0",B565:B3130,"1 2 4 1 3 12 31111 6 M78 15000 171 00I 002 51501 025 2112000 2023 00000000 003*")</f>
        <v>0</v>
      </c>
      <c r="G564" s="31">
        <f>SUMIFS(G565:G3130,K565:K3130,"0",B565:B3130,"1 2 4 1 3 12 31111 6 M78 15000 171 00I 002 51501 025 2112000 2023 00000000 003*")</f>
        <v>0</v>
      </c>
      <c r="H564" s="31">
        <f t="shared" si="8"/>
        <v>35200</v>
      </c>
      <c r="I564" s="31"/>
      <c r="K564" t="s">
        <v>13</v>
      </c>
    </row>
    <row r="565" spans="2:11" ht="22" x14ac:dyDescent="0.15">
      <c r="B565" s="29" t="s">
        <v>850</v>
      </c>
      <c r="C565" s="29" t="s">
        <v>833</v>
      </c>
      <c r="D565" s="31">
        <f>SUMIFS(D566:D3130,K566:K3130,"0",B566:B3130,"1 2 4 1 3 12 31111 6 M78 15000 171 00I 002 51501 025 2112000 2023 00000000 003 015*")-SUMIFS(E566:E3130,K566:K3130,"0",B566:B3130,"1 2 4 1 3 12 31111 6 M78 15000 171 00I 002 51501 025 2112000 2023 00000000 003 015*")</f>
        <v>35200</v>
      </c>
      <c r="E565"/>
      <c r="F565" s="31">
        <f>SUMIFS(F566:F3130,K566:K3130,"0",B566:B3130,"1 2 4 1 3 12 31111 6 M78 15000 171 00I 002 51501 025 2112000 2023 00000000 003 015*")</f>
        <v>0</v>
      </c>
      <c r="G565" s="31">
        <f>SUMIFS(G566:G3130,K566:K3130,"0",B566:B3130,"1 2 4 1 3 12 31111 6 M78 15000 171 00I 002 51501 025 2112000 2023 00000000 003 015*")</f>
        <v>0</v>
      </c>
      <c r="H565" s="31">
        <f t="shared" si="8"/>
        <v>35200</v>
      </c>
      <c r="I565" s="31"/>
      <c r="K565" t="s">
        <v>13</v>
      </c>
    </row>
    <row r="566" spans="2:11" ht="33" x14ac:dyDescent="0.15">
      <c r="B566" s="27" t="s">
        <v>851</v>
      </c>
      <c r="C566" s="27" t="s">
        <v>852</v>
      </c>
      <c r="D566" s="30">
        <v>35200</v>
      </c>
      <c r="E566" s="30"/>
      <c r="F566" s="30">
        <v>0</v>
      </c>
      <c r="G566" s="30">
        <v>0</v>
      </c>
      <c r="H566" s="30">
        <f t="shared" si="8"/>
        <v>35200</v>
      </c>
      <c r="I566" s="30"/>
      <c r="K566" t="s">
        <v>37</v>
      </c>
    </row>
    <row r="567" spans="2:11" ht="13" x14ac:dyDescent="0.15">
      <c r="B567" s="29" t="s">
        <v>853</v>
      </c>
      <c r="C567" s="29" t="s">
        <v>854</v>
      </c>
      <c r="D567" s="31">
        <f>SUMIFS(D568:D3130,K568:K3130,"0",B568:B3130,"1 2 4 1 9*")-SUMIFS(E568:E3130,K568:K3130,"0",B568:B3130,"1 2 4 1 9*")</f>
        <v>950711.31</v>
      </c>
      <c r="E567"/>
      <c r="F567" s="31">
        <f>SUMIFS(F568:F3130,K568:K3130,"0",B568:B3130,"1 2 4 1 9*")</f>
        <v>255200</v>
      </c>
      <c r="G567" s="31">
        <f>SUMIFS(G568:G3130,K568:K3130,"0",B568:B3130,"1 2 4 1 9*")</f>
        <v>302889.24</v>
      </c>
      <c r="H567" s="31">
        <f t="shared" si="8"/>
        <v>903022.07000000007</v>
      </c>
      <c r="I567" s="31"/>
      <c r="K567" t="s">
        <v>13</v>
      </c>
    </row>
    <row r="568" spans="2:11" ht="13" x14ac:dyDescent="0.15">
      <c r="B568" s="29" t="s">
        <v>855</v>
      </c>
      <c r="C568" s="29" t="s">
        <v>24</v>
      </c>
      <c r="D568" s="31">
        <f>SUMIFS(D569:D3130,K569:K3130,"0",B569:B3130,"1 2 4 1 9 12*")-SUMIFS(E569:E3130,K569:K3130,"0",B569:B3130,"1 2 4 1 9 12*")</f>
        <v>950711.31</v>
      </c>
      <c r="E568"/>
      <c r="F568" s="31">
        <f>SUMIFS(F569:F3130,K569:K3130,"0",B569:B3130,"1 2 4 1 9 12*")</f>
        <v>255200</v>
      </c>
      <c r="G568" s="31">
        <f>SUMIFS(G569:G3130,K569:K3130,"0",B569:B3130,"1 2 4 1 9 12*")</f>
        <v>302889.24</v>
      </c>
      <c r="H568" s="31">
        <f t="shared" si="8"/>
        <v>903022.07000000007</v>
      </c>
      <c r="I568" s="31"/>
      <c r="K568" t="s">
        <v>13</v>
      </c>
    </row>
    <row r="569" spans="2:11" ht="13" x14ac:dyDescent="0.15">
      <c r="B569" s="29" t="s">
        <v>856</v>
      </c>
      <c r="C569" s="29" t="s">
        <v>26</v>
      </c>
      <c r="D569" s="31">
        <f>SUMIFS(D570:D3130,K570:K3130,"0",B570:B3130,"1 2 4 1 9 12 31111*")-SUMIFS(E570:E3130,K570:K3130,"0",B570:B3130,"1 2 4 1 9 12 31111*")</f>
        <v>950711.31</v>
      </c>
      <c r="E569"/>
      <c r="F569" s="31">
        <f>SUMIFS(F570:F3130,K570:K3130,"0",B570:B3130,"1 2 4 1 9 12 31111*")</f>
        <v>255200</v>
      </c>
      <c r="G569" s="31">
        <f>SUMIFS(G570:G3130,K570:K3130,"0",B570:B3130,"1 2 4 1 9 12 31111*")</f>
        <v>302889.24</v>
      </c>
      <c r="H569" s="31">
        <f t="shared" si="8"/>
        <v>903022.07000000007</v>
      </c>
      <c r="I569" s="31"/>
      <c r="K569" t="s">
        <v>13</v>
      </c>
    </row>
    <row r="570" spans="2:11" ht="13" x14ac:dyDescent="0.15">
      <c r="B570" s="29" t="s">
        <v>857</v>
      </c>
      <c r="C570" s="29" t="s">
        <v>28</v>
      </c>
      <c r="D570" s="31">
        <f>SUMIFS(D571:D3130,K571:K3130,"0",B571:B3130,"1 2 4 1 9 12 31111 6*")-SUMIFS(E571:E3130,K571:K3130,"0",B571:B3130,"1 2 4 1 9 12 31111 6*")</f>
        <v>950711.31</v>
      </c>
      <c r="E570"/>
      <c r="F570" s="31">
        <f>SUMIFS(F571:F3130,K571:K3130,"0",B571:B3130,"1 2 4 1 9 12 31111 6*")</f>
        <v>255200</v>
      </c>
      <c r="G570" s="31">
        <f>SUMIFS(G571:G3130,K571:K3130,"0",B571:B3130,"1 2 4 1 9 12 31111 6*")</f>
        <v>302889.24</v>
      </c>
      <c r="H570" s="31">
        <f t="shared" si="8"/>
        <v>903022.07000000007</v>
      </c>
      <c r="I570" s="31"/>
      <c r="K570" t="s">
        <v>13</v>
      </c>
    </row>
    <row r="571" spans="2:11" ht="13" x14ac:dyDescent="0.15">
      <c r="B571" s="29" t="s">
        <v>858</v>
      </c>
      <c r="C571" s="29" t="s">
        <v>30</v>
      </c>
      <c r="D571" s="31">
        <f>SUMIFS(D572:D3130,K572:K3130,"0",B572:B3130,"1 2 4 1 9 12 31111 6 M78*")-SUMIFS(E572:E3130,K572:K3130,"0",B572:B3130,"1 2 4 1 9 12 31111 6 M78*")</f>
        <v>950711.31</v>
      </c>
      <c r="E571"/>
      <c r="F571" s="31">
        <f>SUMIFS(F572:F3130,K572:K3130,"0",B572:B3130,"1 2 4 1 9 12 31111 6 M78*")</f>
        <v>255200</v>
      </c>
      <c r="G571" s="31">
        <f>SUMIFS(G572:G3130,K572:K3130,"0",B572:B3130,"1 2 4 1 9 12 31111 6 M78*")</f>
        <v>302889.24</v>
      </c>
      <c r="H571" s="31">
        <f t="shared" si="8"/>
        <v>903022.07000000007</v>
      </c>
      <c r="I571" s="31"/>
      <c r="K571" t="s">
        <v>13</v>
      </c>
    </row>
    <row r="572" spans="2:11" ht="13" x14ac:dyDescent="0.15">
      <c r="B572" s="29" t="s">
        <v>859</v>
      </c>
      <c r="C572" s="29" t="s">
        <v>521</v>
      </c>
      <c r="D572" s="31">
        <f>SUMIFS(D573:D3130,K573:K3130,"0",B573:B3130,"1 2 4 1 9 12 31111 6 M78 00000*")-SUMIFS(E573:E3130,K573:K3130,"0",B573:B3130,"1 2 4 1 9 12 31111 6 M78 00000*")</f>
        <v>931511.31</v>
      </c>
      <c r="E572"/>
      <c r="F572" s="31">
        <f>SUMIFS(F573:F3130,K573:K3130,"0",B573:B3130,"1 2 4 1 9 12 31111 6 M78 00000*")</f>
        <v>0</v>
      </c>
      <c r="G572" s="31">
        <f>SUMIFS(G573:G3130,K573:K3130,"0",B573:B3130,"1 2 4 1 9 12 31111 6 M78 00000*")</f>
        <v>293289.24</v>
      </c>
      <c r="H572" s="31">
        <f t="shared" si="8"/>
        <v>638222.07000000007</v>
      </c>
      <c r="I572" s="31"/>
      <c r="K572" t="s">
        <v>13</v>
      </c>
    </row>
    <row r="573" spans="2:11" ht="13" x14ac:dyDescent="0.15">
      <c r="B573" s="29" t="s">
        <v>860</v>
      </c>
      <c r="C573" s="29" t="s">
        <v>101</v>
      </c>
      <c r="D573" s="31">
        <f>SUMIFS(D574:D3130,K574:K3130,"0",B574:B3130,"1 2 4 1 9 12 31111 6 M78 00000 002*")-SUMIFS(E574:E3130,K574:K3130,"0",B574:B3130,"1 2 4 1 9 12 31111 6 M78 00000 002*")</f>
        <v>927861.31</v>
      </c>
      <c r="E573"/>
      <c r="F573" s="31">
        <f>SUMIFS(F574:F3130,K574:K3130,"0",B574:B3130,"1 2 4 1 9 12 31111 6 M78 00000 002*")</f>
        <v>0</v>
      </c>
      <c r="G573" s="31">
        <f>SUMIFS(G574:G3130,K574:K3130,"0",B574:B3130,"1 2 4 1 9 12 31111 6 M78 00000 002*")</f>
        <v>289639.24</v>
      </c>
      <c r="H573" s="31">
        <f t="shared" si="8"/>
        <v>638222.07000000007</v>
      </c>
      <c r="I573" s="31"/>
      <c r="K573" t="s">
        <v>13</v>
      </c>
    </row>
    <row r="574" spans="2:11" ht="13" x14ac:dyDescent="0.15">
      <c r="B574" s="29" t="s">
        <v>861</v>
      </c>
      <c r="C574" s="29" t="s">
        <v>862</v>
      </c>
      <c r="D574" s="31">
        <f>SUMIFS(D575:D3130,K575:K3130,"0",B575:B3130,"1 2 4 1 9 12 31111 6 M78 00000 002 001*")-SUMIFS(E575:E3130,K575:K3130,"0",B575:B3130,"1 2 4 1 9 12 31111 6 M78 00000 002 001*")</f>
        <v>927861.31</v>
      </c>
      <c r="E574"/>
      <c r="F574" s="31">
        <f>SUMIFS(F575:F3130,K575:K3130,"0",B575:B3130,"1 2 4 1 9 12 31111 6 M78 00000 002 001*")</f>
        <v>0</v>
      </c>
      <c r="G574" s="31">
        <f>SUMIFS(G575:G3130,K575:K3130,"0",B575:B3130,"1 2 4 1 9 12 31111 6 M78 00000 002 001*")</f>
        <v>289639.24</v>
      </c>
      <c r="H574" s="31">
        <f t="shared" si="8"/>
        <v>638222.07000000007</v>
      </c>
      <c r="I574" s="31"/>
      <c r="K574" t="s">
        <v>13</v>
      </c>
    </row>
    <row r="575" spans="2:11" ht="13" x14ac:dyDescent="0.15">
      <c r="B575" s="29" t="s">
        <v>863</v>
      </c>
      <c r="C575" s="29" t="s">
        <v>864</v>
      </c>
      <c r="D575" s="31">
        <f>SUMIFS(D576:D3130,K576:K3130,"0",B576:B3130,"1 2 4 1 9 12 31111 6 M78 00000 002 001 001*")-SUMIFS(E576:E3130,K576:K3130,"0",B576:B3130,"1 2 4 1 9 12 31111 6 M78 00000 002 001 001*")</f>
        <v>927861.31</v>
      </c>
      <c r="E575"/>
      <c r="F575" s="31">
        <f>SUMIFS(F576:F3130,K576:K3130,"0",B576:B3130,"1 2 4 1 9 12 31111 6 M78 00000 002 001 001*")</f>
        <v>0</v>
      </c>
      <c r="G575" s="31">
        <f>SUMIFS(G576:G3130,K576:K3130,"0",B576:B3130,"1 2 4 1 9 12 31111 6 M78 00000 002 001 001*")</f>
        <v>289639.24</v>
      </c>
      <c r="H575" s="31">
        <f t="shared" si="8"/>
        <v>638222.07000000007</v>
      </c>
      <c r="I575" s="31"/>
      <c r="K575" t="s">
        <v>13</v>
      </c>
    </row>
    <row r="576" spans="2:11" ht="33" x14ac:dyDescent="0.15">
      <c r="B576" s="27" t="s">
        <v>865</v>
      </c>
      <c r="C576" s="27" t="s">
        <v>866</v>
      </c>
      <c r="D576" s="30">
        <v>23188.59</v>
      </c>
      <c r="E576" s="30"/>
      <c r="F576" s="30">
        <v>0</v>
      </c>
      <c r="G576" s="30">
        <v>0</v>
      </c>
      <c r="H576" s="30">
        <f t="shared" si="8"/>
        <v>23188.59</v>
      </c>
      <c r="I576" s="30"/>
      <c r="K576" t="s">
        <v>37</v>
      </c>
    </row>
    <row r="577" spans="2:11" ht="33" x14ac:dyDescent="0.15">
      <c r="B577" s="27" t="s">
        <v>867</v>
      </c>
      <c r="C577" s="27" t="s">
        <v>866</v>
      </c>
      <c r="D577" s="30">
        <v>23188.59</v>
      </c>
      <c r="E577" s="30"/>
      <c r="F577" s="30">
        <v>0</v>
      </c>
      <c r="G577" s="30">
        <v>0</v>
      </c>
      <c r="H577" s="30">
        <f t="shared" si="8"/>
        <v>23188.59</v>
      </c>
      <c r="I577" s="30"/>
      <c r="K577" t="s">
        <v>37</v>
      </c>
    </row>
    <row r="578" spans="2:11" ht="33" x14ac:dyDescent="0.15">
      <c r="B578" s="27" t="s">
        <v>868</v>
      </c>
      <c r="C578" s="27" t="s">
        <v>866</v>
      </c>
      <c r="D578" s="30">
        <v>23188.59</v>
      </c>
      <c r="E578" s="30"/>
      <c r="F578" s="30">
        <v>0</v>
      </c>
      <c r="G578" s="30">
        <v>0</v>
      </c>
      <c r="H578" s="30">
        <f t="shared" si="8"/>
        <v>23188.59</v>
      </c>
      <c r="I578" s="30"/>
      <c r="K578" t="s">
        <v>37</v>
      </c>
    </row>
    <row r="579" spans="2:11" ht="33" x14ac:dyDescent="0.15">
      <c r="B579" s="27" t="s">
        <v>869</v>
      </c>
      <c r="C579" s="27" t="s">
        <v>866</v>
      </c>
      <c r="D579" s="30">
        <v>23188.59</v>
      </c>
      <c r="E579" s="30"/>
      <c r="F579" s="30">
        <v>0</v>
      </c>
      <c r="G579" s="30">
        <v>0</v>
      </c>
      <c r="H579" s="30">
        <f t="shared" si="8"/>
        <v>23188.59</v>
      </c>
      <c r="I579" s="30"/>
      <c r="K579" t="s">
        <v>37</v>
      </c>
    </row>
    <row r="580" spans="2:11" ht="33" x14ac:dyDescent="0.15">
      <c r="B580" s="27" t="s">
        <v>870</v>
      </c>
      <c r="C580" s="27" t="s">
        <v>866</v>
      </c>
      <c r="D580" s="30">
        <v>23188.59</v>
      </c>
      <c r="E580" s="30"/>
      <c r="F580" s="30">
        <v>0</v>
      </c>
      <c r="G580" s="30">
        <v>0</v>
      </c>
      <c r="H580" s="30">
        <f t="shared" si="8"/>
        <v>23188.59</v>
      </c>
      <c r="I580" s="30"/>
      <c r="K580" t="s">
        <v>37</v>
      </c>
    </row>
    <row r="581" spans="2:11" ht="33" x14ac:dyDescent="0.15">
      <c r="B581" s="27" t="s">
        <v>871</v>
      </c>
      <c r="C581" s="27" t="s">
        <v>866</v>
      </c>
      <c r="D581" s="30">
        <v>23188.59</v>
      </c>
      <c r="E581" s="30"/>
      <c r="F581" s="30">
        <v>0</v>
      </c>
      <c r="G581" s="30">
        <v>0</v>
      </c>
      <c r="H581" s="30">
        <f t="shared" si="8"/>
        <v>23188.59</v>
      </c>
      <c r="I581" s="30"/>
      <c r="K581" t="s">
        <v>37</v>
      </c>
    </row>
    <row r="582" spans="2:11" ht="33" x14ac:dyDescent="0.15">
      <c r="B582" s="27" t="s">
        <v>872</v>
      </c>
      <c r="C582" s="27" t="s">
        <v>866</v>
      </c>
      <c r="D582" s="30">
        <v>23188.59</v>
      </c>
      <c r="E582" s="30"/>
      <c r="F582" s="30">
        <v>0</v>
      </c>
      <c r="G582" s="30">
        <v>0</v>
      </c>
      <c r="H582" s="30">
        <f t="shared" si="8"/>
        <v>23188.59</v>
      </c>
      <c r="I582" s="30"/>
      <c r="K582" t="s">
        <v>37</v>
      </c>
    </row>
    <row r="583" spans="2:11" ht="33" x14ac:dyDescent="0.15">
      <c r="B583" s="27" t="s">
        <v>873</v>
      </c>
      <c r="C583" s="27" t="s">
        <v>866</v>
      </c>
      <c r="D583" s="30">
        <v>23188.59</v>
      </c>
      <c r="E583" s="30"/>
      <c r="F583" s="30">
        <v>0</v>
      </c>
      <c r="G583" s="30">
        <v>0</v>
      </c>
      <c r="H583" s="30">
        <f t="shared" si="8"/>
        <v>23188.59</v>
      </c>
      <c r="I583" s="30"/>
      <c r="K583" t="s">
        <v>37</v>
      </c>
    </row>
    <row r="584" spans="2:11" ht="33" x14ac:dyDescent="0.15">
      <c r="B584" s="27" t="s">
        <v>874</v>
      </c>
      <c r="C584" s="27" t="s">
        <v>866</v>
      </c>
      <c r="D584" s="30">
        <v>23188.59</v>
      </c>
      <c r="E584" s="30"/>
      <c r="F584" s="30">
        <v>0</v>
      </c>
      <c r="G584" s="30">
        <v>0</v>
      </c>
      <c r="H584" s="30">
        <f t="shared" si="8"/>
        <v>23188.59</v>
      </c>
      <c r="I584" s="30"/>
      <c r="K584" t="s">
        <v>37</v>
      </c>
    </row>
    <row r="585" spans="2:11" ht="33" x14ac:dyDescent="0.15">
      <c r="B585" s="27" t="s">
        <v>875</v>
      </c>
      <c r="C585" s="27" t="s">
        <v>866</v>
      </c>
      <c r="D585" s="30">
        <v>23188.59</v>
      </c>
      <c r="E585" s="30"/>
      <c r="F585" s="30">
        <v>0</v>
      </c>
      <c r="G585" s="30">
        <v>0</v>
      </c>
      <c r="H585" s="30">
        <f t="shared" si="8"/>
        <v>23188.59</v>
      </c>
      <c r="I585" s="30"/>
      <c r="K585" t="s">
        <v>37</v>
      </c>
    </row>
    <row r="586" spans="2:11" ht="33" x14ac:dyDescent="0.15">
      <c r="B586" s="27" t="s">
        <v>876</v>
      </c>
      <c r="C586" s="27" t="s">
        <v>866</v>
      </c>
      <c r="D586" s="30">
        <v>23188.59</v>
      </c>
      <c r="E586" s="30"/>
      <c r="F586" s="30">
        <v>0</v>
      </c>
      <c r="G586" s="30">
        <v>0</v>
      </c>
      <c r="H586" s="30">
        <f t="shared" ref="H586:H649" si="9">D586 + F586 - G586</f>
        <v>23188.59</v>
      </c>
      <c r="I586" s="30"/>
      <c r="K586" t="s">
        <v>37</v>
      </c>
    </row>
    <row r="587" spans="2:11" ht="33" x14ac:dyDescent="0.15">
      <c r="B587" s="27" t="s">
        <v>877</v>
      </c>
      <c r="C587" s="27" t="s">
        <v>866</v>
      </c>
      <c r="D587" s="30">
        <v>23188.59</v>
      </c>
      <c r="E587" s="30"/>
      <c r="F587" s="30">
        <v>0</v>
      </c>
      <c r="G587" s="30">
        <v>0</v>
      </c>
      <c r="H587" s="30">
        <f t="shared" si="9"/>
        <v>23188.59</v>
      </c>
      <c r="I587" s="30"/>
      <c r="K587" t="s">
        <v>37</v>
      </c>
    </row>
    <row r="588" spans="2:11" ht="33" x14ac:dyDescent="0.15">
      <c r="B588" s="27" t="s">
        <v>878</v>
      </c>
      <c r="C588" s="27" t="s">
        <v>866</v>
      </c>
      <c r="D588" s="30">
        <v>23188.59</v>
      </c>
      <c r="E588" s="30"/>
      <c r="F588" s="30">
        <v>0</v>
      </c>
      <c r="G588" s="30">
        <v>0</v>
      </c>
      <c r="H588" s="30">
        <f t="shared" si="9"/>
        <v>23188.59</v>
      </c>
      <c r="I588" s="30"/>
      <c r="K588" t="s">
        <v>37</v>
      </c>
    </row>
    <row r="589" spans="2:11" ht="33" x14ac:dyDescent="0.15">
      <c r="B589" s="27" t="s">
        <v>879</v>
      </c>
      <c r="C589" s="27" t="s">
        <v>866</v>
      </c>
      <c r="D589" s="30">
        <v>23188.59</v>
      </c>
      <c r="E589" s="30"/>
      <c r="F589" s="30">
        <v>0</v>
      </c>
      <c r="G589" s="30">
        <v>0</v>
      </c>
      <c r="H589" s="30">
        <f t="shared" si="9"/>
        <v>23188.59</v>
      </c>
      <c r="I589" s="30"/>
      <c r="K589" t="s">
        <v>37</v>
      </c>
    </row>
    <row r="590" spans="2:11" ht="33" x14ac:dyDescent="0.15">
      <c r="B590" s="27" t="s">
        <v>880</v>
      </c>
      <c r="C590" s="27" t="s">
        <v>866</v>
      </c>
      <c r="D590" s="30">
        <v>23188.59</v>
      </c>
      <c r="E590" s="30"/>
      <c r="F590" s="30">
        <v>0</v>
      </c>
      <c r="G590" s="30">
        <v>0</v>
      </c>
      <c r="H590" s="30">
        <f t="shared" si="9"/>
        <v>23188.59</v>
      </c>
      <c r="I590" s="30"/>
      <c r="K590" t="s">
        <v>37</v>
      </c>
    </row>
    <row r="591" spans="2:11" ht="33" x14ac:dyDescent="0.15">
      <c r="B591" s="27" t="s">
        <v>881</v>
      </c>
      <c r="C591" s="27" t="s">
        <v>866</v>
      </c>
      <c r="D591" s="30">
        <v>23188.59</v>
      </c>
      <c r="E591" s="30"/>
      <c r="F591" s="30">
        <v>0</v>
      </c>
      <c r="G591" s="30">
        <v>0</v>
      </c>
      <c r="H591" s="30">
        <f t="shared" si="9"/>
        <v>23188.59</v>
      </c>
      <c r="I591" s="30"/>
      <c r="K591" t="s">
        <v>37</v>
      </c>
    </row>
    <row r="592" spans="2:11" ht="33" x14ac:dyDescent="0.15">
      <c r="B592" s="27" t="s">
        <v>882</v>
      </c>
      <c r="C592" s="27" t="s">
        <v>866</v>
      </c>
      <c r="D592" s="30">
        <v>23188.59</v>
      </c>
      <c r="E592" s="30"/>
      <c r="F592" s="30">
        <v>0</v>
      </c>
      <c r="G592" s="30">
        <v>0</v>
      </c>
      <c r="H592" s="30">
        <f t="shared" si="9"/>
        <v>23188.59</v>
      </c>
      <c r="I592" s="30"/>
      <c r="K592" t="s">
        <v>37</v>
      </c>
    </row>
    <row r="593" spans="2:11" ht="33" x14ac:dyDescent="0.15">
      <c r="B593" s="27" t="s">
        <v>883</v>
      </c>
      <c r="C593" s="27" t="s">
        <v>866</v>
      </c>
      <c r="D593" s="30">
        <v>23188.59</v>
      </c>
      <c r="E593" s="30"/>
      <c r="F593" s="30">
        <v>0</v>
      </c>
      <c r="G593" s="30">
        <v>0</v>
      </c>
      <c r="H593" s="30">
        <f t="shared" si="9"/>
        <v>23188.59</v>
      </c>
      <c r="I593" s="30"/>
      <c r="K593" t="s">
        <v>37</v>
      </c>
    </row>
    <row r="594" spans="2:11" ht="33" x14ac:dyDescent="0.15">
      <c r="B594" s="27" t="s">
        <v>884</v>
      </c>
      <c r="C594" s="27" t="s">
        <v>866</v>
      </c>
      <c r="D594" s="30">
        <v>23188.59</v>
      </c>
      <c r="E594" s="30"/>
      <c r="F594" s="30">
        <v>0</v>
      </c>
      <c r="G594" s="30">
        <v>0</v>
      </c>
      <c r="H594" s="30">
        <f t="shared" si="9"/>
        <v>23188.59</v>
      </c>
      <c r="I594" s="30"/>
      <c r="K594" t="s">
        <v>37</v>
      </c>
    </row>
    <row r="595" spans="2:11" ht="33" x14ac:dyDescent="0.15">
      <c r="B595" s="27" t="s">
        <v>885</v>
      </c>
      <c r="C595" s="27" t="s">
        <v>866</v>
      </c>
      <c r="D595" s="30">
        <v>23188.59</v>
      </c>
      <c r="E595" s="30"/>
      <c r="F595" s="30">
        <v>0</v>
      </c>
      <c r="G595" s="30">
        <v>0</v>
      </c>
      <c r="H595" s="30">
        <f t="shared" si="9"/>
        <v>23188.59</v>
      </c>
      <c r="I595" s="30"/>
      <c r="K595" t="s">
        <v>37</v>
      </c>
    </row>
    <row r="596" spans="2:11" ht="33" x14ac:dyDescent="0.15">
      <c r="B596" s="27" t="s">
        <v>886</v>
      </c>
      <c r="C596" s="27" t="s">
        <v>866</v>
      </c>
      <c r="D596" s="30">
        <v>23188.59</v>
      </c>
      <c r="E596" s="30"/>
      <c r="F596" s="30">
        <v>0</v>
      </c>
      <c r="G596" s="30">
        <v>23188.59</v>
      </c>
      <c r="H596" s="30">
        <f t="shared" si="9"/>
        <v>0</v>
      </c>
      <c r="I596" s="30"/>
      <c r="K596" t="s">
        <v>37</v>
      </c>
    </row>
    <row r="597" spans="2:11" ht="33" x14ac:dyDescent="0.15">
      <c r="B597" s="27" t="s">
        <v>887</v>
      </c>
      <c r="C597" s="27" t="s">
        <v>866</v>
      </c>
      <c r="D597" s="30">
        <v>23188.59</v>
      </c>
      <c r="E597" s="30"/>
      <c r="F597" s="30">
        <v>0</v>
      </c>
      <c r="G597" s="30">
        <v>0</v>
      </c>
      <c r="H597" s="30">
        <f t="shared" si="9"/>
        <v>23188.59</v>
      </c>
      <c r="I597" s="30"/>
      <c r="K597" t="s">
        <v>37</v>
      </c>
    </row>
    <row r="598" spans="2:11" ht="33" x14ac:dyDescent="0.15">
      <c r="B598" s="27" t="s">
        <v>888</v>
      </c>
      <c r="C598" s="27" t="s">
        <v>866</v>
      </c>
      <c r="D598" s="30">
        <v>23188.59</v>
      </c>
      <c r="E598" s="30"/>
      <c r="F598" s="30">
        <v>0</v>
      </c>
      <c r="G598" s="30">
        <v>0</v>
      </c>
      <c r="H598" s="30">
        <f t="shared" si="9"/>
        <v>23188.59</v>
      </c>
      <c r="I598" s="30"/>
      <c r="K598" t="s">
        <v>37</v>
      </c>
    </row>
    <row r="599" spans="2:11" ht="33" x14ac:dyDescent="0.15">
      <c r="B599" s="27" t="s">
        <v>889</v>
      </c>
      <c r="C599" s="27" t="s">
        <v>866</v>
      </c>
      <c r="D599" s="30">
        <v>23188.59</v>
      </c>
      <c r="E599" s="30"/>
      <c r="F599" s="30">
        <v>0</v>
      </c>
      <c r="G599" s="30">
        <v>23188.59</v>
      </c>
      <c r="H599" s="30">
        <f t="shared" si="9"/>
        <v>0</v>
      </c>
      <c r="I599" s="30"/>
      <c r="K599" t="s">
        <v>37</v>
      </c>
    </row>
    <row r="600" spans="2:11" ht="33" x14ac:dyDescent="0.15">
      <c r="B600" s="27" t="s">
        <v>890</v>
      </c>
      <c r="C600" s="27" t="s">
        <v>866</v>
      </c>
      <c r="D600" s="30">
        <v>23188.59</v>
      </c>
      <c r="E600" s="30"/>
      <c r="F600" s="30">
        <v>0</v>
      </c>
      <c r="G600" s="30">
        <v>0</v>
      </c>
      <c r="H600" s="30">
        <f t="shared" si="9"/>
        <v>23188.59</v>
      </c>
      <c r="I600" s="30"/>
      <c r="K600" t="s">
        <v>37</v>
      </c>
    </row>
    <row r="601" spans="2:11" ht="22" x14ac:dyDescent="0.15">
      <c r="B601" s="27" t="s">
        <v>891</v>
      </c>
      <c r="C601" s="27" t="s">
        <v>892</v>
      </c>
      <c r="D601" s="30">
        <v>11533.58</v>
      </c>
      <c r="E601" s="30"/>
      <c r="F601" s="30">
        <v>0</v>
      </c>
      <c r="G601" s="30">
        <v>11533.58</v>
      </c>
      <c r="H601" s="30">
        <f t="shared" si="9"/>
        <v>0</v>
      </c>
      <c r="I601" s="30"/>
      <c r="K601" t="s">
        <v>37</v>
      </c>
    </row>
    <row r="602" spans="2:11" ht="22" x14ac:dyDescent="0.15">
      <c r="B602" s="27" t="s">
        <v>893</v>
      </c>
      <c r="C602" s="27" t="s">
        <v>892</v>
      </c>
      <c r="D602" s="30">
        <v>11533.58</v>
      </c>
      <c r="E602" s="30"/>
      <c r="F602" s="30">
        <v>0</v>
      </c>
      <c r="G602" s="30">
        <v>11533.58</v>
      </c>
      <c r="H602" s="30">
        <f t="shared" si="9"/>
        <v>0</v>
      </c>
      <c r="I602" s="30"/>
      <c r="K602" t="s">
        <v>37</v>
      </c>
    </row>
    <row r="603" spans="2:11" ht="22" x14ac:dyDescent="0.15">
      <c r="B603" s="27" t="s">
        <v>894</v>
      </c>
      <c r="C603" s="27" t="s">
        <v>892</v>
      </c>
      <c r="D603" s="30">
        <v>11553.6</v>
      </c>
      <c r="E603" s="30"/>
      <c r="F603" s="30">
        <v>0</v>
      </c>
      <c r="G603" s="30">
        <v>11553.6</v>
      </c>
      <c r="H603" s="30">
        <f t="shared" si="9"/>
        <v>0</v>
      </c>
      <c r="I603" s="30"/>
      <c r="K603" t="s">
        <v>37</v>
      </c>
    </row>
    <row r="604" spans="2:11" ht="22" x14ac:dyDescent="0.15">
      <c r="B604" s="27" t="s">
        <v>895</v>
      </c>
      <c r="C604" s="27" t="s">
        <v>892</v>
      </c>
      <c r="D604" s="30">
        <v>11553.6</v>
      </c>
      <c r="E604" s="30"/>
      <c r="F604" s="30">
        <v>0</v>
      </c>
      <c r="G604" s="30">
        <v>11553.6</v>
      </c>
      <c r="H604" s="30">
        <f t="shared" si="9"/>
        <v>0</v>
      </c>
      <c r="I604" s="30"/>
      <c r="K604" t="s">
        <v>37</v>
      </c>
    </row>
    <row r="605" spans="2:11" ht="13" x14ac:dyDescent="0.15">
      <c r="B605" s="27" t="s">
        <v>896</v>
      </c>
      <c r="C605" s="27" t="s">
        <v>897</v>
      </c>
      <c r="D605" s="30">
        <v>22685</v>
      </c>
      <c r="E605" s="30"/>
      <c r="F605" s="30">
        <v>0</v>
      </c>
      <c r="G605" s="30">
        <v>0</v>
      </c>
      <c r="H605" s="30">
        <f t="shared" si="9"/>
        <v>22685</v>
      </c>
      <c r="I605" s="30"/>
      <c r="K605" t="s">
        <v>37</v>
      </c>
    </row>
    <row r="606" spans="2:11" ht="13" x14ac:dyDescent="0.15">
      <c r="B606" s="27" t="s">
        <v>898</v>
      </c>
      <c r="C606" s="27" t="s">
        <v>899</v>
      </c>
      <c r="D606" s="30">
        <v>38020</v>
      </c>
      <c r="E606" s="30"/>
      <c r="F606" s="30">
        <v>0</v>
      </c>
      <c r="G606" s="30">
        <v>7604</v>
      </c>
      <c r="H606" s="30">
        <f t="shared" si="9"/>
        <v>30416</v>
      </c>
      <c r="I606" s="30"/>
      <c r="K606" t="s">
        <v>37</v>
      </c>
    </row>
    <row r="607" spans="2:11" ht="22" x14ac:dyDescent="0.15">
      <c r="B607" s="27" t="s">
        <v>900</v>
      </c>
      <c r="C607" s="27" t="s">
        <v>901</v>
      </c>
      <c r="D607" s="30">
        <v>45150</v>
      </c>
      <c r="E607" s="30"/>
      <c r="F607" s="30">
        <v>0</v>
      </c>
      <c r="G607" s="30">
        <v>7525</v>
      </c>
      <c r="H607" s="30">
        <f t="shared" si="9"/>
        <v>37625</v>
      </c>
      <c r="I607" s="30"/>
      <c r="K607" t="s">
        <v>37</v>
      </c>
    </row>
    <row r="608" spans="2:11" ht="13" x14ac:dyDescent="0.15">
      <c r="B608" s="27" t="s">
        <v>902</v>
      </c>
      <c r="C608" s="27" t="s">
        <v>903</v>
      </c>
      <c r="D608" s="30">
        <v>71292.5</v>
      </c>
      <c r="E608" s="30"/>
      <c r="F608" s="30">
        <v>0</v>
      </c>
      <c r="G608" s="30">
        <v>57134</v>
      </c>
      <c r="H608" s="30">
        <f t="shared" si="9"/>
        <v>14158.5</v>
      </c>
      <c r="I608" s="30"/>
      <c r="K608" t="s">
        <v>37</v>
      </c>
    </row>
    <row r="609" spans="2:11" ht="13" x14ac:dyDescent="0.15">
      <c r="B609" s="27" t="s">
        <v>904</v>
      </c>
      <c r="C609" s="27" t="s">
        <v>905</v>
      </c>
      <c r="D609" s="30">
        <v>124824.7</v>
      </c>
      <c r="E609" s="30"/>
      <c r="F609" s="30">
        <v>0</v>
      </c>
      <c r="G609" s="30">
        <v>124824.7</v>
      </c>
      <c r="H609" s="30">
        <f t="shared" si="9"/>
        <v>0</v>
      </c>
      <c r="I609" s="30"/>
      <c r="K609" t="s">
        <v>37</v>
      </c>
    </row>
    <row r="610" spans="2:11" ht="13" x14ac:dyDescent="0.15">
      <c r="B610" s="29" t="s">
        <v>906</v>
      </c>
      <c r="C610" s="29" t="s">
        <v>219</v>
      </c>
      <c r="D610" s="31">
        <f>SUMIFS(D611:D3130,K611:K3130,"0",B611:B3130,"1 2 4 1 9 12 31111 6 M78 00000 003*")-SUMIFS(E611:E3130,K611:K3130,"0",B611:B3130,"1 2 4 1 9 12 31111 6 M78 00000 003*")</f>
        <v>3650</v>
      </c>
      <c r="E610"/>
      <c r="F610" s="31">
        <f>SUMIFS(F611:F3130,K611:K3130,"0",B611:B3130,"1 2 4 1 9 12 31111 6 M78 00000 003*")</f>
        <v>0</v>
      </c>
      <c r="G610" s="31">
        <f>SUMIFS(G611:G3130,K611:K3130,"0",B611:B3130,"1 2 4 1 9 12 31111 6 M78 00000 003*")</f>
        <v>3650</v>
      </c>
      <c r="H610" s="31">
        <f t="shared" si="9"/>
        <v>0</v>
      </c>
      <c r="I610" s="31"/>
      <c r="K610" t="s">
        <v>13</v>
      </c>
    </row>
    <row r="611" spans="2:11" ht="13" x14ac:dyDescent="0.15">
      <c r="B611" s="29" t="s">
        <v>907</v>
      </c>
      <c r="C611" s="29" t="s">
        <v>524</v>
      </c>
      <c r="D611" s="31">
        <f>SUMIFS(D612:D3130,K612:K3130,"0",B612:B3130,"1 2 4 1 9 12 31111 6 M78 00000 003 001*")-SUMIFS(E612:E3130,K612:K3130,"0",B612:B3130,"1 2 4 1 9 12 31111 6 M78 00000 003 001*")</f>
        <v>3650</v>
      </c>
      <c r="E611"/>
      <c r="F611" s="31">
        <f>SUMIFS(F612:F3130,K612:K3130,"0",B612:B3130,"1 2 4 1 9 12 31111 6 M78 00000 003 001*")</f>
        <v>0</v>
      </c>
      <c r="G611" s="31">
        <f>SUMIFS(G612:G3130,K612:K3130,"0",B612:B3130,"1 2 4 1 9 12 31111 6 M78 00000 003 001*")</f>
        <v>3650</v>
      </c>
      <c r="H611" s="31">
        <f t="shared" si="9"/>
        <v>0</v>
      </c>
      <c r="I611" s="31"/>
      <c r="K611" t="s">
        <v>13</v>
      </c>
    </row>
    <row r="612" spans="2:11" ht="13" x14ac:dyDescent="0.15">
      <c r="B612" s="29" t="s">
        <v>908</v>
      </c>
      <c r="C612" s="29" t="s">
        <v>581</v>
      </c>
      <c r="D612" s="31">
        <f>SUMIFS(D613:D3130,K613:K3130,"0",B613:B3130,"1 2 4 1 9 12 31111 6 M78 00000 003 001 001*")-SUMIFS(E613:E3130,K613:K3130,"0",B613:B3130,"1 2 4 1 9 12 31111 6 M78 00000 003 001 001*")</f>
        <v>3650</v>
      </c>
      <c r="E612"/>
      <c r="F612" s="31">
        <f>SUMIFS(F613:F3130,K613:K3130,"0",B613:B3130,"1 2 4 1 9 12 31111 6 M78 00000 003 001 001*")</f>
        <v>0</v>
      </c>
      <c r="G612" s="31">
        <f>SUMIFS(G613:G3130,K613:K3130,"0",B613:B3130,"1 2 4 1 9 12 31111 6 M78 00000 003 001 001*")</f>
        <v>3650</v>
      </c>
      <c r="H612" s="31">
        <f t="shared" si="9"/>
        <v>0</v>
      </c>
      <c r="I612" s="31"/>
      <c r="K612" t="s">
        <v>13</v>
      </c>
    </row>
    <row r="613" spans="2:11" ht="13" x14ac:dyDescent="0.15">
      <c r="B613" s="27" t="s">
        <v>909</v>
      </c>
      <c r="C613" s="27" t="s">
        <v>910</v>
      </c>
      <c r="D613" s="30">
        <v>3650</v>
      </c>
      <c r="E613" s="30"/>
      <c r="F613" s="30">
        <v>0</v>
      </c>
      <c r="G613" s="30">
        <v>3650</v>
      </c>
      <c r="H613" s="30">
        <f t="shared" si="9"/>
        <v>0</v>
      </c>
      <c r="I613" s="30"/>
      <c r="K613" t="s">
        <v>37</v>
      </c>
    </row>
    <row r="614" spans="2:11" ht="13" x14ac:dyDescent="0.15">
      <c r="B614" s="29" t="s">
        <v>911</v>
      </c>
      <c r="C614" s="29" t="s">
        <v>8</v>
      </c>
      <c r="D614" s="31">
        <f>SUMIFS(D615:D3130,K615:K3130,"0",B615:B3130,"1 2 4 1 9 12 31111 6 M78 07000*")-SUMIFS(E615:E3130,K615:K3130,"0",B615:B3130,"1 2 4 1 9 12 31111 6 M78 07000*")</f>
        <v>19200</v>
      </c>
      <c r="E614"/>
      <c r="F614" s="31">
        <f>SUMIFS(F615:F3130,K615:K3130,"0",B615:B3130,"1 2 4 1 9 12 31111 6 M78 07000*")</f>
        <v>255200</v>
      </c>
      <c r="G614" s="31">
        <f>SUMIFS(G615:G3130,K615:K3130,"0",B615:B3130,"1 2 4 1 9 12 31111 6 M78 07000*")</f>
        <v>9600</v>
      </c>
      <c r="H614" s="31">
        <f t="shared" si="9"/>
        <v>264800</v>
      </c>
      <c r="I614" s="31"/>
      <c r="K614" t="s">
        <v>13</v>
      </c>
    </row>
    <row r="615" spans="2:11" ht="13" x14ac:dyDescent="0.15">
      <c r="B615" s="29" t="s">
        <v>912</v>
      </c>
      <c r="C615" s="29" t="s">
        <v>588</v>
      </c>
      <c r="D615" s="31">
        <f>SUMIFS(D616:D3130,K616:K3130,"0",B616:B3130,"1 2 4 1 9 12 31111 6 M78 07000 151*")-SUMIFS(E616:E3130,K616:K3130,"0",B616:B3130,"1 2 4 1 9 12 31111 6 M78 07000 151*")</f>
        <v>19200</v>
      </c>
      <c r="E615"/>
      <c r="F615" s="31">
        <f>SUMIFS(F616:F3130,K616:K3130,"0",B616:B3130,"1 2 4 1 9 12 31111 6 M78 07000 151*")</f>
        <v>255200</v>
      </c>
      <c r="G615" s="31">
        <f>SUMIFS(G616:G3130,K616:K3130,"0",B616:B3130,"1 2 4 1 9 12 31111 6 M78 07000 151*")</f>
        <v>9600</v>
      </c>
      <c r="H615" s="31">
        <f t="shared" si="9"/>
        <v>264800</v>
      </c>
      <c r="I615" s="31"/>
      <c r="K615" t="s">
        <v>13</v>
      </c>
    </row>
    <row r="616" spans="2:11" ht="13" x14ac:dyDescent="0.15">
      <c r="B616" s="29" t="s">
        <v>913</v>
      </c>
      <c r="C616" s="29" t="s">
        <v>265</v>
      </c>
      <c r="D616" s="31">
        <f>SUMIFS(D617:D3130,K617:K3130,"0",B617:B3130,"1 2 4 1 9 12 31111 6 M78 07000 151 00C*")-SUMIFS(E617:E3130,K617:K3130,"0",B617:B3130,"1 2 4 1 9 12 31111 6 M78 07000 151 00C*")</f>
        <v>19200</v>
      </c>
      <c r="E616"/>
      <c r="F616" s="31">
        <f>SUMIFS(F617:F3130,K617:K3130,"0",B617:B3130,"1 2 4 1 9 12 31111 6 M78 07000 151 00C*")</f>
        <v>255200</v>
      </c>
      <c r="G616" s="31">
        <f>SUMIFS(G617:G3130,K617:K3130,"0",B617:B3130,"1 2 4 1 9 12 31111 6 M78 07000 151 00C*")</f>
        <v>9600</v>
      </c>
      <c r="H616" s="31">
        <f t="shared" si="9"/>
        <v>264800</v>
      </c>
      <c r="I616" s="31"/>
      <c r="K616" t="s">
        <v>13</v>
      </c>
    </row>
    <row r="617" spans="2:11" ht="13" x14ac:dyDescent="0.15">
      <c r="B617" s="29" t="s">
        <v>914</v>
      </c>
      <c r="C617" s="29" t="s">
        <v>267</v>
      </c>
      <c r="D617" s="31">
        <f>SUMIFS(D618:D3130,K618:K3130,"0",B618:B3130,"1 2 4 1 9 12 31111 6 M78 07000 151 00C 002*")-SUMIFS(E618:E3130,K618:K3130,"0",B618:B3130,"1 2 4 1 9 12 31111 6 M78 07000 151 00C 002*")</f>
        <v>19200</v>
      </c>
      <c r="E617"/>
      <c r="F617" s="31">
        <f>SUMIFS(F618:F3130,K618:K3130,"0",B618:B3130,"1 2 4 1 9 12 31111 6 M78 07000 151 00C 002*")</f>
        <v>255200</v>
      </c>
      <c r="G617" s="31">
        <f>SUMIFS(G618:G3130,K618:K3130,"0",B618:B3130,"1 2 4 1 9 12 31111 6 M78 07000 151 00C 002*")</f>
        <v>9600</v>
      </c>
      <c r="H617" s="31">
        <f t="shared" si="9"/>
        <v>264800</v>
      </c>
      <c r="I617" s="31"/>
      <c r="K617" t="s">
        <v>13</v>
      </c>
    </row>
    <row r="618" spans="2:11" ht="13" x14ac:dyDescent="0.15">
      <c r="B618" s="29" t="s">
        <v>915</v>
      </c>
      <c r="C618" s="29" t="s">
        <v>916</v>
      </c>
      <c r="D618" s="31">
        <f>SUMIFS(D619:D3130,K619:K3130,"0",B619:B3130,"1 2 4 1 9 12 31111 6 M78 07000 151 00C 002 51901*")-SUMIFS(E619:E3130,K619:K3130,"0",B619:B3130,"1 2 4 1 9 12 31111 6 M78 07000 151 00C 002 51901*")</f>
        <v>19200</v>
      </c>
      <c r="E618"/>
      <c r="F618" s="31">
        <f>SUMIFS(F619:F3130,K619:K3130,"0",B619:B3130,"1 2 4 1 9 12 31111 6 M78 07000 151 00C 002 51901*")</f>
        <v>255200</v>
      </c>
      <c r="G618" s="31">
        <f>SUMIFS(G619:G3130,K619:K3130,"0",B619:B3130,"1 2 4 1 9 12 31111 6 M78 07000 151 00C 002 51901*")</f>
        <v>9600</v>
      </c>
      <c r="H618" s="31">
        <f t="shared" si="9"/>
        <v>264800</v>
      </c>
      <c r="I618" s="31"/>
      <c r="K618" t="s">
        <v>13</v>
      </c>
    </row>
    <row r="619" spans="2:11" ht="22" x14ac:dyDescent="0.15">
      <c r="B619" s="29" t="s">
        <v>917</v>
      </c>
      <c r="C619" s="29" t="s">
        <v>271</v>
      </c>
      <c r="D619" s="31">
        <f>SUMIFS(D620:D3130,K620:K3130,"0",B620:B3130,"1 2 4 1 9 12 31111 6 M78 07000 151 00C 002 51901 015*")-SUMIFS(E620:E3130,K620:K3130,"0",B620:B3130,"1 2 4 1 9 12 31111 6 M78 07000 151 00C 002 51901 015*")</f>
        <v>19200</v>
      </c>
      <c r="E619"/>
      <c r="F619" s="31">
        <f>SUMIFS(F620:F3130,K620:K3130,"0",B620:B3130,"1 2 4 1 9 12 31111 6 M78 07000 151 00C 002 51901 015*")</f>
        <v>255200</v>
      </c>
      <c r="G619" s="31">
        <f>SUMIFS(G620:G3130,K620:K3130,"0",B620:B3130,"1 2 4 1 9 12 31111 6 M78 07000 151 00C 002 51901 015*")</f>
        <v>9600</v>
      </c>
      <c r="H619" s="31">
        <f t="shared" si="9"/>
        <v>264800</v>
      </c>
      <c r="I619" s="31"/>
      <c r="K619" t="s">
        <v>13</v>
      </c>
    </row>
    <row r="620" spans="2:11" ht="22" x14ac:dyDescent="0.15">
      <c r="B620" s="29" t="s">
        <v>918</v>
      </c>
      <c r="C620" s="29" t="s">
        <v>595</v>
      </c>
      <c r="D620" s="31">
        <f>SUMIFS(D621:D3130,K621:K3130,"0",B621:B3130,"1 2 4 1 9 12 31111 6 M78 07000 151 00C 002 51901 015 2112000*")-SUMIFS(E621:E3130,K621:K3130,"0",B621:B3130,"1 2 4 1 9 12 31111 6 M78 07000 151 00C 002 51901 015 2112000*")</f>
        <v>19200</v>
      </c>
      <c r="E620"/>
      <c r="F620" s="31">
        <f>SUMIFS(F621:F3130,K621:K3130,"0",B621:B3130,"1 2 4 1 9 12 31111 6 M78 07000 151 00C 002 51901 015 2112000*")</f>
        <v>255200</v>
      </c>
      <c r="G620" s="31">
        <f>SUMIFS(G621:G3130,K621:K3130,"0",B621:B3130,"1 2 4 1 9 12 31111 6 M78 07000 151 00C 002 51901 015 2112000*")</f>
        <v>9600</v>
      </c>
      <c r="H620" s="31">
        <f t="shared" si="9"/>
        <v>264800</v>
      </c>
      <c r="I620" s="31"/>
      <c r="K620" t="s">
        <v>13</v>
      </c>
    </row>
    <row r="621" spans="2:11" ht="22" x14ac:dyDescent="0.15">
      <c r="B621" s="29" t="s">
        <v>919</v>
      </c>
      <c r="C621" s="29" t="s">
        <v>597</v>
      </c>
      <c r="D621" s="31">
        <f>SUMIFS(D622:D3130,K622:K3130,"0",B622:B3130,"1 2 4 1 9 12 31111 6 M78 07000 151 00C 002 51901 015 2112000 2019*")-SUMIFS(E622:E3130,K622:K3130,"0",B622:B3130,"1 2 4 1 9 12 31111 6 M78 07000 151 00C 002 51901 015 2112000 2019*")</f>
        <v>19200</v>
      </c>
      <c r="E621"/>
      <c r="F621" s="31">
        <f>SUMIFS(F622:F3130,K622:K3130,"0",B622:B3130,"1 2 4 1 9 12 31111 6 M78 07000 151 00C 002 51901 015 2112000 2019*")</f>
        <v>0</v>
      </c>
      <c r="G621" s="31">
        <f>SUMIFS(G622:G3130,K622:K3130,"0",B622:B3130,"1 2 4 1 9 12 31111 6 M78 07000 151 00C 002 51901 015 2112000 2019*")</f>
        <v>4800</v>
      </c>
      <c r="H621" s="31">
        <f t="shared" si="9"/>
        <v>14400</v>
      </c>
      <c r="I621" s="31"/>
      <c r="K621" t="s">
        <v>13</v>
      </c>
    </row>
    <row r="622" spans="2:11" ht="22" x14ac:dyDescent="0.15">
      <c r="B622" s="29" t="s">
        <v>920</v>
      </c>
      <c r="C622" s="29" t="s">
        <v>277</v>
      </c>
      <c r="D622" s="31">
        <f>SUMIFS(D623:D3130,K623:K3130,"0",B623:B3130,"1 2 4 1 9 12 31111 6 M78 07000 151 00C 002 51901 015 2112000 2019 00000000*")-SUMIFS(E623:E3130,K623:K3130,"0",B623:B3130,"1 2 4 1 9 12 31111 6 M78 07000 151 00C 002 51901 015 2112000 2019 00000000*")</f>
        <v>19200</v>
      </c>
      <c r="E622"/>
      <c r="F622" s="31">
        <f>SUMIFS(F623:F3130,K623:K3130,"0",B623:B3130,"1 2 4 1 9 12 31111 6 M78 07000 151 00C 002 51901 015 2112000 2019 00000000*")</f>
        <v>0</v>
      </c>
      <c r="G622" s="31">
        <f>SUMIFS(G623:G3130,K623:K3130,"0",B623:B3130,"1 2 4 1 9 12 31111 6 M78 07000 151 00C 002 51901 015 2112000 2019 00000000*")</f>
        <v>4800</v>
      </c>
      <c r="H622" s="31">
        <f t="shared" si="9"/>
        <v>14400</v>
      </c>
      <c r="I622" s="31"/>
      <c r="K622" t="s">
        <v>13</v>
      </c>
    </row>
    <row r="623" spans="2:11" ht="22" x14ac:dyDescent="0.15">
      <c r="B623" s="29" t="s">
        <v>921</v>
      </c>
      <c r="C623" s="29" t="s">
        <v>32</v>
      </c>
      <c r="D623" s="31">
        <f>SUMIFS(D624:D3130,K624:K3130,"0",B624:B3130,"1 2 4 1 9 12 31111 6 M78 07000 151 00C 002 51901 015 2112000 2019 00000000 001*")-SUMIFS(E624:E3130,K624:K3130,"0",B624:B3130,"1 2 4 1 9 12 31111 6 M78 07000 151 00C 002 51901 015 2112000 2019 00000000 001*")</f>
        <v>19200</v>
      </c>
      <c r="E623"/>
      <c r="F623" s="31">
        <f>SUMIFS(F624:F3130,K624:K3130,"0",B624:B3130,"1 2 4 1 9 12 31111 6 M78 07000 151 00C 002 51901 015 2112000 2019 00000000 001*")</f>
        <v>0</v>
      </c>
      <c r="G623" s="31">
        <f>SUMIFS(G624:G3130,K624:K3130,"0",B624:B3130,"1 2 4 1 9 12 31111 6 M78 07000 151 00C 002 51901 015 2112000 2019 00000000 001*")</f>
        <v>4800</v>
      </c>
      <c r="H623" s="31">
        <f t="shared" si="9"/>
        <v>14400</v>
      </c>
      <c r="I623" s="31"/>
      <c r="K623" t="s">
        <v>13</v>
      </c>
    </row>
    <row r="624" spans="2:11" ht="22" x14ac:dyDescent="0.15">
      <c r="B624" s="29" t="s">
        <v>922</v>
      </c>
      <c r="C624" s="29" t="s">
        <v>601</v>
      </c>
      <c r="D624" s="31">
        <f>SUMIFS(D625:D3130,K625:K3130,"0",B625:B3130,"1 2 4 1 9 12 31111 6 M78 07000 151 00C 002 51901 015 2112000 2019 00000000 001 001*")-SUMIFS(E625:E3130,K625:K3130,"0",B625:B3130,"1 2 4 1 9 12 31111 6 M78 07000 151 00C 002 51901 015 2112000 2019 00000000 001 001*")</f>
        <v>4800</v>
      </c>
      <c r="E624"/>
      <c r="F624" s="31">
        <f>SUMIFS(F625:F3130,K625:K3130,"0",B625:B3130,"1 2 4 1 9 12 31111 6 M78 07000 151 00C 002 51901 015 2112000 2019 00000000 001 001*")</f>
        <v>0</v>
      </c>
      <c r="G624" s="31">
        <f>SUMIFS(G625:G3130,K625:K3130,"0",B625:B3130,"1 2 4 1 9 12 31111 6 M78 07000 151 00C 002 51901 015 2112000 2019 00000000 001 001*")</f>
        <v>0</v>
      </c>
      <c r="H624" s="31">
        <f t="shared" si="9"/>
        <v>4800</v>
      </c>
      <c r="I624" s="31"/>
      <c r="K624" t="s">
        <v>13</v>
      </c>
    </row>
    <row r="625" spans="2:11" ht="22" x14ac:dyDescent="0.15">
      <c r="B625" s="27" t="s">
        <v>923</v>
      </c>
      <c r="C625" s="27" t="s">
        <v>924</v>
      </c>
      <c r="D625" s="30">
        <v>4800</v>
      </c>
      <c r="E625" s="30"/>
      <c r="F625" s="30">
        <v>0</v>
      </c>
      <c r="G625" s="30">
        <v>0</v>
      </c>
      <c r="H625" s="30">
        <f t="shared" si="9"/>
        <v>4800</v>
      </c>
      <c r="I625" s="30"/>
      <c r="K625" t="s">
        <v>37</v>
      </c>
    </row>
    <row r="626" spans="2:11" ht="22" x14ac:dyDescent="0.15">
      <c r="B626" s="29" t="s">
        <v>925</v>
      </c>
      <c r="C626" s="29" t="s">
        <v>611</v>
      </c>
      <c r="D626" s="31">
        <f>SUMIFS(D627:D3130,K627:K3130,"0",B627:B3130,"1 2 4 1 9 12 31111 6 M78 07000 151 00C 002 51901 015 2112000 2019 00000000 001 002*")-SUMIFS(E627:E3130,K627:K3130,"0",B627:B3130,"1 2 4 1 9 12 31111 6 M78 07000 151 00C 002 51901 015 2112000 2019 00000000 001 002*")</f>
        <v>4800</v>
      </c>
      <c r="E626"/>
      <c r="F626" s="31">
        <f>SUMIFS(F627:F3130,K627:K3130,"0",B627:B3130,"1 2 4 1 9 12 31111 6 M78 07000 151 00C 002 51901 015 2112000 2019 00000000 001 002*")</f>
        <v>0</v>
      </c>
      <c r="G626" s="31">
        <f>SUMIFS(G627:G3130,K627:K3130,"0",B627:B3130,"1 2 4 1 9 12 31111 6 M78 07000 151 00C 002 51901 015 2112000 2019 00000000 001 002*")</f>
        <v>0</v>
      </c>
      <c r="H626" s="31">
        <f t="shared" si="9"/>
        <v>4800</v>
      </c>
      <c r="I626" s="31"/>
      <c r="K626" t="s">
        <v>13</v>
      </c>
    </row>
    <row r="627" spans="2:11" ht="22" x14ac:dyDescent="0.15">
      <c r="B627" s="27" t="s">
        <v>926</v>
      </c>
      <c r="C627" s="27" t="s">
        <v>924</v>
      </c>
      <c r="D627" s="30">
        <v>4800</v>
      </c>
      <c r="E627" s="30"/>
      <c r="F627" s="30">
        <v>0</v>
      </c>
      <c r="G627" s="30">
        <v>0</v>
      </c>
      <c r="H627" s="30">
        <f t="shared" si="9"/>
        <v>4800</v>
      </c>
      <c r="I627" s="30"/>
      <c r="K627" t="s">
        <v>37</v>
      </c>
    </row>
    <row r="628" spans="2:11" ht="22" x14ac:dyDescent="0.15">
      <c r="B628" s="29" t="s">
        <v>927</v>
      </c>
      <c r="C628" s="29" t="s">
        <v>928</v>
      </c>
      <c r="D628" s="31">
        <f>SUMIFS(D629:D3130,K629:K3130,"0",B629:B3130,"1 2 4 1 9 12 31111 6 M78 07000 151 00C 002 51901 015 2112000 2019 00000000 001 007*")-SUMIFS(E629:E3130,K629:K3130,"0",B629:B3130,"1 2 4 1 9 12 31111 6 M78 07000 151 00C 002 51901 015 2112000 2019 00000000 001 007*")</f>
        <v>4800</v>
      </c>
      <c r="E628"/>
      <c r="F628" s="31">
        <f>SUMIFS(F629:F3130,K629:K3130,"0",B629:B3130,"1 2 4 1 9 12 31111 6 M78 07000 151 00C 002 51901 015 2112000 2019 00000000 001 007*")</f>
        <v>0</v>
      </c>
      <c r="G628" s="31">
        <f>SUMIFS(G629:G3130,K629:K3130,"0",B629:B3130,"1 2 4 1 9 12 31111 6 M78 07000 151 00C 002 51901 015 2112000 2019 00000000 001 007*")</f>
        <v>4800</v>
      </c>
      <c r="H628" s="31">
        <f t="shared" si="9"/>
        <v>0</v>
      </c>
      <c r="I628" s="31"/>
      <c r="K628" t="s">
        <v>13</v>
      </c>
    </row>
    <row r="629" spans="2:11" ht="22" x14ac:dyDescent="0.15">
      <c r="B629" s="27" t="s">
        <v>929</v>
      </c>
      <c r="C629" s="27" t="s">
        <v>924</v>
      </c>
      <c r="D629" s="30">
        <v>4800</v>
      </c>
      <c r="E629" s="30"/>
      <c r="F629" s="30">
        <v>0</v>
      </c>
      <c r="G629" s="30">
        <v>4800</v>
      </c>
      <c r="H629" s="30">
        <f t="shared" si="9"/>
        <v>0</v>
      </c>
      <c r="I629" s="30"/>
      <c r="K629" t="s">
        <v>37</v>
      </c>
    </row>
    <row r="630" spans="2:11" ht="22" x14ac:dyDescent="0.15">
      <c r="B630" s="29" t="s">
        <v>930</v>
      </c>
      <c r="C630" s="29" t="s">
        <v>931</v>
      </c>
      <c r="D630" s="31">
        <f>SUMIFS(D631:D3130,K631:K3130,"0",B631:B3130,"1 2 4 1 9 12 31111 6 M78 07000 151 00C 002 51901 015 2112000 2019 00000000 001 009*")-SUMIFS(E631:E3130,K631:K3130,"0",B631:B3130,"1 2 4 1 9 12 31111 6 M78 07000 151 00C 002 51901 015 2112000 2019 00000000 001 009*")</f>
        <v>4800</v>
      </c>
      <c r="E630"/>
      <c r="F630" s="31">
        <f>SUMIFS(F631:F3130,K631:K3130,"0",B631:B3130,"1 2 4 1 9 12 31111 6 M78 07000 151 00C 002 51901 015 2112000 2019 00000000 001 009*")</f>
        <v>0</v>
      </c>
      <c r="G630" s="31">
        <f>SUMIFS(G631:G3130,K631:K3130,"0",B631:B3130,"1 2 4 1 9 12 31111 6 M78 07000 151 00C 002 51901 015 2112000 2019 00000000 001 009*")</f>
        <v>0</v>
      </c>
      <c r="H630" s="31">
        <f t="shared" si="9"/>
        <v>4800</v>
      </c>
      <c r="I630" s="31"/>
      <c r="K630" t="s">
        <v>13</v>
      </c>
    </row>
    <row r="631" spans="2:11" ht="22" x14ac:dyDescent="0.15">
      <c r="B631" s="27" t="s">
        <v>932</v>
      </c>
      <c r="C631" s="27" t="s">
        <v>924</v>
      </c>
      <c r="D631" s="30">
        <v>4800</v>
      </c>
      <c r="E631" s="30"/>
      <c r="F631" s="30">
        <v>0</v>
      </c>
      <c r="G631" s="30">
        <v>0</v>
      </c>
      <c r="H631" s="30">
        <f t="shared" si="9"/>
        <v>4800</v>
      </c>
      <c r="I631" s="30"/>
      <c r="K631" t="s">
        <v>37</v>
      </c>
    </row>
    <row r="632" spans="2:11" ht="22" x14ac:dyDescent="0.15">
      <c r="B632" s="29" t="s">
        <v>933</v>
      </c>
      <c r="C632" s="29" t="s">
        <v>275</v>
      </c>
      <c r="D632" s="31">
        <f>SUMIFS(D633:D3130,K633:K3130,"0",B633:B3130,"1 2 4 1 9 12 31111 6 M78 07000 151 00C 002 51901 015 2112000 2024*")-SUMIFS(E633:E3130,K633:K3130,"0",B633:B3130,"1 2 4 1 9 12 31111 6 M78 07000 151 00C 002 51901 015 2112000 2024*")</f>
        <v>0</v>
      </c>
      <c r="E632"/>
      <c r="F632" s="31">
        <f>SUMIFS(F633:F3130,K633:K3130,"0",B633:B3130,"1 2 4 1 9 12 31111 6 M78 07000 151 00C 002 51901 015 2112000 2024*")</f>
        <v>255200</v>
      </c>
      <c r="G632" s="31">
        <f>SUMIFS(G633:G3130,K633:K3130,"0",B633:B3130,"1 2 4 1 9 12 31111 6 M78 07000 151 00C 002 51901 015 2112000 2024*")</f>
        <v>4800</v>
      </c>
      <c r="H632" s="31">
        <f t="shared" si="9"/>
        <v>250400</v>
      </c>
      <c r="I632" s="31"/>
      <c r="K632" t="s">
        <v>13</v>
      </c>
    </row>
    <row r="633" spans="2:11" ht="22" x14ac:dyDescent="0.15">
      <c r="B633" s="29" t="s">
        <v>934</v>
      </c>
      <c r="C633" s="29" t="s">
        <v>277</v>
      </c>
      <c r="D633" s="31">
        <f>SUMIFS(D634:D3130,K634:K3130,"0",B634:B3130,"1 2 4 1 9 12 31111 6 M78 07000 151 00C 002 51901 015 2112000 2024 00000000*")-SUMIFS(E634:E3130,K634:K3130,"0",B634:B3130,"1 2 4 1 9 12 31111 6 M78 07000 151 00C 002 51901 015 2112000 2024 00000000*")</f>
        <v>0</v>
      </c>
      <c r="E633"/>
      <c r="F633" s="31">
        <f>SUMIFS(F634:F3130,K634:K3130,"0",B634:B3130,"1 2 4 1 9 12 31111 6 M78 07000 151 00C 002 51901 015 2112000 2024 00000000*")</f>
        <v>255200</v>
      </c>
      <c r="G633" s="31">
        <f>SUMIFS(G634:G3130,K634:K3130,"0",B634:B3130,"1 2 4 1 9 12 31111 6 M78 07000 151 00C 002 51901 015 2112000 2024 00000000*")</f>
        <v>4800</v>
      </c>
      <c r="H633" s="31">
        <f t="shared" si="9"/>
        <v>250400</v>
      </c>
      <c r="I633" s="31"/>
      <c r="K633" t="s">
        <v>13</v>
      </c>
    </row>
    <row r="634" spans="2:11" ht="22" x14ac:dyDescent="0.15">
      <c r="B634" s="29" t="s">
        <v>935</v>
      </c>
      <c r="C634" s="29" t="s">
        <v>32</v>
      </c>
      <c r="D634" s="31">
        <f>SUMIFS(D635:D3130,K635:K3130,"0",B635:B3130,"1 2 4 1 9 12 31111 6 M78 07000 151 00C 002 51901 015 2112000 2024 00000000 001*")-SUMIFS(E635:E3130,K635:K3130,"0",B635:B3130,"1 2 4 1 9 12 31111 6 M78 07000 151 00C 002 51901 015 2112000 2024 00000000 001*")</f>
        <v>0</v>
      </c>
      <c r="E634"/>
      <c r="F634" s="31">
        <f>SUMIFS(F635:F3130,K635:K3130,"0",B635:B3130,"1 2 4 1 9 12 31111 6 M78 07000 151 00C 002 51901 015 2112000 2024 00000000 001*")</f>
        <v>255200</v>
      </c>
      <c r="G634" s="31">
        <f>SUMIFS(G635:G3130,K635:K3130,"0",B635:B3130,"1 2 4 1 9 12 31111 6 M78 07000 151 00C 002 51901 015 2112000 2024 00000000 001*")</f>
        <v>4800</v>
      </c>
      <c r="H634" s="31">
        <f t="shared" si="9"/>
        <v>250400</v>
      </c>
      <c r="I634" s="31"/>
      <c r="K634" t="s">
        <v>13</v>
      </c>
    </row>
    <row r="635" spans="2:11" ht="22" x14ac:dyDescent="0.15">
      <c r="B635" s="29" t="s">
        <v>936</v>
      </c>
      <c r="C635" s="29" t="s">
        <v>601</v>
      </c>
      <c r="D635" s="31">
        <f>SUMIFS(D636:D3130,K636:K3130,"0",B636:B3130,"1 2 4 1 9 12 31111 6 M78 07000 151 00C 002 51901 015 2112000 2024 00000000 001 001*")-SUMIFS(E636:E3130,K636:K3130,"0",B636:B3130,"1 2 4 1 9 12 31111 6 M78 07000 151 00C 002 51901 015 2112000 2024 00000000 001 001*")</f>
        <v>0</v>
      </c>
      <c r="E635"/>
      <c r="F635" s="31">
        <f>SUMIFS(F636:F3130,K636:K3130,"0",B636:B3130,"1 2 4 1 9 12 31111 6 M78 07000 151 00C 002 51901 015 2112000 2024 00000000 001 001*")</f>
        <v>255200</v>
      </c>
      <c r="G635" s="31">
        <f>SUMIFS(G636:G3130,K636:K3130,"0",B636:B3130,"1 2 4 1 9 12 31111 6 M78 07000 151 00C 002 51901 015 2112000 2024 00000000 001 001*")</f>
        <v>0</v>
      </c>
      <c r="H635" s="31">
        <f t="shared" si="9"/>
        <v>255200</v>
      </c>
      <c r="I635" s="31"/>
      <c r="K635" t="s">
        <v>13</v>
      </c>
    </row>
    <row r="636" spans="2:11" ht="55" x14ac:dyDescent="0.15">
      <c r="B636" s="27" t="s">
        <v>937</v>
      </c>
      <c r="C636" s="27" t="s">
        <v>938</v>
      </c>
      <c r="D636" s="30">
        <v>0</v>
      </c>
      <c r="E636" s="30"/>
      <c r="F636" s="30">
        <v>255200</v>
      </c>
      <c r="G636" s="30">
        <v>0</v>
      </c>
      <c r="H636" s="30">
        <f t="shared" si="9"/>
        <v>255200</v>
      </c>
      <c r="I636" s="30"/>
      <c r="K636" t="s">
        <v>37</v>
      </c>
    </row>
    <row r="637" spans="2:11" ht="22" x14ac:dyDescent="0.15">
      <c r="B637" s="29" t="s">
        <v>939</v>
      </c>
      <c r="C637" s="29" t="s">
        <v>931</v>
      </c>
      <c r="D637" s="31">
        <f>SUMIFS(D638:D3130,K638:K3130,"0",B638:B3130,"1 2 4 1 9 12 31111 6 M78 07000 151 00C 002 51901 015 2112000 2024 00000000 001 009*")-SUMIFS(E638:E3130,K638:K3130,"0",B638:B3130,"1 2 4 1 9 12 31111 6 M78 07000 151 00C 002 51901 015 2112000 2024 00000000 001 009*")</f>
        <v>0</v>
      </c>
      <c r="E637"/>
      <c r="F637" s="31">
        <f>SUMIFS(F638:F3130,K638:K3130,"0",B638:B3130,"1 2 4 1 9 12 31111 6 M78 07000 151 00C 002 51901 015 2112000 2024 00000000 001 009*")</f>
        <v>0</v>
      </c>
      <c r="G637" s="31">
        <f>SUMIFS(G638:G3130,K638:K3130,"0",B638:B3130,"1 2 4 1 9 12 31111 6 M78 07000 151 00C 002 51901 015 2112000 2024 00000000 001 009*")</f>
        <v>4800</v>
      </c>
      <c r="H637" s="31">
        <f t="shared" si="9"/>
        <v>-4800</v>
      </c>
      <c r="I637" s="31"/>
      <c r="K637" t="s">
        <v>13</v>
      </c>
    </row>
    <row r="638" spans="2:11" ht="22" x14ac:dyDescent="0.15">
      <c r="B638" s="27" t="s">
        <v>940</v>
      </c>
      <c r="C638" s="27" t="s">
        <v>924</v>
      </c>
      <c r="D638" s="30">
        <v>0</v>
      </c>
      <c r="E638" s="30"/>
      <c r="F638" s="30">
        <v>0</v>
      </c>
      <c r="G638" s="30">
        <v>4800</v>
      </c>
      <c r="H638" s="30">
        <f t="shared" si="9"/>
        <v>-4800</v>
      </c>
      <c r="I638" s="30"/>
      <c r="K638" t="s">
        <v>37</v>
      </c>
    </row>
    <row r="639" spans="2:11" ht="13" x14ac:dyDescent="0.15">
      <c r="B639" s="29" t="s">
        <v>941</v>
      </c>
      <c r="C639" s="29" t="s">
        <v>942</v>
      </c>
      <c r="D639" s="31">
        <f>SUMIFS(D640:D3130,K640:K3130,"0",B640:B3130,"1 2 4 2*")-SUMIFS(E640:E3130,K640:K3130,"0",B640:B3130,"1 2 4 2*")</f>
        <v>4300</v>
      </c>
      <c r="E639"/>
      <c r="F639" s="31">
        <f>SUMIFS(F640:F3130,K640:K3130,"0",B640:B3130,"1 2 4 2*")</f>
        <v>0</v>
      </c>
      <c r="G639" s="31">
        <f>SUMIFS(G640:G3130,K640:K3130,"0",B640:B3130,"1 2 4 2*")</f>
        <v>4300</v>
      </c>
      <c r="H639" s="31">
        <f t="shared" si="9"/>
        <v>0</v>
      </c>
      <c r="I639" s="31"/>
      <c r="K639" t="s">
        <v>13</v>
      </c>
    </row>
    <row r="640" spans="2:11" ht="13" x14ac:dyDescent="0.15">
      <c r="B640" s="29" t="s">
        <v>943</v>
      </c>
      <c r="C640" s="29" t="s">
        <v>944</v>
      </c>
      <c r="D640" s="31">
        <f>SUMIFS(D641:D3130,K641:K3130,"0",B641:B3130,"1 2 4 2 1*")-SUMIFS(E641:E3130,K641:K3130,"0",B641:B3130,"1 2 4 2 1*")</f>
        <v>4300</v>
      </c>
      <c r="E640"/>
      <c r="F640" s="31">
        <f>SUMIFS(F641:F3130,K641:K3130,"0",B641:B3130,"1 2 4 2 1*")</f>
        <v>0</v>
      </c>
      <c r="G640" s="31">
        <f>SUMIFS(G641:G3130,K641:K3130,"0",B641:B3130,"1 2 4 2 1*")</f>
        <v>4300</v>
      </c>
      <c r="H640" s="31">
        <f t="shared" si="9"/>
        <v>0</v>
      </c>
      <c r="I640" s="31"/>
      <c r="K640" t="s">
        <v>13</v>
      </c>
    </row>
    <row r="641" spans="2:11" ht="13" x14ac:dyDescent="0.15">
      <c r="B641" s="29" t="s">
        <v>945</v>
      </c>
      <c r="C641" s="29" t="s">
        <v>24</v>
      </c>
      <c r="D641" s="31">
        <f>SUMIFS(D642:D3130,K642:K3130,"0",B642:B3130,"1 2 4 2 1 12*")-SUMIFS(E642:E3130,K642:K3130,"0",B642:B3130,"1 2 4 2 1 12*")</f>
        <v>4300</v>
      </c>
      <c r="E641"/>
      <c r="F641" s="31">
        <f>SUMIFS(F642:F3130,K642:K3130,"0",B642:B3130,"1 2 4 2 1 12*")</f>
        <v>0</v>
      </c>
      <c r="G641" s="31">
        <f>SUMIFS(G642:G3130,K642:K3130,"0",B642:B3130,"1 2 4 2 1 12*")</f>
        <v>4300</v>
      </c>
      <c r="H641" s="31">
        <f t="shared" si="9"/>
        <v>0</v>
      </c>
      <c r="I641" s="31"/>
      <c r="K641" t="s">
        <v>13</v>
      </c>
    </row>
    <row r="642" spans="2:11" ht="13" x14ac:dyDescent="0.15">
      <c r="B642" s="29" t="s">
        <v>946</v>
      </c>
      <c r="C642" s="29" t="s">
        <v>26</v>
      </c>
      <c r="D642" s="31">
        <f>SUMIFS(D643:D3130,K643:K3130,"0",B643:B3130,"1 2 4 2 1 12 31111*")-SUMIFS(E643:E3130,K643:K3130,"0",B643:B3130,"1 2 4 2 1 12 31111*")</f>
        <v>4300</v>
      </c>
      <c r="E642"/>
      <c r="F642" s="31">
        <f>SUMIFS(F643:F3130,K643:K3130,"0",B643:B3130,"1 2 4 2 1 12 31111*")</f>
        <v>0</v>
      </c>
      <c r="G642" s="31">
        <f>SUMIFS(G643:G3130,K643:K3130,"0",B643:B3130,"1 2 4 2 1 12 31111*")</f>
        <v>4300</v>
      </c>
      <c r="H642" s="31">
        <f t="shared" si="9"/>
        <v>0</v>
      </c>
      <c r="I642" s="31"/>
      <c r="K642" t="s">
        <v>13</v>
      </c>
    </row>
    <row r="643" spans="2:11" ht="13" x14ac:dyDescent="0.15">
      <c r="B643" s="29" t="s">
        <v>947</v>
      </c>
      <c r="C643" s="29" t="s">
        <v>28</v>
      </c>
      <c r="D643" s="31">
        <f>SUMIFS(D644:D3130,K644:K3130,"0",B644:B3130,"1 2 4 2 1 12 31111 6*")-SUMIFS(E644:E3130,K644:K3130,"0",B644:B3130,"1 2 4 2 1 12 31111 6*")</f>
        <v>4300</v>
      </c>
      <c r="E643"/>
      <c r="F643" s="31">
        <f>SUMIFS(F644:F3130,K644:K3130,"0",B644:B3130,"1 2 4 2 1 12 31111 6*")</f>
        <v>0</v>
      </c>
      <c r="G643" s="31">
        <f>SUMIFS(G644:G3130,K644:K3130,"0",B644:B3130,"1 2 4 2 1 12 31111 6*")</f>
        <v>4300</v>
      </c>
      <c r="H643" s="31">
        <f t="shared" si="9"/>
        <v>0</v>
      </c>
      <c r="I643" s="31"/>
      <c r="K643" t="s">
        <v>13</v>
      </c>
    </row>
    <row r="644" spans="2:11" ht="13" x14ac:dyDescent="0.15">
      <c r="B644" s="29" t="s">
        <v>948</v>
      </c>
      <c r="C644" s="29" t="s">
        <v>949</v>
      </c>
      <c r="D644" s="31">
        <f>SUMIFS(D645:D3130,K645:K3130,"0",B645:B3130,"1 2 4 2 1 12 31111 6 M78*")-SUMIFS(E645:E3130,K645:K3130,"0",B645:B3130,"1 2 4 2 1 12 31111 6 M78*")</f>
        <v>4300</v>
      </c>
      <c r="E644"/>
      <c r="F644" s="31">
        <f>SUMIFS(F645:F3130,K645:K3130,"0",B645:B3130,"1 2 4 2 1 12 31111 6 M78*")</f>
        <v>0</v>
      </c>
      <c r="G644" s="31">
        <f>SUMIFS(G645:G3130,K645:K3130,"0",B645:B3130,"1 2 4 2 1 12 31111 6 M78*")</f>
        <v>4300</v>
      </c>
      <c r="H644" s="31">
        <f t="shared" si="9"/>
        <v>0</v>
      </c>
      <c r="I644" s="31"/>
      <c r="K644" t="s">
        <v>13</v>
      </c>
    </row>
    <row r="645" spans="2:11" ht="13" x14ac:dyDescent="0.15">
      <c r="B645" s="29" t="s">
        <v>950</v>
      </c>
      <c r="C645" s="29" t="s">
        <v>951</v>
      </c>
      <c r="D645" s="31">
        <f>SUMIFS(D646:D3130,K646:K3130,"0",B646:B3130,"1 2 4 2 1 12 31111 6 M78 07000*")-SUMIFS(E646:E3130,K646:K3130,"0",B646:B3130,"1 2 4 2 1 12 31111 6 M78 07000*")</f>
        <v>4300</v>
      </c>
      <c r="E645"/>
      <c r="F645" s="31">
        <f>SUMIFS(F646:F3130,K646:K3130,"0",B646:B3130,"1 2 4 2 1 12 31111 6 M78 07000*")</f>
        <v>0</v>
      </c>
      <c r="G645" s="31">
        <f>SUMIFS(G646:G3130,K646:K3130,"0",B646:B3130,"1 2 4 2 1 12 31111 6 M78 07000*")</f>
        <v>4300</v>
      </c>
      <c r="H645" s="31">
        <f t="shared" si="9"/>
        <v>0</v>
      </c>
      <c r="I645" s="31"/>
      <c r="K645" t="s">
        <v>13</v>
      </c>
    </row>
    <row r="646" spans="2:11" ht="13" x14ac:dyDescent="0.15">
      <c r="B646" s="29" t="s">
        <v>952</v>
      </c>
      <c r="C646" s="29" t="s">
        <v>588</v>
      </c>
      <c r="D646" s="31">
        <f>SUMIFS(D647:D3130,K647:K3130,"0",B647:B3130,"1 2 4 2 1 12 31111 6 M78 07000 151*")-SUMIFS(E647:E3130,K647:K3130,"0",B647:B3130,"1 2 4 2 1 12 31111 6 M78 07000 151*")</f>
        <v>4300</v>
      </c>
      <c r="E646"/>
      <c r="F646" s="31">
        <f>SUMIFS(F647:F3130,K647:K3130,"0",B647:B3130,"1 2 4 2 1 12 31111 6 M78 07000 151*")</f>
        <v>0</v>
      </c>
      <c r="G646" s="31">
        <f>SUMIFS(G647:G3130,K647:K3130,"0",B647:B3130,"1 2 4 2 1 12 31111 6 M78 07000 151*")</f>
        <v>4300</v>
      </c>
      <c r="H646" s="31">
        <f t="shared" si="9"/>
        <v>0</v>
      </c>
      <c r="I646" s="31"/>
      <c r="K646" t="s">
        <v>13</v>
      </c>
    </row>
    <row r="647" spans="2:11" ht="13" x14ac:dyDescent="0.15">
      <c r="B647" s="29" t="s">
        <v>953</v>
      </c>
      <c r="C647" s="29" t="s">
        <v>812</v>
      </c>
      <c r="D647" s="31">
        <f>SUMIFS(D648:D3130,K648:K3130,"0",B648:B3130,"1 2 4 2 1 12 31111 6 M78 07000 151 00E*")-SUMIFS(E648:E3130,K648:K3130,"0",B648:B3130,"1 2 4 2 1 12 31111 6 M78 07000 151 00E*")</f>
        <v>4300</v>
      </c>
      <c r="E647"/>
      <c r="F647" s="31">
        <f>SUMIFS(F648:F3130,K648:K3130,"0",B648:B3130,"1 2 4 2 1 12 31111 6 M78 07000 151 00E*")</f>
        <v>0</v>
      </c>
      <c r="G647" s="31">
        <f>SUMIFS(G648:G3130,K648:K3130,"0",B648:B3130,"1 2 4 2 1 12 31111 6 M78 07000 151 00E*")</f>
        <v>4300</v>
      </c>
      <c r="H647" s="31">
        <f t="shared" si="9"/>
        <v>0</v>
      </c>
      <c r="I647" s="31"/>
      <c r="K647" t="s">
        <v>13</v>
      </c>
    </row>
    <row r="648" spans="2:11" ht="13" x14ac:dyDescent="0.15">
      <c r="B648" s="29" t="s">
        <v>954</v>
      </c>
      <c r="C648" s="29" t="s">
        <v>267</v>
      </c>
      <c r="D648" s="31">
        <f>SUMIFS(D649:D3130,K649:K3130,"0",B649:B3130,"1 2 4 2 1 12 31111 6 M78 07000 151 00E 002*")-SUMIFS(E649:E3130,K649:K3130,"0",B649:B3130,"1 2 4 2 1 12 31111 6 M78 07000 151 00E 002*")</f>
        <v>4300</v>
      </c>
      <c r="E648"/>
      <c r="F648" s="31">
        <f>SUMIFS(F649:F3130,K649:K3130,"0",B649:B3130,"1 2 4 2 1 12 31111 6 M78 07000 151 00E 002*")</f>
        <v>0</v>
      </c>
      <c r="G648" s="31">
        <f>SUMIFS(G649:G3130,K649:K3130,"0",B649:B3130,"1 2 4 2 1 12 31111 6 M78 07000 151 00E 002*")</f>
        <v>4300</v>
      </c>
      <c r="H648" s="31">
        <f t="shared" si="9"/>
        <v>0</v>
      </c>
      <c r="I648" s="31"/>
      <c r="K648" t="s">
        <v>13</v>
      </c>
    </row>
    <row r="649" spans="2:11" ht="13" x14ac:dyDescent="0.15">
      <c r="B649" s="29" t="s">
        <v>955</v>
      </c>
      <c r="C649" s="29" t="s">
        <v>956</v>
      </c>
      <c r="D649" s="31">
        <f>SUMIFS(D650:D3130,K650:K3130,"0",B650:B3130,"1 2 4 2 1 12 31111 6 M78 07000 151 00E 002 52101*")-SUMIFS(E650:E3130,K650:K3130,"0",B650:B3130,"1 2 4 2 1 12 31111 6 M78 07000 151 00E 002 52101*")</f>
        <v>4300</v>
      </c>
      <c r="E649"/>
      <c r="F649" s="31">
        <f>SUMIFS(F650:F3130,K650:K3130,"0",B650:B3130,"1 2 4 2 1 12 31111 6 M78 07000 151 00E 002 52101*")</f>
        <v>0</v>
      </c>
      <c r="G649" s="31">
        <f>SUMIFS(G650:G3130,K650:K3130,"0",B650:B3130,"1 2 4 2 1 12 31111 6 M78 07000 151 00E 002 52101*")</f>
        <v>4300</v>
      </c>
      <c r="H649" s="31">
        <f t="shared" si="9"/>
        <v>0</v>
      </c>
      <c r="I649" s="31"/>
      <c r="K649" t="s">
        <v>13</v>
      </c>
    </row>
    <row r="650" spans="2:11" ht="22" x14ac:dyDescent="0.15">
      <c r="B650" s="29" t="s">
        <v>957</v>
      </c>
      <c r="C650" s="29" t="s">
        <v>816</v>
      </c>
      <c r="D650" s="31">
        <f>SUMIFS(D651:D3130,K651:K3130,"0",B651:B3130,"1 2 4 2 1 12 31111 6 M78 07000 151 00E 002 52101 011*")-SUMIFS(E651:E3130,K651:K3130,"0",B651:B3130,"1 2 4 2 1 12 31111 6 M78 07000 151 00E 002 52101 011*")</f>
        <v>4300</v>
      </c>
      <c r="E650"/>
      <c r="F650" s="31">
        <f>SUMIFS(F651:F3130,K651:K3130,"0",B651:B3130,"1 2 4 2 1 12 31111 6 M78 07000 151 00E 002 52101 011*")</f>
        <v>0</v>
      </c>
      <c r="G650" s="31">
        <f>SUMIFS(G651:G3130,K651:K3130,"0",B651:B3130,"1 2 4 2 1 12 31111 6 M78 07000 151 00E 002 52101 011*")</f>
        <v>4300</v>
      </c>
      <c r="H650" s="31">
        <f t="shared" ref="H650:H713" si="10">D650 + F650 - G650</f>
        <v>0</v>
      </c>
      <c r="I650" s="31"/>
      <c r="K650" t="s">
        <v>13</v>
      </c>
    </row>
    <row r="651" spans="2:11" ht="22" x14ac:dyDescent="0.15">
      <c r="B651" s="29" t="s">
        <v>958</v>
      </c>
      <c r="C651" s="29" t="s">
        <v>595</v>
      </c>
      <c r="D651" s="31">
        <f>SUMIFS(D652:D3130,K652:K3130,"0",B652:B3130,"1 2 4 2 1 12 31111 6 M78 07000 151 00E 002 52101 011 2112000*")-SUMIFS(E652:E3130,K652:K3130,"0",B652:B3130,"1 2 4 2 1 12 31111 6 M78 07000 151 00E 002 52101 011 2112000*")</f>
        <v>4300</v>
      </c>
      <c r="E651"/>
      <c r="F651" s="31">
        <f>SUMIFS(F652:F3130,K652:K3130,"0",B652:B3130,"1 2 4 2 1 12 31111 6 M78 07000 151 00E 002 52101 011 2112000*")</f>
        <v>0</v>
      </c>
      <c r="G651" s="31">
        <f>SUMIFS(G652:G3130,K652:K3130,"0",B652:B3130,"1 2 4 2 1 12 31111 6 M78 07000 151 00E 002 52101 011 2112000*")</f>
        <v>4300</v>
      </c>
      <c r="H651" s="31">
        <f t="shared" si="10"/>
        <v>0</v>
      </c>
      <c r="I651" s="31"/>
      <c r="K651" t="s">
        <v>13</v>
      </c>
    </row>
    <row r="652" spans="2:11" ht="22" x14ac:dyDescent="0.15">
      <c r="B652" s="29" t="s">
        <v>959</v>
      </c>
      <c r="C652" s="29" t="s">
        <v>597</v>
      </c>
      <c r="D652" s="31">
        <f>SUMIFS(D653:D3130,K653:K3130,"0",B653:B3130,"1 2 4 2 1 12 31111 6 M78 07000 151 00E 002 52101 011 2112000 2019*")-SUMIFS(E653:E3130,K653:K3130,"0",B653:B3130,"1 2 4 2 1 12 31111 6 M78 07000 151 00E 002 52101 011 2112000 2019*")</f>
        <v>4300</v>
      </c>
      <c r="E652"/>
      <c r="F652" s="31">
        <f>SUMIFS(F653:F3130,K653:K3130,"0",B653:B3130,"1 2 4 2 1 12 31111 6 M78 07000 151 00E 002 52101 011 2112000 2019*")</f>
        <v>0</v>
      </c>
      <c r="G652" s="31">
        <f>SUMIFS(G653:G3130,K653:K3130,"0",B653:B3130,"1 2 4 2 1 12 31111 6 M78 07000 151 00E 002 52101 011 2112000 2019*")</f>
        <v>4300</v>
      </c>
      <c r="H652" s="31">
        <f t="shared" si="10"/>
        <v>0</v>
      </c>
      <c r="I652" s="31"/>
      <c r="K652" t="s">
        <v>13</v>
      </c>
    </row>
    <row r="653" spans="2:11" ht="22" x14ac:dyDescent="0.15">
      <c r="B653" s="29" t="s">
        <v>960</v>
      </c>
      <c r="C653" s="29" t="s">
        <v>961</v>
      </c>
      <c r="D653" s="31">
        <f>SUMIFS(D654:D3130,K654:K3130,"0",B654:B3130,"1 2 4 2 1 12 31111 6 M78 07000 151 00E 002 52101 011 2112000 2019 00000000*")-SUMIFS(E654:E3130,K654:K3130,"0",B654:B3130,"1 2 4 2 1 12 31111 6 M78 07000 151 00E 002 52101 011 2112000 2019 00000000*")</f>
        <v>4300</v>
      </c>
      <c r="E653"/>
      <c r="F653" s="31">
        <f>SUMIFS(F654:F3130,K654:K3130,"0",B654:B3130,"1 2 4 2 1 12 31111 6 M78 07000 151 00E 002 52101 011 2112000 2019 00000000*")</f>
        <v>0</v>
      </c>
      <c r="G653" s="31">
        <f>SUMIFS(G654:G3130,K654:K3130,"0",B654:B3130,"1 2 4 2 1 12 31111 6 M78 07000 151 00E 002 52101 011 2112000 2019 00000000*")</f>
        <v>4300</v>
      </c>
      <c r="H653" s="31">
        <f t="shared" si="10"/>
        <v>0</v>
      </c>
      <c r="I653" s="31"/>
      <c r="K653" t="s">
        <v>13</v>
      </c>
    </row>
    <row r="654" spans="2:11" ht="22" x14ac:dyDescent="0.15">
      <c r="B654" s="29" t="s">
        <v>962</v>
      </c>
      <c r="C654" s="29" t="s">
        <v>67</v>
      </c>
      <c r="D654" s="31">
        <f>SUMIFS(D655:D3130,K655:K3130,"0",B655:B3130,"1 2 4 2 1 12 31111 6 M78 07000 151 00E 002 52101 011 2112000 2019 00000000 005*")-SUMIFS(E655:E3130,K655:K3130,"0",B655:B3130,"1 2 4 2 1 12 31111 6 M78 07000 151 00E 002 52101 011 2112000 2019 00000000 005*")</f>
        <v>4300</v>
      </c>
      <c r="E654"/>
      <c r="F654" s="31">
        <f>SUMIFS(F655:F3130,K655:K3130,"0",B655:B3130,"1 2 4 2 1 12 31111 6 M78 07000 151 00E 002 52101 011 2112000 2019 00000000 005*")</f>
        <v>0</v>
      </c>
      <c r="G654" s="31">
        <f>SUMIFS(G655:G3130,K655:K3130,"0",B655:B3130,"1 2 4 2 1 12 31111 6 M78 07000 151 00E 002 52101 011 2112000 2019 00000000 005*")</f>
        <v>4300</v>
      </c>
      <c r="H654" s="31">
        <f t="shared" si="10"/>
        <v>0</v>
      </c>
      <c r="I654" s="31"/>
      <c r="K654" t="s">
        <v>13</v>
      </c>
    </row>
    <row r="655" spans="2:11" ht="22" x14ac:dyDescent="0.15">
      <c r="B655" s="29" t="s">
        <v>963</v>
      </c>
      <c r="C655" s="29" t="s">
        <v>928</v>
      </c>
      <c r="D655" s="31">
        <f>SUMIFS(D656:D3130,K656:K3130,"0",B656:B3130,"1 2 4 2 1 12 31111 6 M78 07000 151 00E 002 52101 011 2112000 2019 00000000 005 007*")-SUMIFS(E656:E3130,K656:K3130,"0",B656:B3130,"1 2 4 2 1 12 31111 6 M78 07000 151 00E 002 52101 011 2112000 2019 00000000 005 007*")</f>
        <v>4300</v>
      </c>
      <c r="E655"/>
      <c r="F655" s="31">
        <f>SUMIFS(F656:F3130,K656:K3130,"0",B656:B3130,"1 2 4 2 1 12 31111 6 M78 07000 151 00E 002 52101 011 2112000 2019 00000000 005 007*")</f>
        <v>0</v>
      </c>
      <c r="G655" s="31">
        <f>SUMIFS(G656:G3130,K656:K3130,"0",B656:B3130,"1 2 4 2 1 12 31111 6 M78 07000 151 00E 002 52101 011 2112000 2019 00000000 005 007*")</f>
        <v>4300</v>
      </c>
      <c r="H655" s="31">
        <f t="shared" si="10"/>
        <v>0</v>
      </c>
      <c r="I655" s="31"/>
      <c r="K655" t="s">
        <v>13</v>
      </c>
    </row>
    <row r="656" spans="2:11" ht="22" x14ac:dyDescent="0.15">
      <c r="B656" s="27" t="s">
        <v>964</v>
      </c>
      <c r="C656" s="27" t="s">
        <v>965</v>
      </c>
      <c r="D656" s="30">
        <v>4300</v>
      </c>
      <c r="E656" s="30"/>
      <c r="F656" s="30">
        <v>0</v>
      </c>
      <c r="G656" s="30">
        <v>4300</v>
      </c>
      <c r="H656" s="30">
        <f t="shared" si="10"/>
        <v>0</v>
      </c>
      <c r="I656" s="30"/>
      <c r="K656" t="s">
        <v>37</v>
      </c>
    </row>
    <row r="657" spans="2:11" ht="13" x14ac:dyDescent="0.15">
      <c r="B657" s="29" t="s">
        <v>966</v>
      </c>
      <c r="C657" s="29" t="s">
        <v>967</v>
      </c>
      <c r="D657" s="31">
        <f>SUMIFS(D658:D3130,K658:K3130,"0",B658:B3130,"1 2 4 4*")-SUMIFS(E658:E3130,K658:K3130,"0",B658:B3130,"1 2 4 4*")</f>
        <v>3617254.8499999996</v>
      </c>
      <c r="E657"/>
      <c r="F657" s="31">
        <f>SUMIFS(F658:F3130,K658:K3130,"0",B658:B3130,"1 2 4 4*")</f>
        <v>409900</v>
      </c>
      <c r="G657" s="31">
        <f>SUMIFS(G658:G3130,K658:K3130,"0",B658:B3130,"1 2 4 4*")</f>
        <v>1329156.8799999999</v>
      </c>
      <c r="H657" s="31">
        <f t="shared" si="10"/>
        <v>2697997.9699999997</v>
      </c>
      <c r="I657" s="31"/>
      <c r="K657" t="s">
        <v>13</v>
      </c>
    </row>
    <row r="658" spans="2:11" ht="13" x14ac:dyDescent="0.15">
      <c r="B658" s="29" t="s">
        <v>968</v>
      </c>
      <c r="C658" s="29" t="s">
        <v>969</v>
      </c>
      <c r="D658" s="31">
        <f>SUMIFS(D659:D3130,K659:K3130,"0",B659:B3130,"1 2 4 4 1*")-SUMIFS(E659:E3130,K659:K3130,"0",B659:B3130,"1 2 4 4 1*")</f>
        <v>3617254.8499999996</v>
      </c>
      <c r="E658"/>
      <c r="F658" s="31">
        <f>SUMIFS(F659:F3130,K659:K3130,"0",B659:B3130,"1 2 4 4 1*")</f>
        <v>409900</v>
      </c>
      <c r="G658" s="31">
        <f>SUMIFS(G659:G3130,K659:K3130,"0",B659:B3130,"1 2 4 4 1*")</f>
        <v>1329156.8799999999</v>
      </c>
      <c r="H658" s="31">
        <f t="shared" si="10"/>
        <v>2697997.9699999997</v>
      </c>
      <c r="I658" s="31"/>
      <c r="K658" t="s">
        <v>13</v>
      </c>
    </row>
    <row r="659" spans="2:11" ht="13" x14ac:dyDescent="0.15">
      <c r="B659" s="29" t="s">
        <v>970</v>
      </c>
      <c r="C659" s="29" t="s">
        <v>24</v>
      </c>
      <c r="D659" s="31">
        <f>SUMIFS(D660:D3130,K660:K3130,"0",B660:B3130,"1 2 4 4 1 12*")-SUMIFS(E660:E3130,K660:K3130,"0",B660:B3130,"1 2 4 4 1 12*")</f>
        <v>3617254.8499999996</v>
      </c>
      <c r="E659"/>
      <c r="F659" s="31">
        <f>SUMIFS(F660:F3130,K660:K3130,"0",B660:B3130,"1 2 4 4 1 12*")</f>
        <v>409900</v>
      </c>
      <c r="G659" s="31">
        <f>SUMIFS(G660:G3130,K660:K3130,"0",B660:B3130,"1 2 4 4 1 12*")</f>
        <v>1329156.8799999999</v>
      </c>
      <c r="H659" s="31">
        <f t="shared" si="10"/>
        <v>2697997.9699999997</v>
      </c>
      <c r="I659" s="31"/>
      <c r="K659" t="s">
        <v>13</v>
      </c>
    </row>
    <row r="660" spans="2:11" ht="13" x14ac:dyDescent="0.15">
      <c r="B660" s="29" t="s">
        <v>971</v>
      </c>
      <c r="C660" s="29" t="s">
        <v>26</v>
      </c>
      <c r="D660" s="31">
        <f>SUMIFS(D661:D3130,K661:K3130,"0",B661:B3130,"1 2 4 4 1 12 31111*")-SUMIFS(E661:E3130,K661:K3130,"0",B661:B3130,"1 2 4 4 1 12 31111*")</f>
        <v>3617254.8499999996</v>
      </c>
      <c r="E660"/>
      <c r="F660" s="31">
        <f>SUMIFS(F661:F3130,K661:K3130,"0",B661:B3130,"1 2 4 4 1 12 31111*")</f>
        <v>409900</v>
      </c>
      <c r="G660" s="31">
        <f>SUMIFS(G661:G3130,K661:K3130,"0",B661:B3130,"1 2 4 4 1 12 31111*")</f>
        <v>1329156.8799999999</v>
      </c>
      <c r="H660" s="31">
        <f t="shared" si="10"/>
        <v>2697997.9699999997</v>
      </c>
      <c r="I660" s="31"/>
      <c r="K660" t="s">
        <v>13</v>
      </c>
    </row>
    <row r="661" spans="2:11" ht="13" x14ac:dyDescent="0.15">
      <c r="B661" s="29" t="s">
        <v>972</v>
      </c>
      <c r="C661" s="29" t="s">
        <v>28</v>
      </c>
      <c r="D661" s="31">
        <f>SUMIFS(D662:D3130,K662:K3130,"0",B662:B3130,"1 2 4 4 1 12 31111 6*")-SUMIFS(E662:E3130,K662:K3130,"0",B662:B3130,"1 2 4 4 1 12 31111 6*")</f>
        <v>3617254.8499999996</v>
      </c>
      <c r="E661"/>
      <c r="F661" s="31">
        <f>SUMIFS(F662:F3130,K662:K3130,"0",B662:B3130,"1 2 4 4 1 12 31111 6*")</f>
        <v>409900</v>
      </c>
      <c r="G661" s="31">
        <f>SUMIFS(G662:G3130,K662:K3130,"0",B662:B3130,"1 2 4 4 1 12 31111 6*")</f>
        <v>1329156.8799999999</v>
      </c>
      <c r="H661" s="31">
        <f t="shared" si="10"/>
        <v>2697997.9699999997</v>
      </c>
      <c r="I661" s="31"/>
      <c r="K661" t="s">
        <v>13</v>
      </c>
    </row>
    <row r="662" spans="2:11" ht="13" x14ac:dyDescent="0.15">
      <c r="B662" s="29" t="s">
        <v>973</v>
      </c>
      <c r="C662" s="29" t="s">
        <v>30</v>
      </c>
      <c r="D662" s="31">
        <f>SUMIFS(D663:D3130,K663:K3130,"0",B663:B3130,"1 2 4 4 1 12 31111 6 M78*")-SUMIFS(E663:E3130,K663:K3130,"0",B663:B3130,"1 2 4 4 1 12 31111 6 M78*")</f>
        <v>3617254.8499999996</v>
      </c>
      <c r="E662"/>
      <c r="F662" s="31">
        <f>SUMIFS(F663:F3130,K663:K3130,"0",B663:B3130,"1 2 4 4 1 12 31111 6 M78*")</f>
        <v>409900</v>
      </c>
      <c r="G662" s="31">
        <f>SUMIFS(G663:G3130,K663:K3130,"0",B663:B3130,"1 2 4 4 1 12 31111 6 M78*")</f>
        <v>1329156.8799999999</v>
      </c>
      <c r="H662" s="31">
        <f t="shared" si="10"/>
        <v>2697997.9699999997</v>
      </c>
      <c r="I662" s="31"/>
      <c r="K662" t="s">
        <v>13</v>
      </c>
    </row>
    <row r="663" spans="2:11" ht="13" x14ac:dyDescent="0.15">
      <c r="B663" s="29" t="s">
        <v>974</v>
      </c>
      <c r="C663" s="29" t="s">
        <v>521</v>
      </c>
      <c r="D663" s="31">
        <f>SUMIFS(D664:D3130,K664:K3130,"0",B664:B3130,"1 2 4 4 1 12 31111 6 M78 00000*")-SUMIFS(E664:E3130,K664:K3130,"0",B664:B3130,"1 2 4 4 1 12 31111 6 M78 00000*")</f>
        <v>1977554.8499999999</v>
      </c>
      <c r="E663"/>
      <c r="F663" s="31">
        <f>SUMIFS(F664:F3130,K664:K3130,"0",B664:B3130,"1 2 4 4 1 12 31111 6 M78 00000*")</f>
        <v>0</v>
      </c>
      <c r="G663" s="31">
        <f>SUMIFS(G664:G3130,K664:K3130,"0",B664:B3130,"1 2 4 4 1 12 31111 6 M78 00000*")</f>
        <v>919256.87999999989</v>
      </c>
      <c r="H663" s="31">
        <f t="shared" si="10"/>
        <v>1058297.97</v>
      </c>
      <c r="I663" s="31"/>
      <c r="K663" t="s">
        <v>13</v>
      </c>
    </row>
    <row r="664" spans="2:11" ht="13" x14ac:dyDescent="0.15">
      <c r="B664" s="29" t="s">
        <v>975</v>
      </c>
      <c r="C664" s="29" t="s">
        <v>32</v>
      </c>
      <c r="D664" s="31">
        <f>SUMIFS(D665:D3130,K665:K3130,"0",B665:B3130,"1 2 4 4 1 12 31111 6 M78 00000 001*")-SUMIFS(E665:E3130,K665:K3130,"0",B665:B3130,"1 2 4 4 1 12 31111 6 M78 00000 001*")</f>
        <v>274735</v>
      </c>
      <c r="E664"/>
      <c r="F664" s="31">
        <f>SUMIFS(F665:F3130,K665:K3130,"0",B665:B3130,"1 2 4 4 1 12 31111 6 M78 00000 001*")</f>
        <v>0</v>
      </c>
      <c r="G664" s="31">
        <f>SUMIFS(G665:G3130,K665:K3130,"0",B665:B3130,"1 2 4 4 1 12 31111 6 M78 00000 001*")</f>
        <v>40000</v>
      </c>
      <c r="H664" s="31">
        <f t="shared" si="10"/>
        <v>234735</v>
      </c>
      <c r="I664" s="31"/>
      <c r="K664" t="s">
        <v>13</v>
      </c>
    </row>
    <row r="665" spans="2:11" ht="13" x14ac:dyDescent="0.15">
      <c r="B665" s="29" t="s">
        <v>976</v>
      </c>
      <c r="C665" s="29" t="s">
        <v>524</v>
      </c>
      <c r="D665" s="31">
        <f>SUMIFS(D666:D3130,K666:K3130,"0",B666:B3130,"1 2 4 4 1 12 31111 6 M78 00000 001 001*")-SUMIFS(E666:E3130,K666:K3130,"0",B666:B3130,"1 2 4 4 1 12 31111 6 M78 00000 001 001*")</f>
        <v>274735</v>
      </c>
      <c r="E665"/>
      <c r="F665" s="31">
        <f>SUMIFS(F666:F3130,K666:K3130,"0",B666:B3130,"1 2 4 4 1 12 31111 6 M78 00000 001 001*")</f>
        <v>0</v>
      </c>
      <c r="G665" s="31">
        <f>SUMIFS(G666:G3130,K666:K3130,"0",B666:B3130,"1 2 4 4 1 12 31111 6 M78 00000 001 001*")</f>
        <v>40000</v>
      </c>
      <c r="H665" s="31">
        <f t="shared" si="10"/>
        <v>234735</v>
      </c>
      <c r="I665" s="31"/>
      <c r="K665" t="s">
        <v>13</v>
      </c>
    </row>
    <row r="666" spans="2:11" ht="13" x14ac:dyDescent="0.15">
      <c r="B666" s="29" t="s">
        <v>977</v>
      </c>
      <c r="C666" s="29" t="s">
        <v>978</v>
      </c>
      <c r="D666" s="31">
        <f>SUMIFS(D667:D3130,K667:K3130,"0",B667:B3130,"1 2 4 4 1 12 31111 6 M78 00000 001 001 001*")-SUMIFS(E667:E3130,K667:K3130,"0",B667:B3130,"1 2 4 4 1 12 31111 6 M78 00000 001 001 001*")</f>
        <v>274735</v>
      </c>
      <c r="E666"/>
      <c r="F666" s="31">
        <f>SUMIFS(F667:F3130,K667:K3130,"0",B667:B3130,"1 2 4 4 1 12 31111 6 M78 00000 001 001 001*")</f>
        <v>0</v>
      </c>
      <c r="G666" s="31">
        <f>SUMIFS(G667:G3130,K667:K3130,"0",B667:B3130,"1 2 4 4 1 12 31111 6 M78 00000 001 001 001*")</f>
        <v>40000</v>
      </c>
      <c r="H666" s="31">
        <f t="shared" si="10"/>
        <v>234735</v>
      </c>
      <c r="I666" s="31"/>
      <c r="K666" t="s">
        <v>13</v>
      </c>
    </row>
    <row r="667" spans="2:11" ht="13" x14ac:dyDescent="0.15">
      <c r="B667" s="29" t="s">
        <v>979</v>
      </c>
      <c r="C667" s="29" t="s">
        <v>611</v>
      </c>
      <c r="D667" s="31">
        <f>SUMIFS(D668:D3130,K668:K3130,"0",B668:B3130,"1 2 4 4 1 12 31111 6 M78 00000 001 001 001 00001*")-SUMIFS(E668:E3130,K668:K3130,"0",B668:B3130,"1 2 4 4 1 12 31111 6 M78 00000 001 001 001 00001*")</f>
        <v>194735</v>
      </c>
      <c r="E667"/>
      <c r="F667" s="31">
        <f>SUMIFS(F668:F3130,K668:K3130,"0",B668:B3130,"1 2 4 4 1 12 31111 6 M78 00000 001 001 001 00001*")</f>
        <v>0</v>
      </c>
      <c r="G667" s="31">
        <f>SUMIFS(G668:G3130,K668:K3130,"0",B668:B3130,"1 2 4 4 1 12 31111 6 M78 00000 001 001 001 00001*")</f>
        <v>0</v>
      </c>
      <c r="H667" s="31">
        <f t="shared" si="10"/>
        <v>194735</v>
      </c>
      <c r="I667" s="31"/>
      <c r="K667" t="s">
        <v>13</v>
      </c>
    </row>
    <row r="668" spans="2:11" ht="22" x14ac:dyDescent="0.15">
      <c r="B668" s="27" t="s">
        <v>980</v>
      </c>
      <c r="C668" s="27" t="s">
        <v>981</v>
      </c>
      <c r="D668" s="30">
        <v>194735</v>
      </c>
      <c r="E668" s="30"/>
      <c r="F668" s="30">
        <v>0</v>
      </c>
      <c r="G668" s="30">
        <v>0</v>
      </c>
      <c r="H668" s="30">
        <f t="shared" si="10"/>
        <v>194735</v>
      </c>
      <c r="I668" s="30"/>
      <c r="K668" t="s">
        <v>37</v>
      </c>
    </row>
    <row r="669" spans="2:11" ht="13" x14ac:dyDescent="0.15">
      <c r="B669" s="29" t="s">
        <v>982</v>
      </c>
      <c r="C669" s="29" t="s">
        <v>32</v>
      </c>
      <c r="D669" s="31">
        <f>SUMIFS(D670:D3130,K670:K3130,"0",B670:B3130,"1 2 4 4 1 12 31111 6 M78 00000 001 001 001 00002*")-SUMIFS(E670:E3130,K670:K3130,"0",B670:B3130,"1 2 4 4 1 12 31111 6 M78 00000 001 001 001 00002*")</f>
        <v>40000</v>
      </c>
      <c r="E669"/>
      <c r="F669" s="31">
        <f>SUMIFS(F670:F3130,K670:K3130,"0",B670:B3130,"1 2 4 4 1 12 31111 6 M78 00000 001 001 001 00002*")</f>
        <v>0</v>
      </c>
      <c r="G669" s="31">
        <f>SUMIFS(G670:G3130,K670:K3130,"0",B670:B3130,"1 2 4 4 1 12 31111 6 M78 00000 001 001 001 00002*")</f>
        <v>0</v>
      </c>
      <c r="H669" s="31">
        <f t="shared" si="10"/>
        <v>40000</v>
      </c>
      <c r="I669" s="31"/>
      <c r="K669" t="s">
        <v>13</v>
      </c>
    </row>
    <row r="670" spans="2:11" ht="22" x14ac:dyDescent="0.15">
      <c r="B670" s="27" t="s">
        <v>983</v>
      </c>
      <c r="C670" s="27" t="s">
        <v>984</v>
      </c>
      <c r="D670" s="30">
        <v>40000</v>
      </c>
      <c r="E670" s="30"/>
      <c r="F670" s="30">
        <v>0</v>
      </c>
      <c r="G670" s="30">
        <v>0</v>
      </c>
      <c r="H670" s="30">
        <f t="shared" si="10"/>
        <v>40000</v>
      </c>
      <c r="I670" s="30"/>
      <c r="K670" t="s">
        <v>37</v>
      </c>
    </row>
    <row r="671" spans="2:11" ht="13" x14ac:dyDescent="0.15">
      <c r="B671" s="29" t="s">
        <v>985</v>
      </c>
      <c r="C671" s="29" t="s">
        <v>666</v>
      </c>
      <c r="D671" s="31">
        <f>SUMIFS(D672:D3130,K672:K3130,"0",B672:B3130,"1 2 4 4 1 12 31111 6 M78 00000 001 001 001 00003*")-SUMIFS(E672:E3130,K672:K3130,"0",B672:B3130,"1 2 4 4 1 12 31111 6 M78 00000 001 001 001 00003*")</f>
        <v>40000</v>
      </c>
      <c r="E671"/>
      <c r="F671" s="31">
        <f>SUMIFS(F672:F3130,K672:K3130,"0",B672:B3130,"1 2 4 4 1 12 31111 6 M78 00000 001 001 001 00003*")</f>
        <v>0</v>
      </c>
      <c r="G671" s="31">
        <f>SUMIFS(G672:G3130,K672:K3130,"0",B672:B3130,"1 2 4 4 1 12 31111 6 M78 00000 001 001 001 00003*")</f>
        <v>40000</v>
      </c>
      <c r="H671" s="31">
        <f t="shared" si="10"/>
        <v>0</v>
      </c>
      <c r="I671" s="31"/>
      <c r="K671" t="s">
        <v>13</v>
      </c>
    </row>
    <row r="672" spans="2:11" ht="22" x14ac:dyDescent="0.15">
      <c r="B672" s="27" t="s">
        <v>986</v>
      </c>
      <c r="C672" s="27" t="s">
        <v>987</v>
      </c>
      <c r="D672" s="30">
        <v>40000</v>
      </c>
      <c r="E672" s="30"/>
      <c r="F672" s="30">
        <v>0</v>
      </c>
      <c r="G672" s="30">
        <v>40000</v>
      </c>
      <c r="H672" s="30">
        <f t="shared" si="10"/>
        <v>0</v>
      </c>
      <c r="I672" s="30"/>
      <c r="K672" t="s">
        <v>37</v>
      </c>
    </row>
    <row r="673" spans="2:11" ht="13" x14ac:dyDescent="0.15">
      <c r="B673" s="29" t="s">
        <v>988</v>
      </c>
      <c r="C673" s="29" t="s">
        <v>989</v>
      </c>
      <c r="D673" s="31">
        <f>SUMIFS(D674:D3130,K674:K3130,"0",B674:B3130,"1 2 4 4 1 12 31111 6 M78 00000 002*")-SUMIFS(E674:E3130,K674:K3130,"0",B674:B3130,"1 2 4 4 1 12 31111 6 M78 00000 002*")</f>
        <v>330000</v>
      </c>
      <c r="E673"/>
      <c r="F673" s="31">
        <f>SUMIFS(F674:F3130,K674:K3130,"0",B674:B3130,"1 2 4 4 1 12 31111 6 M78 00000 002*")</f>
        <v>0</v>
      </c>
      <c r="G673" s="31">
        <f>SUMIFS(G674:G3130,K674:K3130,"0",B674:B3130,"1 2 4 4 1 12 31111 6 M78 00000 002*")</f>
        <v>150000</v>
      </c>
      <c r="H673" s="31">
        <f t="shared" si="10"/>
        <v>180000</v>
      </c>
      <c r="I673" s="31"/>
      <c r="K673" t="s">
        <v>13</v>
      </c>
    </row>
    <row r="674" spans="2:11" ht="13" x14ac:dyDescent="0.15">
      <c r="B674" s="29" t="s">
        <v>990</v>
      </c>
      <c r="C674" s="29" t="s">
        <v>101</v>
      </c>
      <c r="D674" s="31">
        <f>SUMIFS(D675:D3130,K675:K3130,"0",B675:B3130,"1 2 4 4 1 12 31111 6 M78 00000 002 002*")-SUMIFS(E675:E3130,K675:K3130,"0",B675:B3130,"1 2 4 4 1 12 31111 6 M78 00000 002 002*")</f>
        <v>330000</v>
      </c>
      <c r="E674"/>
      <c r="F674" s="31">
        <f>SUMIFS(F675:F3130,K675:K3130,"0",B675:B3130,"1 2 4 4 1 12 31111 6 M78 00000 002 002*")</f>
        <v>0</v>
      </c>
      <c r="G674" s="31">
        <f>SUMIFS(G675:G3130,K675:K3130,"0",B675:B3130,"1 2 4 4 1 12 31111 6 M78 00000 002 002*")</f>
        <v>150000</v>
      </c>
      <c r="H674" s="31">
        <f t="shared" si="10"/>
        <v>180000</v>
      </c>
      <c r="I674" s="31"/>
      <c r="K674" t="s">
        <v>13</v>
      </c>
    </row>
    <row r="675" spans="2:11" ht="13" x14ac:dyDescent="0.15">
      <c r="B675" s="29" t="s">
        <v>991</v>
      </c>
      <c r="C675" s="29" t="s">
        <v>992</v>
      </c>
      <c r="D675" s="31">
        <f>SUMIFS(D676:D3130,K676:K3130,"0",B676:B3130,"1 2 4 4 1 12 31111 6 M78 00000 002 002 001*")-SUMIFS(E676:E3130,K676:K3130,"0",B676:B3130,"1 2 4 4 1 12 31111 6 M78 00000 002 002 001*")</f>
        <v>330000</v>
      </c>
      <c r="E675"/>
      <c r="F675" s="31">
        <f>SUMIFS(F676:F3130,K676:K3130,"0",B676:B3130,"1 2 4 4 1 12 31111 6 M78 00000 002 002 001*")</f>
        <v>0</v>
      </c>
      <c r="G675" s="31">
        <f>SUMIFS(G676:G3130,K676:K3130,"0",B676:B3130,"1 2 4 4 1 12 31111 6 M78 00000 002 002 001*")</f>
        <v>150000</v>
      </c>
      <c r="H675" s="31">
        <f t="shared" si="10"/>
        <v>180000</v>
      </c>
      <c r="I675" s="31"/>
      <c r="K675" t="s">
        <v>13</v>
      </c>
    </row>
    <row r="676" spans="2:11" ht="13" x14ac:dyDescent="0.15">
      <c r="B676" s="27" t="s">
        <v>993</v>
      </c>
      <c r="C676" s="27" t="s">
        <v>994</v>
      </c>
      <c r="D676" s="30">
        <v>180000</v>
      </c>
      <c r="E676" s="30"/>
      <c r="F676" s="30">
        <v>0</v>
      </c>
      <c r="G676" s="30">
        <v>0</v>
      </c>
      <c r="H676" s="30">
        <f t="shared" si="10"/>
        <v>180000</v>
      </c>
      <c r="I676" s="30"/>
      <c r="K676" t="s">
        <v>37</v>
      </c>
    </row>
    <row r="677" spans="2:11" ht="13" x14ac:dyDescent="0.15">
      <c r="B677" s="27" t="s">
        <v>995</v>
      </c>
      <c r="C677" s="27" t="s">
        <v>996</v>
      </c>
      <c r="D677" s="30">
        <v>150000</v>
      </c>
      <c r="E677" s="30"/>
      <c r="F677" s="30">
        <v>0</v>
      </c>
      <c r="G677" s="30">
        <v>150000</v>
      </c>
      <c r="H677" s="30">
        <f t="shared" si="10"/>
        <v>0</v>
      </c>
      <c r="I677" s="30"/>
      <c r="K677" t="s">
        <v>37</v>
      </c>
    </row>
    <row r="678" spans="2:11" ht="13" x14ac:dyDescent="0.15">
      <c r="B678" s="29" t="s">
        <v>997</v>
      </c>
      <c r="C678" s="29" t="s">
        <v>219</v>
      </c>
      <c r="D678" s="31">
        <f>SUMIFS(D679:D3130,K679:K3130,"0",B679:B3130,"1 2 4 4 1 12 31111 6 M78 00000 003*")-SUMIFS(E679:E3130,K679:K3130,"0",B679:B3130,"1 2 4 4 1 12 31111 6 M78 00000 003*")</f>
        <v>1372819.8499999999</v>
      </c>
      <c r="E678"/>
      <c r="F678" s="31">
        <f>SUMIFS(F679:F3130,K679:K3130,"0",B679:B3130,"1 2 4 4 1 12 31111 6 M78 00000 003*")</f>
        <v>0</v>
      </c>
      <c r="G678" s="31">
        <f>SUMIFS(G679:G3130,K679:K3130,"0",B679:B3130,"1 2 4 4 1 12 31111 6 M78 00000 003*")</f>
        <v>729256.88</v>
      </c>
      <c r="H678" s="31">
        <f t="shared" si="10"/>
        <v>643562.96999999986</v>
      </c>
      <c r="I678" s="31"/>
      <c r="K678" t="s">
        <v>13</v>
      </c>
    </row>
    <row r="679" spans="2:11" ht="13" x14ac:dyDescent="0.15">
      <c r="B679" s="29" t="s">
        <v>998</v>
      </c>
      <c r="C679" s="29" t="s">
        <v>524</v>
      </c>
      <c r="D679" s="31">
        <f>SUMIFS(D680:D3130,K680:K3130,"0",B680:B3130,"1 2 4 4 1 12 31111 6 M78 00000 003 001*")-SUMIFS(E680:E3130,K680:K3130,"0",B680:B3130,"1 2 4 4 1 12 31111 6 M78 00000 003 001*")</f>
        <v>1322819.8499999999</v>
      </c>
      <c r="E679"/>
      <c r="F679" s="31">
        <f>SUMIFS(F680:F3130,K680:K3130,"0",B680:B3130,"1 2 4 4 1 12 31111 6 M78 00000 003 001*")</f>
        <v>0</v>
      </c>
      <c r="G679" s="31">
        <f>SUMIFS(G680:G3130,K680:K3130,"0",B680:B3130,"1 2 4 4 1 12 31111 6 M78 00000 003 001*")</f>
        <v>679256.88</v>
      </c>
      <c r="H679" s="31">
        <f t="shared" si="10"/>
        <v>643562.96999999986</v>
      </c>
      <c r="I679" s="31"/>
      <c r="K679" t="s">
        <v>13</v>
      </c>
    </row>
    <row r="680" spans="2:11" ht="13" x14ac:dyDescent="0.15">
      <c r="B680" s="29" t="s">
        <v>999</v>
      </c>
      <c r="C680" s="29" t="s">
        <v>581</v>
      </c>
      <c r="D680" s="31">
        <f>SUMIFS(D681:D3130,K681:K3130,"0",B681:B3130,"1 2 4 4 1 12 31111 6 M78 00000 003 001 001*")-SUMIFS(E681:E3130,K681:K3130,"0",B681:B3130,"1 2 4 4 1 12 31111 6 M78 00000 003 001 001*")</f>
        <v>739519.84999999986</v>
      </c>
      <c r="E680"/>
      <c r="F680" s="31">
        <f>SUMIFS(F681:F3130,K681:K3130,"0",B681:B3130,"1 2 4 4 1 12 31111 6 M78 00000 003 001 001*")</f>
        <v>0</v>
      </c>
      <c r="G680" s="31">
        <f>SUMIFS(G681:G3130,K681:K3130,"0",B681:B3130,"1 2 4 4 1 12 31111 6 M78 00000 003 001 001*")</f>
        <v>267656.88</v>
      </c>
      <c r="H680" s="31">
        <f t="shared" si="10"/>
        <v>471862.96999999986</v>
      </c>
      <c r="I680" s="31"/>
      <c r="K680" t="s">
        <v>13</v>
      </c>
    </row>
    <row r="681" spans="2:11" ht="13" x14ac:dyDescent="0.15">
      <c r="B681" s="27" t="s">
        <v>1000</v>
      </c>
      <c r="C681" s="27" t="s">
        <v>1001</v>
      </c>
      <c r="D681" s="30">
        <v>211260</v>
      </c>
      <c r="E681" s="30"/>
      <c r="F681" s="30">
        <v>0</v>
      </c>
      <c r="G681" s="30">
        <v>211260</v>
      </c>
      <c r="H681" s="30">
        <f t="shared" si="10"/>
        <v>0</v>
      </c>
      <c r="I681" s="30"/>
      <c r="K681" t="s">
        <v>37</v>
      </c>
    </row>
    <row r="682" spans="2:11" ht="13" x14ac:dyDescent="0.15">
      <c r="B682" s="27" t="s">
        <v>1002</v>
      </c>
      <c r="C682" s="27" t="s">
        <v>1003</v>
      </c>
      <c r="D682" s="30">
        <v>14099.22</v>
      </c>
      <c r="E682" s="30"/>
      <c r="F682" s="30">
        <v>0</v>
      </c>
      <c r="G682" s="30">
        <v>14099.22</v>
      </c>
      <c r="H682" s="30">
        <f t="shared" si="10"/>
        <v>0</v>
      </c>
      <c r="I682" s="30"/>
      <c r="K682" t="s">
        <v>37</v>
      </c>
    </row>
    <row r="683" spans="2:11" ht="13" x14ac:dyDescent="0.15">
      <c r="B683" s="27" t="s">
        <v>1004</v>
      </c>
      <c r="C683" s="27" t="s">
        <v>1003</v>
      </c>
      <c r="D683" s="30">
        <v>14099.22</v>
      </c>
      <c r="E683" s="30"/>
      <c r="F683" s="30">
        <v>0</v>
      </c>
      <c r="G683" s="30">
        <v>14099.22</v>
      </c>
      <c r="H683" s="30">
        <f t="shared" si="10"/>
        <v>0</v>
      </c>
      <c r="I683" s="30"/>
      <c r="K683" t="s">
        <v>37</v>
      </c>
    </row>
    <row r="684" spans="2:11" ht="13" x14ac:dyDescent="0.15">
      <c r="B684" s="27" t="s">
        <v>1005</v>
      </c>
      <c r="C684" s="27" t="s">
        <v>1006</v>
      </c>
      <c r="D684" s="30">
        <v>372865.97</v>
      </c>
      <c r="E684" s="30"/>
      <c r="F684" s="30">
        <v>0</v>
      </c>
      <c r="G684" s="30">
        <v>0</v>
      </c>
      <c r="H684" s="30">
        <f t="shared" si="10"/>
        <v>372865.97</v>
      </c>
      <c r="I684" s="30"/>
      <c r="K684" t="s">
        <v>37</v>
      </c>
    </row>
    <row r="685" spans="2:11" ht="13" x14ac:dyDescent="0.15">
      <c r="B685" s="27" t="s">
        <v>1007</v>
      </c>
      <c r="C685" s="27" t="s">
        <v>1003</v>
      </c>
      <c r="D685" s="30">
        <v>14099.22</v>
      </c>
      <c r="E685" s="30"/>
      <c r="F685" s="30">
        <v>0</v>
      </c>
      <c r="G685" s="30">
        <v>14099.22</v>
      </c>
      <c r="H685" s="30">
        <f t="shared" si="10"/>
        <v>0</v>
      </c>
      <c r="I685" s="30"/>
      <c r="K685" t="s">
        <v>37</v>
      </c>
    </row>
    <row r="686" spans="2:11" ht="13" x14ac:dyDescent="0.15">
      <c r="B686" s="27" t="s">
        <v>1008</v>
      </c>
      <c r="C686" s="27" t="s">
        <v>1009</v>
      </c>
      <c r="D686" s="30">
        <v>14099.22</v>
      </c>
      <c r="E686" s="30"/>
      <c r="F686" s="30">
        <v>0</v>
      </c>
      <c r="G686" s="30">
        <v>14099.22</v>
      </c>
      <c r="H686" s="30">
        <f t="shared" si="10"/>
        <v>0</v>
      </c>
      <c r="I686" s="30"/>
      <c r="K686" t="s">
        <v>37</v>
      </c>
    </row>
    <row r="687" spans="2:11" ht="33" x14ac:dyDescent="0.15">
      <c r="B687" s="27" t="s">
        <v>1010</v>
      </c>
      <c r="C687" s="27" t="s">
        <v>1011</v>
      </c>
      <c r="D687" s="30">
        <v>39999</v>
      </c>
      <c r="E687" s="30"/>
      <c r="F687" s="30">
        <v>0</v>
      </c>
      <c r="G687" s="30">
        <v>0</v>
      </c>
      <c r="H687" s="30">
        <f t="shared" si="10"/>
        <v>39999</v>
      </c>
      <c r="I687" s="30"/>
      <c r="K687" t="s">
        <v>37</v>
      </c>
    </row>
    <row r="688" spans="2:11" ht="33" x14ac:dyDescent="0.15">
      <c r="B688" s="27" t="s">
        <v>1012</v>
      </c>
      <c r="C688" s="27" t="s">
        <v>1013</v>
      </c>
      <c r="D688" s="30">
        <v>28999</v>
      </c>
      <c r="E688" s="30"/>
      <c r="F688" s="30">
        <v>0</v>
      </c>
      <c r="G688" s="30">
        <v>0</v>
      </c>
      <c r="H688" s="30">
        <f t="shared" si="10"/>
        <v>28999</v>
      </c>
      <c r="I688" s="30"/>
      <c r="K688" t="s">
        <v>37</v>
      </c>
    </row>
    <row r="689" spans="2:11" ht="33" x14ac:dyDescent="0.15">
      <c r="B689" s="27" t="s">
        <v>1014</v>
      </c>
      <c r="C689" s="27" t="s">
        <v>1015</v>
      </c>
      <c r="D689" s="30">
        <v>29999</v>
      </c>
      <c r="E689" s="30"/>
      <c r="F689" s="30">
        <v>0</v>
      </c>
      <c r="G689" s="30">
        <v>0</v>
      </c>
      <c r="H689" s="30">
        <f t="shared" si="10"/>
        <v>29999</v>
      </c>
      <c r="I689" s="30"/>
      <c r="K689" t="s">
        <v>37</v>
      </c>
    </row>
    <row r="690" spans="2:11" ht="13" x14ac:dyDescent="0.15">
      <c r="B690" s="29" t="s">
        <v>1016</v>
      </c>
      <c r="C690" s="29" t="s">
        <v>1017</v>
      </c>
      <c r="D690" s="31">
        <f>SUMIFS(D691:D3130,K691:K3130,"0",B691:B3130,"1 2 4 4 1 12 31111 6 M78 00000 003 001 002*")-SUMIFS(E691:E3130,K691:K3130,"0",B691:B3130,"1 2 4 4 1 12 31111 6 M78 00000 003 001 002*")</f>
        <v>583300</v>
      </c>
      <c r="E690"/>
      <c r="F690" s="31">
        <f>SUMIFS(F691:F3130,K691:K3130,"0",B691:B3130,"1 2 4 4 1 12 31111 6 M78 00000 003 001 002*")</f>
        <v>0</v>
      </c>
      <c r="G690" s="31">
        <f>SUMIFS(G691:G3130,K691:K3130,"0",B691:B3130,"1 2 4 4 1 12 31111 6 M78 00000 003 001 002*")</f>
        <v>411600</v>
      </c>
      <c r="H690" s="31">
        <f t="shared" si="10"/>
        <v>171700</v>
      </c>
      <c r="I690" s="31"/>
      <c r="K690" t="s">
        <v>13</v>
      </c>
    </row>
    <row r="691" spans="2:11" ht="13" x14ac:dyDescent="0.15">
      <c r="B691" s="27" t="s">
        <v>1018</v>
      </c>
      <c r="C691" s="27" t="s">
        <v>1019</v>
      </c>
      <c r="D691" s="30">
        <v>171700</v>
      </c>
      <c r="E691" s="30"/>
      <c r="F691" s="30">
        <v>0</v>
      </c>
      <c r="G691" s="30">
        <v>0</v>
      </c>
      <c r="H691" s="30">
        <f t="shared" si="10"/>
        <v>171700</v>
      </c>
      <c r="I691" s="30"/>
      <c r="K691" t="s">
        <v>37</v>
      </c>
    </row>
    <row r="692" spans="2:11" ht="13" x14ac:dyDescent="0.15">
      <c r="B692" s="27" t="s">
        <v>1020</v>
      </c>
      <c r="C692" s="27" t="s">
        <v>1021</v>
      </c>
      <c r="D692" s="30">
        <v>50000</v>
      </c>
      <c r="E692" s="30"/>
      <c r="F692" s="30">
        <v>0</v>
      </c>
      <c r="G692" s="30">
        <v>50000</v>
      </c>
      <c r="H692" s="30">
        <f t="shared" si="10"/>
        <v>0</v>
      </c>
      <c r="I692" s="30"/>
      <c r="K692" t="s">
        <v>37</v>
      </c>
    </row>
    <row r="693" spans="2:11" ht="13" x14ac:dyDescent="0.15">
      <c r="B693" s="27" t="s">
        <v>1022</v>
      </c>
      <c r="C693" s="27" t="s">
        <v>1023</v>
      </c>
      <c r="D693" s="30">
        <v>361600</v>
      </c>
      <c r="E693" s="30"/>
      <c r="F693" s="30">
        <v>0</v>
      </c>
      <c r="G693" s="30">
        <v>361600</v>
      </c>
      <c r="H693" s="30">
        <f t="shared" si="10"/>
        <v>0</v>
      </c>
      <c r="I693" s="30"/>
      <c r="K693" t="s">
        <v>37</v>
      </c>
    </row>
    <row r="694" spans="2:11" ht="13" x14ac:dyDescent="0.15">
      <c r="B694" s="29" t="s">
        <v>1024</v>
      </c>
      <c r="C694" s="29" t="s">
        <v>524</v>
      </c>
      <c r="D694" s="31">
        <f>SUMIFS(D695:D3130,K695:K3130,"0",B695:B3130,"1 2 4 4 1 12 31111 6 M78 00000 003 002*")-SUMIFS(E695:E3130,K695:K3130,"0",B695:B3130,"1 2 4 4 1 12 31111 6 M78 00000 003 002*")</f>
        <v>50000</v>
      </c>
      <c r="E694"/>
      <c r="F694" s="31">
        <f>SUMIFS(F695:F3130,K695:K3130,"0",B695:B3130,"1 2 4 4 1 12 31111 6 M78 00000 003 002*")</f>
        <v>0</v>
      </c>
      <c r="G694" s="31">
        <f>SUMIFS(G695:G3130,K695:K3130,"0",B695:B3130,"1 2 4 4 1 12 31111 6 M78 00000 003 002*")</f>
        <v>50000</v>
      </c>
      <c r="H694" s="31">
        <f t="shared" si="10"/>
        <v>0</v>
      </c>
      <c r="I694" s="31"/>
      <c r="K694" t="s">
        <v>13</v>
      </c>
    </row>
    <row r="695" spans="2:11" ht="13" x14ac:dyDescent="0.15">
      <c r="B695" s="29" t="s">
        <v>1025</v>
      </c>
      <c r="C695" s="29" t="s">
        <v>1026</v>
      </c>
      <c r="D695" s="31">
        <f>SUMIFS(D696:D3130,K696:K3130,"0",B696:B3130,"1 2 4 4 1 12 31111 6 M78 00000 003 002 001*")-SUMIFS(E696:E3130,K696:K3130,"0",B696:B3130,"1 2 4 4 1 12 31111 6 M78 00000 003 002 001*")</f>
        <v>50000</v>
      </c>
      <c r="E695"/>
      <c r="F695" s="31">
        <f>SUMIFS(F696:F3130,K696:K3130,"0",B696:B3130,"1 2 4 4 1 12 31111 6 M78 00000 003 002 001*")</f>
        <v>0</v>
      </c>
      <c r="G695" s="31">
        <f>SUMIFS(G696:G3130,K696:K3130,"0",B696:B3130,"1 2 4 4 1 12 31111 6 M78 00000 003 002 001*")</f>
        <v>50000</v>
      </c>
      <c r="H695" s="31">
        <f t="shared" si="10"/>
        <v>0</v>
      </c>
      <c r="I695" s="31"/>
      <c r="K695" t="s">
        <v>13</v>
      </c>
    </row>
    <row r="696" spans="2:11" ht="13" x14ac:dyDescent="0.15">
      <c r="B696" s="27" t="s">
        <v>1027</v>
      </c>
      <c r="C696" s="27" t="s">
        <v>1028</v>
      </c>
      <c r="D696" s="30">
        <v>50000</v>
      </c>
      <c r="E696" s="30"/>
      <c r="F696" s="30">
        <v>0</v>
      </c>
      <c r="G696" s="30">
        <v>50000</v>
      </c>
      <c r="H696" s="30">
        <f t="shared" si="10"/>
        <v>0</v>
      </c>
      <c r="I696" s="30"/>
      <c r="K696" t="s">
        <v>37</v>
      </c>
    </row>
    <row r="697" spans="2:11" ht="13" x14ac:dyDescent="0.15">
      <c r="B697" s="29" t="s">
        <v>1029</v>
      </c>
      <c r="C697" s="29" t="s">
        <v>8</v>
      </c>
      <c r="D697" s="31">
        <f>SUMIFS(D698:D3130,K698:K3130,"0",B698:B3130,"1 2 4 4 1 12 31111 6 M78 07000*")-SUMIFS(E698:E3130,K698:K3130,"0",B698:B3130,"1 2 4 4 1 12 31111 6 M78 07000*")</f>
        <v>511500</v>
      </c>
      <c r="E697"/>
      <c r="F697" s="31">
        <f>SUMIFS(F698:F3130,K698:K3130,"0",B698:B3130,"1 2 4 4 1 12 31111 6 M78 07000*")</f>
        <v>0</v>
      </c>
      <c r="G697" s="31">
        <f>SUMIFS(G698:G3130,K698:K3130,"0",B698:B3130,"1 2 4 4 1 12 31111 6 M78 07000*")</f>
        <v>0</v>
      </c>
      <c r="H697" s="31">
        <f t="shared" si="10"/>
        <v>511500</v>
      </c>
      <c r="I697" s="31"/>
      <c r="K697" t="s">
        <v>13</v>
      </c>
    </row>
    <row r="698" spans="2:11" ht="13" x14ac:dyDescent="0.15">
      <c r="B698" s="29" t="s">
        <v>1030</v>
      </c>
      <c r="C698" s="29" t="s">
        <v>588</v>
      </c>
      <c r="D698" s="31">
        <f>SUMIFS(D699:D3130,K699:K3130,"0",B699:B3130,"1 2 4 4 1 12 31111 6 M78 07000 151*")-SUMIFS(E699:E3130,K699:K3130,"0",B699:B3130,"1 2 4 4 1 12 31111 6 M78 07000 151*")</f>
        <v>511500</v>
      </c>
      <c r="E698"/>
      <c r="F698" s="31">
        <f>SUMIFS(F699:F3130,K699:K3130,"0",B699:B3130,"1 2 4 4 1 12 31111 6 M78 07000 151*")</f>
        <v>0</v>
      </c>
      <c r="G698" s="31">
        <f>SUMIFS(G699:G3130,K699:K3130,"0",B699:B3130,"1 2 4 4 1 12 31111 6 M78 07000 151*")</f>
        <v>0</v>
      </c>
      <c r="H698" s="31">
        <f t="shared" si="10"/>
        <v>511500</v>
      </c>
      <c r="I698" s="31"/>
      <c r="K698" t="s">
        <v>13</v>
      </c>
    </row>
    <row r="699" spans="2:11" ht="13" x14ac:dyDescent="0.15">
      <c r="B699" s="29" t="s">
        <v>1031</v>
      </c>
      <c r="C699" s="29" t="s">
        <v>265</v>
      </c>
      <c r="D699" s="31">
        <f>SUMIFS(D700:D3130,K700:K3130,"0",B700:B3130,"1 2 4 4 1 12 31111 6 M78 07000 151 00C*")-SUMIFS(E700:E3130,K700:K3130,"0",B700:B3130,"1 2 4 4 1 12 31111 6 M78 07000 151 00C*")</f>
        <v>511500</v>
      </c>
      <c r="E699"/>
      <c r="F699" s="31">
        <f>SUMIFS(F700:F3130,K700:K3130,"0",B700:B3130,"1 2 4 4 1 12 31111 6 M78 07000 151 00C*")</f>
        <v>0</v>
      </c>
      <c r="G699" s="31">
        <f>SUMIFS(G700:G3130,K700:K3130,"0",B700:B3130,"1 2 4 4 1 12 31111 6 M78 07000 151 00C*")</f>
        <v>0</v>
      </c>
      <c r="H699" s="31">
        <f t="shared" si="10"/>
        <v>511500</v>
      </c>
      <c r="I699" s="31"/>
      <c r="K699" t="s">
        <v>13</v>
      </c>
    </row>
    <row r="700" spans="2:11" ht="13" x14ac:dyDescent="0.15">
      <c r="B700" s="29" t="s">
        <v>1032</v>
      </c>
      <c r="C700" s="29" t="s">
        <v>267</v>
      </c>
      <c r="D700" s="31">
        <f>SUMIFS(D701:D3130,K701:K3130,"0",B701:B3130,"1 2 4 4 1 12 31111 6 M78 07000 151 00C 002*")-SUMIFS(E701:E3130,K701:K3130,"0",B701:B3130,"1 2 4 4 1 12 31111 6 M78 07000 151 00C 002*")</f>
        <v>511500</v>
      </c>
      <c r="E700"/>
      <c r="F700" s="31">
        <f>SUMIFS(F701:F3130,K701:K3130,"0",B701:B3130,"1 2 4 4 1 12 31111 6 M78 07000 151 00C 002*")</f>
        <v>0</v>
      </c>
      <c r="G700" s="31">
        <f>SUMIFS(G701:G3130,K701:K3130,"0",B701:B3130,"1 2 4 4 1 12 31111 6 M78 07000 151 00C 002*")</f>
        <v>0</v>
      </c>
      <c r="H700" s="31">
        <f t="shared" si="10"/>
        <v>511500</v>
      </c>
      <c r="I700" s="31"/>
      <c r="K700" t="s">
        <v>13</v>
      </c>
    </row>
    <row r="701" spans="2:11" ht="13" x14ac:dyDescent="0.15">
      <c r="B701" s="29" t="s">
        <v>1033</v>
      </c>
      <c r="C701" s="29" t="s">
        <v>1034</v>
      </c>
      <c r="D701" s="31">
        <f>SUMIFS(D702:D3130,K702:K3130,"0",B702:B3130,"1 2 4 4 1 12 31111 6 M78 07000 151 00C 002 54105*")-SUMIFS(E702:E3130,K702:K3130,"0",B702:B3130,"1 2 4 4 1 12 31111 6 M78 07000 151 00C 002 54105*")</f>
        <v>511500</v>
      </c>
      <c r="E701"/>
      <c r="F701" s="31">
        <f>SUMIFS(F702:F3130,K702:K3130,"0",B702:B3130,"1 2 4 4 1 12 31111 6 M78 07000 151 00C 002 54105*")</f>
        <v>0</v>
      </c>
      <c r="G701" s="31">
        <f>SUMIFS(G702:G3130,K702:K3130,"0",B702:B3130,"1 2 4 4 1 12 31111 6 M78 07000 151 00C 002 54105*")</f>
        <v>0</v>
      </c>
      <c r="H701" s="31">
        <f t="shared" si="10"/>
        <v>511500</v>
      </c>
      <c r="I701" s="31"/>
      <c r="K701" t="s">
        <v>13</v>
      </c>
    </row>
    <row r="702" spans="2:11" ht="22" x14ac:dyDescent="0.15">
      <c r="B702" s="29" t="s">
        <v>1035</v>
      </c>
      <c r="C702" s="29" t="s">
        <v>1036</v>
      </c>
      <c r="D702" s="31">
        <f>SUMIFS(D703:D3130,K703:K3130,"0",B703:B3130,"1 2 4 4 1 12 31111 6 M78 07000 151 00C 002 54105 015*")-SUMIFS(E703:E3130,K703:K3130,"0",B703:B3130,"1 2 4 4 1 12 31111 6 M78 07000 151 00C 002 54105 015*")</f>
        <v>511500</v>
      </c>
      <c r="E702"/>
      <c r="F702" s="31">
        <f>SUMIFS(F703:F3130,K703:K3130,"0",B703:B3130,"1 2 4 4 1 12 31111 6 M78 07000 151 00C 002 54105 015*")</f>
        <v>0</v>
      </c>
      <c r="G702" s="31">
        <f>SUMIFS(G703:G3130,K703:K3130,"0",B703:B3130,"1 2 4 4 1 12 31111 6 M78 07000 151 00C 002 54105 015*")</f>
        <v>0</v>
      </c>
      <c r="H702" s="31">
        <f t="shared" si="10"/>
        <v>511500</v>
      </c>
      <c r="I702" s="31"/>
      <c r="K702" t="s">
        <v>13</v>
      </c>
    </row>
    <row r="703" spans="2:11" ht="22" x14ac:dyDescent="0.15">
      <c r="B703" s="29" t="s">
        <v>1037</v>
      </c>
      <c r="C703" s="29" t="s">
        <v>1038</v>
      </c>
      <c r="D703" s="31">
        <f>SUMIFS(D704:D3130,K704:K3130,"0",B704:B3130,"1 2 4 4 1 12 31111 6 M78 07000 151 00C 002 54105 015 2222100*")-SUMIFS(E704:E3130,K704:K3130,"0",B704:B3130,"1 2 4 4 1 12 31111 6 M78 07000 151 00C 002 54105 015 2222100*")</f>
        <v>511500</v>
      </c>
      <c r="E703"/>
      <c r="F703" s="31">
        <f>SUMIFS(F704:F3130,K704:K3130,"0",B704:B3130,"1 2 4 4 1 12 31111 6 M78 07000 151 00C 002 54105 015 2222100*")</f>
        <v>0</v>
      </c>
      <c r="G703" s="31">
        <f>SUMIFS(G704:G3130,K704:K3130,"0",B704:B3130,"1 2 4 4 1 12 31111 6 M78 07000 151 00C 002 54105 015 2222100*")</f>
        <v>0</v>
      </c>
      <c r="H703" s="31">
        <f t="shared" si="10"/>
        <v>511500</v>
      </c>
      <c r="I703" s="31"/>
      <c r="K703" t="s">
        <v>13</v>
      </c>
    </row>
    <row r="704" spans="2:11" ht="22" x14ac:dyDescent="0.15">
      <c r="B704" s="29" t="s">
        <v>1039</v>
      </c>
      <c r="C704" s="29" t="s">
        <v>826</v>
      </c>
      <c r="D704" s="31">
        <f>SUMIFS(D705:D3130,K705:K3130,"0",B705:B3130,"1 2 4 4 1 12 31111 6 M78 07000 151 00C 002 54105 015 2222100 2022*")-SUMIFS(E705:E3130,K705:K3130,"0",B705:B3130,"1 2 4 4 1 12 31111 6 M78 07000 151 00C 002 54105 015 2222100 2022*")</f>
        <v>511500</v>
      </c>
      <c r="E704"/>
      <c r="F704" s="31">
        <f>SUMIFS(F705:F3130,K705:K3130,"0",B705:B3130,"1 2 4 4 1 12 31111 6 M78 07000 151 00C 002 54105 015 2222100 2022*")</f>
        <v>0</v>
      </c>
      <c r="G704" s="31">
        <f>SUMIFS(G705:G3130,K705:K3130,"0",B705:B3130,"1 2 4 4 1 12 31111 6 M78 07000 151 00C 002 54105 015 2222100 2022*")</f>
        <v>0</v>
      </c>
      <c r="H704" s="31">
        <f t="shared" si="10"/>
        <v>511500</v>
      </c>
      <c r="I704" s="31"/>
      <c r="K704" t="s">
        <v>13</v>
      </c>
    </row>
    <row r="705" spans="2:11" ht="33" x14ac:dyDescent="0.15">
      <c r="B705" s="27" t="s">
        <v>1040</v>
      </c>
      <c r="C705" s="27" t="s">
        <v>1041</v>
      </c>
      <c r="D705" s="30">
        <v>511500</v>
      </c>
      <c r="E705" s="30"/>
      <c r="F705" s="30">
        <v>0</v>
      </c>
      <c r="G705" s="30">
        <v>0</v>
      </c>
      <c r="H705" s="30">
        <f t="shared" si="10"/>
        <v>511500</v>
      </c>
      <c r="I705" s="30"/>
      <c r="K705" t="s">
        <v>37</v>
      </c>
    </row>
    <row r="706" spans="2:11" ht="13" x14ac:dyDescent="0.15">
      <c r="B706" s="29" t="s">
        <v>1042</v>
      </c>
      <c r="C706" s="29" t="s">
        <v>833</v>
      </c>
      <c r="D706" s="31">
        <f>SUMIFS(D707:D3130,K707:K3130,"0",B707:B3130,"1 2 4 4 1 12 31111 6 M78 15000*")-SUMIFS(E707:E3130,K707:K3130,"0",B707:B3130,"1 2 4 4 1 12 31111 6 M78 15000*")</f>
        <v>1128200</v>
      </c>
      <c r="E706"/>
      <c r="F706" s="31">
        <f>SUMIFS(F707:F3130,K707:K3130,"0",B707:B3130,"1 2 4 4 1 12 31111 6 M78 15000*")</f>
        <v>409900</v>
      </c>
      <c r="G706" s="31">
        <f>SUMIFS(G707:G3130,K707:K3130,"0",B707:B3130,"1 2 4 4 1 12 31111 6 M78 15000*")</f>
        <v>409900</v>
      </c>
      <c r="H706" s="31">
        <f t="shared" si="10"/>
        <v>1128200</v>
      </c>
      <c r="I706" s="31"/>
      <c r="K706" t="s">
        <v>13</v>
      </c>
    </row>
    <row r="707" spans="2:11" ht="13" x14ac:dyDescent="0.15">
      <c r="B707" s="29" t="s">
        <v>1043</v>
      </c>
      <c r="C707" s="29" t="s">
        <v>835</v>
      </c>
      <c r="D707" s="31">
        <f>SUMIFS(D708:D3130,K708:K3130,"0",B708:B3130,"1 2 4 4 1 12 31111 6 M78 15000 171*")-SUMIFS(E708:E3130,K708:K3130,"0",B708:B3130,"1 2 4 4 1 12 31111 6 M78 15000 171*")</f>
        <v>1128200</v>
      </c>
      <c r="E707"/>
      <c r="F707" s="31">
        <f>SUMIFS(F708:F3130,K708:K3130,"0",B708:B3130,"1 2 4 4 1 12 31111 6 M78 15000 171*")</f>
        <v>409900</v>
      </c>
      <c r="G707" s="31">
        <f>SUMIFS(G708:G3130,K708:K3130,"0",B708:B3130,"1 2 4 4 1 12 31111 6 M78 15000 171*")</f>
        <v>409900</v>
      </c>
      <c r="H707" s="31">
        <f t="shared" si="10"/>
        <v>1128200</v>
      </c>
      <c r="I707" s="31"/>
      <c r="K707" t="s">
        <v>13</v>
      </c>
    </row>
    <row r="708" spans="2:11" ht="13" x14ac:dyDescent="0.15">
      <c r="B708" s="29" t="s">
        <v>1044</v>
      </c>
      <c r="C708" s="29" t="s">
        <v>285</v>
      </c>
      <c r="D708" s="31">
        <f>SUMIFS(D709:D3130,K709:K3130,"0",B709:B3130,"1 2 4 4 1 12 31111 6 M78 15000 171 00I*")-SUMIFS(E709:E3130,K709:K3130,"0",B709:B3130,"1 2 4 4 1 12 31111 6 M78 15000 171 00I*")</f>
        <v>1128200</v>
      </c>
      <c r="E708"/>
      <c r="F708" s="31">
        <f>SUMIFS(F709:F3130,K709:K3130,"0",B709:B3130,"1 2 4 4 1 12 31111 6 M78 15000 171 00I*")</f>
        <v>409900</v>
      </c>
      <c r="G708" s="31">
        <f>SUMIFS(G709:G3130,K709:K3130,"0",B709:B3130,"1 2 4 4 1 12 31111 6 M78 15000 171 00I*")</f>
        <v>409900</v>
      </c>
      <c r="H708" s="31">
        <f t="shared" si="10"/>
        <v>1128200</v>
      </c>
      <c r="I708" s="31"/>
      <c r="K708" t="s">
        <v>13</v>
      </c>
    </row>
    <row r="709" spans="2:11" ht="13" x14ac:dyDescent="0.15">
      <c r="B709" s="29" t="s">
        <v>1045</v>
      </c>
      <c r="C709" s="29" t="s">
        <v>267</v>
      </c>
      <c r="D709" s="31">
        <f>SUMIFS(D710:D3130,K710:K3130,"0",B710:B3130,"1 2 4 4 1 12 31111 6 M78 15000 171 00I 002*")-SUMIFS(E710:E3130,K710:K3130,"0",B710:B3130,"1 2 4 4 1 12 31111 6 M78 15000 171 00I 002*")</f>
        <v>1128200</v>
      </c>
      <c r="E709"/>
      <c r="F709" s="31">
        <f>SUMIFS(F710:F3130,K710:K3130,"0",B710:B3130,"1 2 4 4 1 12 31111 6 M78 15000 171 00I 002*")</f>
        <v>409900</v>
      </c>
      <c r="G709" s="31">
        <f>SUMIFS(G710:G3130,K710:K3130,"0",B710:B3130,"1 2 4 4 1 12 31111 6 M78 15000 171 00I 002*")</f>
        <v>409900</v>
      </c>
      <c r="H709" s="31">
        <f t="shared" si="10"/>
        <v>1128200</v>
      </c>
      <c r="I709" s="31"/>
      <c r="K709" t="s">
        <v>13</v>
      </c>
    </row>
    <row r="710" spans="2:11" ht="13" x14ac:dyDescent="0.15">
      <c r="B710" s="29" t="s">
        <v>1046</v>
      </c>
      <c r="C710" s="29" t="s">
        <v>1047</v>
      </c>
      <c r="D710" s="31">
        <f>SUMIFS(D711:D3130,K711:K3130,"0",B711:B3130,"1 2 4 4 1 12 31111 6 M78 15000 171 00I 002 54105*")-SUMIFS(E711:E3130,K711:K3130,"0",B711:B3130,"1 2 4 4 1 12 31111 6 M78 15000 171 00I 002 54105*")</f>
        <v>1128200</v>
      </c>
      <c r="E710"/>
      <c r="F710" s="31">
        <f>SUMIFS(F711:F3130,K711:K3130,"0",B711:B3130,"1 2 4 4 1 12 31111 6 M78 15000 171 00I 002 54105*")</f>
        <v>409900</v>
      </c>
      <c r="G710" s="31">
        <f>SUMIFS(G711:G3130,K711:K3130,"0",B711:B3130,"1 2 4 4 1 12 31111 6 M78 15000 171 00I 002 54105*")</f>
        <v>409900</v>
      </c>
      <c r="H710" s="31">
        <f t="shared" si="10"/>
        <v>1128200</v>
      </c>
      <c r="I710" s="31"/>
      <c r="K710" t="s">
        <v>13</v>
      </c>
    </row>
    <row r="711" spans="2:11" ht="22" x14ac:dyDescent="0.15">
      <c r="B711" s="29" t="s">
        <v>1048</v>
      </c>
      <c r="C711" s="29" t="s">
        <v>290</v>
      </c>
      <c r="D711" s="31">
        <f>SUMIFS(D712:D3130,K712:K3130,"0",B712:B3130,"1 2 4 4 1 12 31111 6 M78 15000 171 00I 002 54105 025*")-SUMIFS(E712:E3130,K712:K3130,"0",B712:B3130,"1 2 4 4 1 12 31111 6 M78 15000 171 00I 002 54105 025*")</f>
        <v>1128200</v>
      </c>
      <c r="E711"/>
      <c r="F711" s="31">
        <f>SUMIFS(F712:F3130,K712:K3130,"0",B712:B3130,"1 2 4 4 1 12 31111 6 M78 15000 171 00I 002 54105 025*")</f>
        <v>409900</v>
      </c>
      <c r="G711" s="31">
        <f>SUMIFS(G712:G3130,K712:K3130,"0",B712:B3130,"1 2 4 4 1 12 31111 6 M78 15000 171 00I 002 54105 025*")</f>
        <v>409900</v>
      </c>
      <c r="H711" s="31">
        <f t="shared" si="10"/>
        <v>1128200</v>
      </c>
      <c r="I711" s="31"/>
      <c r="K711" t="s">
        <v>13</v>
      </c>
    </row>
    <row r="712" spans="2:11" ht="22" x14ac:dyDescent="0.15">
      <c r="B712" s="29" t="s">
        <v>1049</v>
      </c>
      <c r="C712" s="29" t="s">
        <v>1038</v>
      </c>
      <c r="D712" s="31">
        <f>SUMIFS(D713:D3130,K713:K3130,"0",B713:B3130,"1 2 4 4 1 12 31111 6 M78 15000 171 00I 002 54105 025 2222100*")-SUMIFS(E713:E3130,K713:K3130,"0",B713:B3130,"1 2 4 4 1 12 31111 6 M78 15000 171 00I 002 54105 025 2222100*")</f>
        <v>1128200</v>
      </c>
      <c r="E712"/>
      <c r="F712" s="31">
        <f>SUMIFS(F713:F3130,K713:K3130,"0",B713:B3130,"1 2 4 4 1 12 31111 6 M78 15000 171 00I 002 54105 025 2222100*")</f>
        <v>409900</v>
      </c>
      <c r="G712" s="31">
        <f>SUMIFS(G713:G3130,K713:K3130,"0",B713:B3130,"1 2 4 4 1 12 31111 6 M78 15000 171 00I 002 54105 025 2222100*")</f>
        <v>409900</v>
      </c>
      <c r="H712" s="31">
        <f t="shared" si="10"/>
        <v>1128200</v>
      </c>
      <c r="I712" s="31"/>
      <c r="K712" t="s">
        <v>13</v>
      </c>
    </row>
    <row r="713" spans="2:11" ht="22" x14ac:dyDescent="0.15">
      <c r="B713" s="29" t="s">
        <v>1050</v>
      </c>
      <c r="C713" s="29" t="s">
        <v>662</v>
      </c>
      <c r="D713" s="31">
        <f>SUMIFS(D714:D3130,K714:K3130,"0",B714:B3130,"1 2 4 4 1 12 31111 6 M78 15000 171 00I 002 54105 025 2222100 2020*")-SUMIFS(E714:E3130,K714:K3130,"0",B714:B3130,"1 2 4 4 1 12 31111 6 M78 15000 171 00I 002 54105 025 2222100 2020*")</f>
        <v>370300</v>
      </c>
      <c r="E713"/>
      <c r="F713" s="31">
        <f>SUMIFS(F714:F3130,K714:K3130,"0",B714:B3130,"1 2 4 4 1 12 31111 6 M78 15000 171 00I 002 54105 025 2222100 2020*")</f>
        <v>0</v>
      </c>
      <c r="G713" s="31">
        <f>SUMIFS(G714:G3130,K714:K3130,"0",B714:B3130,"1 2 4 4 1 12 31111 6 M78 15000 171 00I 002 54105 025 2222100 2020*")</f>
        <v>0</v>
      </c>
      <c r="H713" s="31">
        <f t="shared" si="10"/>
        <v>370300</v>
      </c>
      <c r="I713" s="31"/>
      <c r="K713" t="s">
        <v>13</v>
      </c>
    </row>
    <row r="714" spans="2:11" ht="22" x14ac:dyDescent="0.15">
      <c r="B714" s="29" t="s">
        <v>1051</v>
      </c>
      <c r="C714" s="29" t="s">
        <v>277</v>
      </c>
      <c r="D714" s="31">
        <f>SUMIFS(D715:D3130,K715:K3130,"0",B715:B3130,"1 2 4 4 1 12 31111 6 M78 15000 171 00I 002 54105 025 2222100 2020 00000000*")-SUMIFS(E715:E3130,K715:K3130,"0",B715:B3130,"1 2 4 4 1 12 31111 6 M78 15000 171 00I 002 54105 025 2222100 2020 00000000*")</f>
        <v>370300</v>
      </c>
      <c r="E714"/>
      <c r="F714" s="31">
        <f>SUMIFS(F715:F3130,K715:K3130,"0",B715:B3130,"1 2 4 4 1 12 31111 6 M78 15000 171 00I 002 54105 025 2222100 2020 00000000*")</f>
        <v>0</v>
      </c>
      <c r="G714" s="31">
        <f>SUMIFS(G715:G3130,K715:K3130,"0",B715:B3130,"1 2 4 4 1 12 31111 6 M78 15000 171 00I 002 54105 025 2222100 2020 00000000*")</f>
        <v>0</v>
      </c>
      <c r="H714" s="31">
        <f t="shared" ref="H714:H777" si="11">D714 + F714 - G714</f>
        <v>370300</v>
      </c>
      <c r="I714" s="31"/>
      <c r="K714" t="s">
        <v>13</v>
      </c>
    </row>
    <row r="715" spans="2:11" ht="22" x14ac:dyDescent="0.15">
      <c r="B715" s="29" t="s">
        <v>1052</v>
      </c>
      <c r="C715" s="29" t="s">
        <v>581</v>
      </c>
      <c r="D715" s="31">
        <f>SUMIFS(D716:D3130,K716:K3130,"0",B716:B3130,"1 2 4 4 1 12 31111 6 M78 15000 171 00I 002 54105 025 2222100 2020 00000000 003*")-SUMIFS(E716:E3130,K716:K3130,"0",B716:B3130,"1 2 4 4 1 12 31111 6 M78 15000 171 00I 002 54105 025 2222100 2020 00000000 003*")</f>
        <v>370300</v>
      </c>
      <c r="E715"/>
      <c r="F715" s="31">
        <f>SUMIFS(F716:F3130,K716:K3130,"0",B716:B3130,"1 2 4 4 1 12 31111 6 M78 15000 171 00I 002 54105 025 2222100 2020 00000000 003*")</f>
        <v>0</v>
      </c>
      <c r="G715" s="31">
        <f>SUMIFS(G716:G3130,K716:K3130,"0",B716:B3130,"1 2 4 4 1 12 31111 6 M78 15000 171 00I 002 54105 025 2222100 2020 00000000 003*")</f>
        <v>0</v>
      </c>
      <c r="H715" s="31">
        <f t="shared" si="11"/>
        <v>370300</v>
      </c>
      <c r="I715" s="31"/>
      <c r="K715" t="s">
        <v>13</v>
      </c>
    </row>
    <row r="716" spans="2:11" ht="22" x14ac:dyDescent="0.15">
      <c r="B716" s="29" t="s">
        <v>1053</v>
      </c>
      <c r="C716" s="29" t="s">
        <v>1054</v>
      </c>
      <c r="D716" s="31">
        <f>SUMIFS(D717:D3130,K717:K3130,"0",B717:B3130,"1 2 4 4 1 12 31111 6 M78 15000 171 00I 002 54105 025 2222100 2020 00000000 003 002*")-SUMIFS(E717:E3130,K717:K3130,"0",B717:B3130,"1 2 4 4 1 12 31111 6 M78 15000 171 00I 002 54105 025 2222100 2020 00000000 003 002*")</f>
        <v>370300</v>
      </c>
      <c r="E716"/>
      <c r="F716" s="31">
        <f>SUMIFS(F717:F3130,K717:K3130,"0",B717:B3130,"1 2 4 4 1 12 31111 6 M78 15000 171 00I 002 54105 025 2222100 2020 00000000 003 002*")</f>
        <v>0</v>
      </c>
      <c r="G716" s="31">
        <f>SUMIFS(G717:G3130,K717:K3130,"0",B717:B3130,"1 2 4 4 1 12 31111 6 M78 15000 171 00I 002 54105 025 2222100 2020 00000000 003 002*")</f>
        <v>0</v>
      </c>
      <c r="H716" s="31">
        <f t="shared" si="11"/>
        <v>370300</v>
      </c>
      <c r="I716" s="31"/>
      <c r="K716" t="s">
        <v>13</v>
      </c>
    </row>
    <row r="717" spans="2:11" ht="33" x14ac:dyDescent="0.15">
      <c r="B717" s="27" t="s">
        <v>1055</v>
      </c>
      <c r="C717" s="27" t="s">
        <v>1056</v>
      </c>
      <c r="D717" s="30">
        <v>370300</v>
      </c>
      <c r="E717" s="30"/>
      <c r="F717" s="30">
        <v>0</v>
      </c>
      <c r="G717" s="30">
        <v>0</v>
      </c>
      <c r="H717" s="30">
        <f t="shared" si="11"/>
        <v>370300</v>
      </c>
      <c r="I717" s="30"/>
      <c r="K717" t="s">
        <v>37</v>
      </c>
    </row>
    <row r="718" spans="2:11" ht="22" x14ac:dyDescent="0.15">
      <c r="B718" s="29" t="s">
        <v>1057</v>
      </c>
      <c r="C718" s="29" t="s">
        <v>670</v>
      </c>
      <c r="D718" s="31">
        <f>SUMIFS(D719:D3130,K719:K3130,"0",B719:B3130,"1 2 4 4 1 12 31111 6 M78 15000 171 00I 002 54105 025 2222100 2021*")-SUMIFS(E719:E3130,K719:K3130,"0",B719:B3130,"1 2 4 4 1 12 31111 6 M78 15000 171 00I 002 54105 025 2222100 2021*")</f>
        <v>348000</v>
      </c>
      <c r="E718"/>
      <c r="F718" s="31">
        <f>SUMIFS(F719:F3130,K719:K3130,"0",B719:B3130,"1 2 4 4 1 12 31111 6 M78 15000 171 00I 002 54105 025 2222100 2021*")</f>
        <v>0</v>
      </c>
      <c r="G718" s="31">
        <f>SUMIFS(G719:G3130,K719:K3130,"0",B719:B3130,"1 2 4 4 1 12 31111 6 M78 15000 171 00I 002 54105 025 2222100 2021*")</f>
        <v>0</v>
      </c>
      <c r="H718" s="31">
        <f t="shared" si="11"/>
        <v>348000</v>
      </c>
      <c r="I718" s="31"/>
      <c r="K718" t="s">
        <v>13</v>
      </c>
    </row>
    <row r="719" spans="2:11" ht="22" x14ac:dyDescent="0.15">
      <c r="B719" s="29" t="s">
        <v>1058</v>
      </c>
      <c r="C719" s="29" t="s">
        <v>277</v>
      </c>
      <c r="D719" s="31">
        <f>SUMIFS(D720:D3130,K720:K3130,"0",B720:B3130,"1 2 4 4 1 12 31111 6 M78 15000 171 00I 002 54105 025 2222100 2021 00000000*")-SUMIFS(E720:E3130,K720:K3130,"0",B720:B3130,"1 2 4 4 1 12 31111 6 M78 15000 171 00I 002 54105 025 2222100 2021 00000000*")</f>
        <v>348000</v>
      </c>
      <c r="E719"/>
      <c r="F719" s="31">
        <f>SUMIFS(F720:F3130,K720:K3130,"0",B720:B3130,"1 2 4 4 1 12 31111 6 M78 15000 171 00I 002 54105 025 2222100 2021 00000000*")</f>
        <v>0</v>
      </c>
      <c r="G719" s="31">
        <f>SUMIFS(G720:G3130,K720:K3130,"0",B720:B3130,"1 2 4 4 1 12 31111 6 M78 15000 171 00I 002 54105 025 2222100 2021 00000000*")</f>
        <v>0</v>
      </c>
      <c r="H719" s="31">
        <f t="shared" si="11"/>
        <v>348000</v>
      </c>
      <c r="I719" s="31"/>
      <c r="K719" t="s">
        <v>13</v>
      </c>
    </row>
    <row r="720" spans="2:11" ht="22" x14ac:dyDescent="0.15">
      <c r="B720" s="29" t="s">
        <v>1059</v>
      </c>
      <c r="C720" s="29" t="s">
        <v>581</v>
      </c>
      <c r="D720" s="31">
        <f>SUMIFS(D721:D3130,K721:K3130,"0",B721:B3130,"1 2 4 4 1 12 31111 6 M78 15000 171 00I 002 54105 025 2222100 2021 00000000 003*")-SUMIFS(E721:E3130,K721:K3130,"0",B721:B3130,"1 2 4 4 1 12 31111 6 M78 15000 171 00I 002 54105 025 2222100 2021 00000000 003*")</f>
        <v>348000</v>
      </c>
      <c r="E720"/>
      <c r="F720" s="31">
        <f>SUMIFS(F721:F3130,K721:K3130,"0",B721:B3130,"1 2 4 4 1 12 31111 6 M78 15000 171 00I 002 54105 025 2222100 2021 00000000 003*")</f>
        <v>0</v>
      </c>
      <c r="G720" s="31">
        <f>SUMIFS(G721:G3130,K721:K3130,"0",B721:B3130,"1 2 4 4 1 12 31111 6 M78 15000 171 00I 002 54105 025 2222100 2021 00000000 003*")</f>
        <v>0</v>
      </c>
      <c r="H720" s="31">
        <f t="shared" si="11"/>
        <v>348000</v>
      </c>
      <c r="I720" s="31"/>
      <c r="K720" t="s">
        <v>13</v>
      </c>
    </row>
    <row r="721" spans="2:11" ht="22" x14ac:dyDescent="0.15">
      <c r="B721" s="29" t="s">
        <v>1060</v>
      </c>
      <c r="C721" s="29" t="s">
        <v>1054</v>
      </c>
      <c r="D721" s="31">
        <f>SUMIFS(D722:D3130,K722:K3130,"0",B722:B3130,"1 2 4 4 1 12 31111 6 M78 15000 171 00I 002 54105 025 2222100 2021 00000000 003 002*")-SUMIFS(E722:E3130,K722:K3130,"0",B722:B3130,"1 2 4 4 1 12 31111 6 M78 15000 171 00I 002 54105 025 2222100 2021 00000000 003 002*")</f>
        <v>348000</v>
      </c>
      <c r="E721"/>
      <c r="F721" s="31">
        <f>SUMIFS(F722:F3130,K722:K3130,"0",B722:B3130,"1 2 4 4 1 12 31111 6 M78 15000 171 00I 002 54105 025 2222100 2021 00000000 003 002*")</f>
        <v>0</v>
      </c>
      <c r="G721" s="31">
        <f>SUMIFS(G722:G3130,K722:K3130,"0",B722:B3130,"1 2 4 4 1 12 31111 6 M78 15000 171 00I 002 54105 025 2222100 2021 00000000 003 002*")</f>
        <v>0</v>
      </c>
      <c r="H721" s="31">
        <f t="shared" si="11"/>
        <v>348000</v>
      </c>
      <c r="I721" s="31"/>
      <c r="K721" t="s">
        <v>13</v>
      </c>
    </row>
    <row r="722" spans="2:11" ht="33" x14ac:dyDescent="0.15">
      <c r="B722" s="27" t="s">
        <v>1061</v>
      </c>
      <c r="C722" s="27" t="s">
        <v>1062</v>
      </c>
      <c r="D722" s="30">
        <v>348000</v>
      </c>
      <c r="E722" s="30"/>
      <c r="F722" s="30">
        <v>0</v>
      </c>
      <c r="G722" s="30">
        <v>0</v>
      </c>
      <c r="H722" s="30">
        <f t="shared" si="11"/>
        <v>348000</v>
      </c>
      <c r="I722" s="30"/>
      <c r="K722" t="s">
        <v>37</v>
      </c>
    </row>
    <row r="723" spans="2:11" ht="22" x14ac:dyDescent="0.15">
      <c r="B723" s="29" t="s">
        <v>1063</v>
      </c>
      <c r="C723" s="29" t="s">
        <v>826</v>
      </c>
      <c r="D723" s="31">
        <f>SUMIFS(D724:D3130,K724:K3130,"0",B724:B3130,"1 2 4 4 1 12 31111 6 M78 15000 171 00I 002 54105 025 2222100 2022*")-SUMIFS(E724:E3130,K724:K3130,"0",B724:B3130,"1 2 4 4 1 12 31111 6 M78 15000 171 00I 002 54105 025 2222100 2022*")</f>
        <v>361596.08</v>
      </c>
      <c r="E723"/>
      <c r="F723" s="31">
        <f>SUMIFS(F724:F3130,K724:K3130,"0",B724:B3130,"1 2 4 4 1 12 31111 6 M78 15000 171 00I 002 54105 025 2222100 2022*")</f>
        <v>0</v>
      </c>
      <c r="G723" s="31">
        <f>SUMIFS(G724:G3130,K724:K3130,"0",B724:B3130,"1 2 4 4 1 12 31111 6 M78 15000 171 00I 002 54105 025 2222100 2022*")</f>
        <v>361596.08</v>
      </c>
      <c r="H723" s="31">
        <f t="shared" si="11"/>
        <v>0</v>
      </c>
      <c r="I723" s="31"/>
      <c r="K723" t="s">
        <v>13</v>
      </c>
    </row>
    <row r="724" spans="2:11" ht="22" x14ac:dyDescent="0.15">
      <c r="B724" s="29" t="s">
        <v>1064</v>
      </c>
      <c r="C724" s="29" t="s">
        <v>277</v>
      </c>
      <c r="D724" s="31">
        <f>SUMIFS(D725:D3130,K725:K3130,"0",B725:B3130,"1 2 4 4 1 12 31111 6 M78 15000 171 00I 002 54105 025 2222100 2022 00000000*")-SUMIFS(E725:E3130,K725:K3130,"0",B725:B3130,"1 2 4 4 1 12 31111 6 M78 15000 171 00I 002 54105 025 2222100 2022 00000000*")</f>
        <v>361596.08</v>
      </c>
      <c r="E724"/>
      <c r="F724" s="31">
        <f>SUMIFS(F725:F3130,K725:K3130,"0",B725:B3130,"1 2 4 4 1 12 31111 6 M78 15000 171 00I 002 54105 025 2222100 2022 00000000*")</f>
        <v>0</v>
      </c>
      <c r="G724" s="31">
        <f>SUMIFS(G725:G3130,K725:K3130,"0",B725:B3130,"1 2 4 4 1 12 31111 6 M78 15000 171 00I 002 54105 025 2222100 2022 00000000*")</f>
        <v>361596.08</v>
      </c>
      <c r="H724" s="31">
        <f t="shared" si="11"/>
        <v>0</v>
      </c>
      <c r="I724" s="31"/>
      <c r="K724" t="s">
        <v>13</v>
      </c>
    </row>
    <row r="725" spans="2:11" ht="22" x14ac:dyDescent="0.15">
      <c r="B725" s="29" t="s">
        <v>1065</v>
      </c>
      <c r="C725" s="29" t="s">
        <v>581</v>
      </c>
      <c r="D725" s="31">
        <f>SUMIFS(D726:D3130,K726:K3130,"0",B726:B3130,"1 2 4 4 1 12 31111 6 M78 15000 171 00I 002 54105 025 2222100 2022 00000000 003*")-SUMIFS(E726:E3130,K726:K3130,"0",B726:B3130,"1 2 4 4 1 12 31111 6 M78 15000 171 00I 002 54105 025 2222100 2022 00000000 003*")</f>
        <v>361596.08</v>
      </c>
      <c r="E725"/>
      <c r="F725" s="31">
        <f>SUMIFS(F726:F3130,K726:K3130,"0",B726:B3130,"1 2 4 4 1 12 31111 6 M78 15000 171 00I 002 54105 025 2222100 2022 00000000 003*")</f>
        <v>0</v>
      </c>
      <c r="G725" s="31">
        <f>SUMIFS(G726:G3130,K726:K3130,"0",B726:B3130,"1 2 4 4 1 12 31111 6 M78 15000 171 00I 002 54105 025 2222100 2022 00000000 003*")</f>
        <v>361596.08</v>
      </c>
      <c r="H725" s="31">
        <f t="shared" si="11"/>
        <v>0</v>
      </c>
      <c r="I725" s="31"/>
      <c r="K725" t="s">
        <v>13</v>
      </c>
    </row>
    <row r="726" spans="2:11" ht="22" x14ac:dyDescent="0.15">
      <c r="B726" s="29" t="s">
        <v>1066</v>
      </c>
      <c r="C726" s="29" t="s">
        <v>1054</v>
      </c>
      <c r="D726" s="31">
        <f>SUMIFS(D727:D3130,K727:K3130,"0",B727:B3130,"1 2 4 4 1 12 31111 6 M78 15000 171 00I 002 54105 025 2222100 2022 00000000 003 002*")-SUMIFS(E727:E3130,K727:K3130,"0",B727:B3130,"1 2 4 4 1 12 31111 6 M78 15000 171 00I 002 54105 025 2222100 2022 00000000 003 002*")</f>
        <v>361596.08</v>
      </c>
      <c r="E726"/>
      <c r="F726" s="31">
        <f>SUMIFS(F727:F3130,K727:K3130,"0",B727:B3130,"1 2 4 4 1 12 31111 6 M78 15000 171 00I 002 54105 025 2222100 2022 00000000 003 002*")</f>
        <v>0</v>
      </c>
      <c r="G726" s="31">
        <f>SUMIFS(G727:G3130,K727:K3130,"0",B727:B3130,"1 2 4 4 1 12 31111 6 M78 15000 171 00I 002 54105 025 2222100 2022 00000000 003 002*")</f>
        <v>361596.08</v>
      </c>
      <c r="H726" s="31">
        <f t="shared" si="11"/>
        <v>0</v>
      </c>
      <c r="I726" s="31"/>
      <c r="K726" t="s">
        <v>13</v>
      </c>
    </row>
    <row r="727" spans="2:11" ht="22" x14ac:dyDescent="0.15">
      <c r="B727" s="27" t="s">
        <v>1067</v>
      </c>
      <c r="C727" s="27" t="s">
        <v>1068</v>
      </c>
      <c r="D727" s="30">
        <v>361596.08</v>
      </c>
      <c r="E727" s="30"/>
      <c r="F727" s="30">
        <v>0</v>
      </c>
      <c r="G727" s="30">
        <v>361596.08</v>
      </c>
      <c r="H727" s="30">
        <f t="shared" si="11"/>
        <v>0</v>
      </c>
      <c r="I727" s="30"/>
      <c r="K727" t="s">
        <v>37</v>
      </c>
    </row>
    <row r="728" spans="2:11" ht="22" x14ac:dyDescent="0.15">
      <c r="B728" s="29" t="s">
        <v>1069</v>
      </c>
      <c r="C728" s="29" t="s">
        <v>769</v>
      </c>
      <c r="D728" s="31">
        <f>SUMIFS(D729:D3130,K729:K3130,"0",B729:B3130,"1 2 4 4 1 12 31111 6 M78 15000 171 00I 002 54105 025 2222100 2023*")-SUMIFS(E729:E3130,K729:K3130,"0",B729:B3130,"1 2 4 4 1 12 31111 6 M78 15000 171 00I 002 54105 025 2222100 2023*")</f>
        <v>48303.92</v>
      </c>
      <c r="E728"/>
      <c r="F728" s="31">
        <f>SUMIFS(F729:F3130,K729:K3130,"0",B729:B3130,"1 2 4 4 1 12 31111 6 M78 15000 171 00I 002 54105 025 2222100 2023*")</f>
        <v>0</v>
      </c>
      <c r="G728" s="31">
        <f>SUMIFS(G729:G3130,K729:K3130,"0",B729:B3130,"1 2 4 4 1 12 31111 6 M78 15000 171 00I 002 54105 025 2222100 2023*")</f>
        <v>48303.92</v>
      </c>
      <c r="H728" s="31">
        <f t="shared" si="11"/>
        <v>0</v>
      </c>
      <c r="I728" s="31"/>
      <c r="K728" t="s">
        <v>13</v>
      </c>
    </row>
    <row r="729" spans="2:11" ht="22" x14ac:dyDescent="0.15">
      <c r="B729" s="29" t="s">
        <v>1070</v>
      </c>
      <c r="C729" s="29" t="s">
        <v>277</v>
      </c>
      <c r="D729" s="31">
        <f>SUMIFS(D730:D3130,K730:K3130,"0",B730:B3130,"1 2 4 4 1 12 31111 6 M78 15000 171 00I 002 54105 025 2222100 2023 00000000*")-SUMIFS(E730:E3130,K730:K3130,"0",B730:B3130,"1 2 4 4 1 12 31111 6 M78 15000 171 00I 002 54105 025 2222100 2023 00000000*")</f>
        <v>48303.92</v>
      </c>
      <c r="E729"/>
      <c r="F729" s="31">
        <f>SUMIFS(F730:F3130,K730:K3130,"0",B730:B3130,"1 2 4 4 1 12 31111 6 M78 15000 171 00I 002 54105 025 2222100 2023 00000000*")</f>
        <v>0</v>
      </c>
      <c r="G729" s="31">
        <f>SUMIFS(G730:G3130,K730:K3130,"0",B730:B3130,"1 2 4 4 1 12 31111 6 M78 15000 171 00I 002 54105 025 2222100 2023 00000000*")</f>
        <v>48303.92</v>
      </c>
      <c r="H729" s="31">
        <f t="shared" si="11"/>
        <v>0</v>
      </c>
      <c r="I729" s="31"/>
      <c r="K729" t="s">
        <v>13</v>
      </c>
    </row>
    <row r="730" spans="2:11" ht="22" x14ac:dyDescent="0.15">
      <c r="B730" s="29" t="s">
        <v>1071</v>
      </c>
      <c r="C730" s="29" t="s">
        <v>581</v>
      </c>
      <c r="D730" s="31">
        <f>SUMIFS(D731:D3130,K731:K3130,"0",B731:B3130,"1 2 4 4 1 12 31111 6 M78 15000 171 00I 002 54105 025 2222100 2023 00000000 003*")-SUMIFS(E731:E3130,K731:K3130,"0",B731:B3130,"1 2 4 4 1 12 31111 6 M78 15000 171 00I 002 54105 025 2222100 2023 00000000 003*")</f>
        <v>48303.92</v>
      </c>
      <c r="E730"/>
      <c r="F730" s="31">
        <f>SUMIFS(F731:F3130,K731:K3130,"0",B731:B3130,"1 2 4 4 1 12 31111 6 M78 15000 171 00I 002 54105 025 2222100 2023 00000000 003*")</f>
        <v>0</v>
      </c>
      <c r="G730" s="31">
        <f>SUMIFS(G731:G3130,K731:K3130,"0",B731:B3130,"1 2 4 4 1 12 31111 6 M78 15000 171 00I 002 54105 025 2222100 2023 00000000 003*")</f>
        <v>48303.92</v>
      </c>
      <c r="H730" s="31">
        <f t="shared" si="11"/>
        <v>0</v>
      </c>
      <c r="I730" s="31"/>
      <c r="K730" t="s">
        <v>13</v>
      </c>
    </row>
    <row r="731" spans="2:11" ht="22" x14ac:dyDescent="0.15">
      <c r="B731" s="29" t="s">
        <v>1072</v>
      </c>
      <c r="C731" s="29" t="s">
        <v>1054</v>
      </c>
      <c r="D731" s="31">
        <f>SUMIFS(D732:D3130,K732:K3130,"0",B732:B3130,"1 2 4 4 1 12 31111 6 M78 15000 171 00I 002 54105 025 2222100 2023 00000000 003 002*")-SUMIFS(E732:E3130,K732:K3130,"0",B732:B3130,"1 2 4 4 1 12 31111 6 M78 15000 171 00I 002 54105 025 2222100 2023 00000000 003 002*")</f>
        <v>48303.92</v>
      </c>
      <c r="E731"/>
      <c r="F731" s="31">
        <f>SUMIFS(F732:F3130,K732:K3130,"0",B732:B3130,"1 2 4 4 1 12 31111 6 M78 15000 171 00I 002 54105 025 2222100 2023 00000000 003 002*")</f>
        <v>0</v>
      </c>
      <c r="G731" s="31">
        <f>SUMIFS(G732:G3130,K732:K3130,"0",B732:B3130,"1 2 4 4 1 12 31111 6 M78 15000 171 00I 002 54105 025 2222100 2023 00000000 003 002*")</f>
        <v>48303.92</v>
      </c>
      <c r="H731" s="31">
        <f t="shared" si="11"/>
        <v>0</v>
      </c>
      <c r="I731" s="31"/>
      <c r="K731" t="s">
        <v>13</v>
      </c>
    </row>
    <row r="732" spans="2:11" ht="22" x14ac:dyDescent="0.15">
      <c r="B732" s="27" t="s">
        <v>1073</v>
      </c>
      <c r="C732" s="27" t="s">
        <v>1068</v>
      </c>
      <c r="D732" s="30">
        <v>48303.92</v>
      </c>
      <c r="E732" s="30"/>
      <c r="F732" s="30">
        <v>0</v>
      </c>
      <c r="G732" s="30">
        <v>48303.92</v>
      </c>
      <c r="H732" s="30">
        <f t="shared" si="11"/>
        <v>0</v>
      </c>
      <c r="I732" s="30"/>
      <c r="K732" t="s">
        <v>37</v>
      </c>
    </row>
    <row r="733" spans="2:11" ht="22" x14ac:dyDescent="0.15">
      <c r="B733" s="29" t="s">
        <v>1074</v>
      </c>
      <c r="C733" s="29" t="s">
        <v>275</v>
      </c>
      <c r="D733" s="31">
        <f>SUMIFS(D734:D3130,K734:K3130,"0",B734:B3130,"1 2 4 4 1 12 31111 6 M78 15000 171 00I 002 54105 025 2222100 2024*")-SUMIFS(E734:E3130,K734:K3130,"0",B734:B3130,"1 2 4 4 1 12 31111 6 M78 15000 171 00I 002 54105 025 2222100 2024*")</f>
        <v>0</v>
      </c>
      <c r="E733"/>
      <c r="F733" s="31">
        <f>SUMIFS(F734:F3130,K734:K3130,"0",B734:B3130,"1 2 4 4 1 12 31111 6 M78 15000 171 00I 002 54105 025 2222100 2024*")</f>
        <v>409900</v>
      </c>
      <c r="G733" s="31">
        <f>SUMIFS(G734:G3130,K734:K3130,"0",B734:B3130,"1 2 4 4 1 12 31111 6 M78 15000 171 00I 002 54105 025 2222100 2024*")</f>
        <v>0</v>
      </c>
      <c r="H733" s="31">
        <f t="shared" si="11"/>
        <v>409900</v>
      </c>
      <c r="I733" s="31"/>
      <c r="K733" t="s">
        <v>13</v>
      </c>
    </row>
    <row r="734" spans="2:11" ht="22" x14ac:dyDescent="0.15">
      <c r="B734" s="29" t="s">
        <v>1075</v>
      </c>
      <c r="C734" s="29" t="s">
        <v>277</v>
      </c>
      <c r="D734" s="31">
        <f>SUMIFS(D735:D3130,K735:K3130,"0",B735:B3130,"1 2 4 4 1 12 31111 6 M78 15000 171 00I 002 54105 025 2222100 2024 00000000*")-SUMIFS(E735:E3130,K735:K3130,"0",B735:B3130,"1 2 4 4 1 12 31111 6 M78 15000 171 00I 002 54105 025 2222100 2024 00000000*")</f>
        <v>0</v>
      </c>
      <c r="E734"/>
      <c r="F734" s="31">
        <f>SUMIFS(F735:F3130,K735:K3130,"0",B735:B3130,"1 2 4 4 1 12 31111 6 M78 15000 171 00I 002 54105 025 2222100 2024 00000000*")</f>
        <v>409900</v>
      </c>
      <c r="G734" s="31">
        <f>SUMIFS(G735:G3130,K735:K3130,"0",B735:B3130,"1 2 4 4 1 12 31111 6 M78 15000 171 00I 002 54105 025 2222100 2024 00000000*")</f>
        <v>0</v>
      </c>
      <c r="H734" s="31">
        <f t="shared" si="11"/>
        <v>409900</v>
      </c>
      <c r="I734" s="31"/>
      <c r="K734" t="s">
        <v>13</v>
      </c>
    </row>
    <row r="735" spans="2:11" ht="22" x14ac:dyDescent="0.15">
      <c r="B735" s="29" t="s">
        <v>1076</v>
      </c>
      <c r="C735" s="29" t="s">
        <v>581</v>
      </c>
      <c r="D735" s="31">
        <f>SUMIFS(D736:D3130,K736:K3130,"0",B736:B3130,"1 2 4 4 1 12 31111 6 M78 15000 171 00I 002 54105 025 2222100 2024 00000000 003*")-SUMIFS(E736:E3130,K736:K3130,"0",B736:B3130,"1 2 4 4 1 12 31111 6 M78 15000 171 00I 002 54105 025 2222100 2024 00000000 003*")</f>
        <v>0</v>
      </c>
      <c r="E735"/>
      <c r="F735" s="31">
        <f>SUMIFS(F736:F3130,K736:K3130,"0",B736:B3130,"1 2 4 4 1 12 31111 6 M78 15000 171 00I 002 54105 025 2222100 2024 00000000 003*")</f>
        <v>409900</v>
      </c>
      <c r="G735" s="31">
        <f>SUMIFS(G736:G3130,K736:K3130,"0",B736:B3130,"1 2 4 4 1 12 31111 6 M78 15000 171 00I 002 54105 025 2222100 2024 00000000 003*")</f>
        <v>0</v>
      </c>
      <c r="H735" s="31">
        <f t="shared" si="11"/>
        <v>409900</v>
      </c>
      <c r="I735" s="31"/>
      <c r="K735" t="s">
        <v>13</v>
      </c>
    </row>
    <row r="736" spans="2:11" ht="22" x14ac:dyDescent="0.15">
      <c r="B736" s="29" t="s">
        <v>1077</v>
      </c>
      <c r="C736" s="29" t="s">
        <v>1054</v>
      </c>
      <c r="D736" s="31">
        <f>SUMIFS(D737:D3130,K737:K3130,"0",B737:B3130,"1 2 4 4 1 12 31111 6 M78 15000 171 00I 002 54105 025 2222100 2024 00000000 003 002*")-SUMIFS(E737:E3130,K737:K3130,"0",B737:B3130,"1 2 4 4 1 12 31111 6 M78 15000 171 00I 002 54105 025 2222100 2024 00000000 003 002*")</f>
        <v>0</v>
      </c>
      <c r="E736"/>
      <c r="F736" s="31">
        <f>SUMIFS(F737:F3130,K737:K3130,"0",B737:B3130,"1 2 4 4 1 12 31111 6 M78 15000 171 00I 002 54105 025 2222100 2024 00000000 003 002*")</f>
        <v>409900</v>
      </c>
      <c r="G736" s="31">
        <f>SUMIFS(G737:G3130,K737:K3130,"0",B737:B3130,"1 2 4 4 1 12 31111 6 M78 15000 171 00I 002 54105 025 2222100 2024 00000000 003 002*")</f>
        <v>0</v>
      </c>
      <c r="H736" s="31">
        <f t="shared" si="11"/>
        <v>409900</v>
      </c>
      <c r="I736" s="31"/>
      <c r="K736" t="s">
        <v>13</v>
      </c>
    </row>
    <row r="737" spans="2:11" ht="33" x14ac:dyDescent="0.15">
      <c r="B737" s="27" t="s">
        <v>1078</v>
      </c>
      <c r="C737" s="27" t="s">
        <v>1079</v>
      </c>
      <c r="D737" s="30">
        <v>0</v>
      </c>
      <c r="E737" s="30"/>
      <c r="F737" s="30">
        <v>409900</v>
      </c>
      <c r="G737" s="30">
        <v>0</v>
      </c>
      <c r="H737" s="30">
        <f t="shared" si="11"/>
        <v>409900</v>
      </c>
      <c r="I737" s="30"/>
      <c r="K737" t="s">
        <v>37</v>
      </c>
    </row>
    <row r="738" spans="2:11" ht="13" x14ac:dyDescent="0.15">
      <c r="B738" s="29" t="s">
        <v>1080</v>
      </c>
      <c r="C738" s="29" t="s">
        <v>1081</v>
      </c>
      <c r="D738" s="31">
        <f>SUMIFS(D739:D3130,K739:K3130,"0",B739:B3130,"1 2 4 6*")-SUMIFS(E739:E3130,K739:K3130,"0",B739:B3130,"1 2 4 6*")</f>
        <v>168458.38</v>
      </c>
      <c r="E738"/>
      <c r="F738" s="31">
        <f>SUMIFS(F739:F3130,K739:K3130,"0",B739:B3130,"1 2 4 6*")</f>
        <v>17600</v>
      </c>
      <c r="G738" s="31">
        <f>SUMIFS(G739:G3130,K739:K3130,"0",B739:B3130,"1 2 4 6*")</f>
        <v>106158.36</v>
      </c>
      <c r="H738" s="31">
        <f t="shared" si="11"/>
        <v>79900.02</v>
      </c>
      <c r="I738" s="31"/>
      <c r="K738" t="s">
        <v>13</v>
      </c>
    </row>
    <row r="739" spans="2:11" ht="13" x14ac:dyDescent="0.15">
      <c r="B739" s="29" t="s">
        <v>1082</v>
      </c>
      <c r="C739" s="29" t="s">
        <v>1083</v>
      </c>
      <c r="D739" s="31">
        <f>SUMIFS(D740:D3130,K740:K3130,"0",B740:B3130,"1 2 4 6 5*")-SUMIFS(E740:E3130,K740:K3130,"0",B740:B3130,"1 2 4 6 5*")</f>
        <v>168458.38</v>
      </c>
      <c r="E739"/>
      <c r="F739" s="31">
        <f>SUMIFS(F740:F3130,K740:K3130,"0",B740:B3130,"1 2 4 6 5*")</f>
        <v>17600</v>
      </c>
      <c r="G739" s="31">
        <f>SUMIFS(G740:G3130,K740:K3130,"0",B740:B3130,"1 2 4 6 5*")</f>
        <v>106158.36</v>
      </c>
      <c r="H739" s="31">
        <f t="shared" si="11"/>
        <v>79900.02</v>
      </c>
      <c r="I739" s="31"/>
      <c r="K739" t="s">
        <v>13</v>
      </c>
    </row>
    <row r="740" spans="2:11" ht="13" x14ac:dyDescent="0.15">
      <c r="B740" s="29" t="s">
        <v>1084</v>
      </c>
      <c r="C740" s="29" t="s">
        <v>24</v>
      </c>
      <c r="D740" s="31">
        <f>SUMIFS(D741:D3130,K741:K3130,"0",B741:B3130,"1 2 4 6 5 12*")-SUMIFS(E741:E3130,K741:K3130,"0",B741:B3130,"1 2 4 6 5 12*")</f>
        <v>168458.38</v>
      </c>
      <c r="E740"/>
      <c r="F740" s="31">
        <f>SUMIFS(F741:F3130,K741:K3130,"0",B741:B3130,"1 2 4 6 5 12*")</f>
        <v>17600</v>
      </c>
      <c r="G740" s="31">
        <f>SUMIFS(G741:G3130,K741:K3130,"0",B741:B3130,"1 2 4 6 5 12*")</f>
        <v>106158.36</v>
      </c>
      <c r="H740" s="31">
        <f t="shared" si="11"/>
        <v>79900.02</v>
      </c>
      <c r="I740" s="31"/>
      <c r="K740" t="s">
        <v>13</v>
      </c>
    </row>
    <row r="741" spans="2:11" ht="13" x14ac:dyDescent="0.15">
      <c r="B741" s="29" t="s">
        <v>1085</v>
      </c>
      <c r="C741" s="29" t="s">
        <v>26</v>
      </c>
      <c r="D741" s="31">
        <f>SUMIFS(D742:D3130,K742:K3130,"0",B742:B3130,"1 2 4 6 5 12 31111*")-SUMIFS(E742:E3130,K742:K3130,"0",B742:B3130,"1 2 4 6 5 12 31111*")</f>
        <v>168458.38</v>
      </c>
      <c r="E741"/>
      <c r="F741" s="31">
        <f>SUMIFS(F742:F3130,K742:K3130,"0",B742:B3130,"1 2 4 6 5 12 31111*")</f>
        <v>17600</v>
      </c>
      <c r="G741" s="31">
        <f>SUMIFS(G742:G3130,K742:K3130,"0",B742:B3130,"1 2 4 6 5 12 31111*")</f>
        <v>106158.36</v>
      </c>
      <c r="H741" s="31">
        <f t="shared" si="11"/>
        <v>79900.02</v>
      </c>
      <c r="I741" s="31"/>
      <c r="K741" t="s">
        <v>13</v>
      </c>
    </row>
    <row r="742" spans="2:11" ht="13" x14ac:dyDescent="0.15">
      <c r="B742" s="29" t="s">
        <v>1086</v>
      </c>
      <c r="C742" s="29" t="s">
        <v>28</v>
      </c>
      <c r="D742" s="31">
        <f>SUMIFS(D743:D3130,K743:K3130,"0",B743:B3130,"1 2 4 6 5 12 31111 6*")-SUMIFS(E743:E3130,K743:K3130,"0",B743:B3130,"1 2 4 6 5 12 31111 6*")</f>
        <v>168458.38</v>
      </c>
      <c r="E742"/>
      <c r="F742" s="31">
        <f>SUMIFS(F743:F3130,K743:K3130,"0",B743:B3130,"1 2 4 6 5 12 31111 6*")</f>
        <v>17600</v>
      </c>
      <c r="G742" s="31">
        <f>SUMIFS(G743:G3130,K743:K3130,"0",B743:B3130,"1 2 4 6 5 12 31111 6*")</f>
        <v>106158.36</v>
      </c>
      <c r="H742" s="31">
        <f t="shared" si="11"/>
        <v>79900.02</v>
      </c>
      <c r="I742" s="31"/>
      <c r="K742" t="s">
        <v>13</v>
      </c>
    </row>
    <row r="743" spans="2:11" ht="13" x14ac:dyDescent="0.15">
      <c r="B743" s="29" t="s">
        <v>1087</v>
      </c>
      <c r="C743" s="29" t="s">
        <v>30</v>
      </c>
      <c r="D743" s="31">
        <f>SUMIFS(D744:D3130,K744:K3130,"0",B744:B3130,"1 2 4 6 5 12 31111 6 M78*")-SUMIFS(E744:E3130,K744:K3130,"0",B744:B3130,"1 2 4 6 5 12 31111 6 M78*")</f>
        <v>168458.38</v>
      </c>
      <c r="E743"/>
      <c r="F743" s="31">
        <f>SUMIFS(F744:F3130,K744:K3130,"0",B744:B3130,"1 2 4 6 5 12 31111 6 M78*")</f>
        <v>17600</v>
      </c>
      <c r="G743" s="31">
        <f>SUMIFS(G744:G3130,K744:K3130,"0",B744:B3130,"1 2 4 6 5 12 31111 6 M78*")</f>
        <v>106158.36</v>
      </c>
      <c r="H743" s="31">
        <f t="shared" si="11"/>
        <v>79900.02</v>
      </c>
      <c r="I743" s="31"/>
      <c r="K743" t="s">
        <v>13</v>
      </c>
    </row>
    <row r="744" spans="2:11" ht="13" x14ac:dyDescent="0.15">
      <c r="B744" s="29" t="s">
        <v>1088</v>
      </c>
      <c r="C744" s="29" t="s">
        <v>521</v>
      </c>
      <c r="D744" s="31">
        <f>SUMIFS(D745:D3130,K745:K3130,"0",B745:B3130,"1 2 4 6 5 12 31111 6 M78 00000*")-SUMIFS(E745:E3130,K745:K3130,"0",B745:B3130,"1 2 4 6 5 12 31111 6 M78 00000*")</f>
        <v>115458.33</v>
      </c>
      <c r="E744"/>
      <c r="F744" s="31">
        <f>SUMIFS(F745:F3130,K745:K3130,"0",B745:B3130,"1 2 4 6 5 12 31111 6 M78 00000*")</f>
        <v>0</v>
      </c>
      <c r="G744" s="31">
        <f>SUMIFS(G745:G3130,K745:K3130,"0",B745:B3130,"1 2 4 6 5 12 31111 6 M78 00000*")</f>
        <v>53158.31</v>
      </c>
      <c r="H744" s="31">
        <f t="shared" si="11"/>
        <v>62300.020000000004</v>
      </c>
      <c r="I744" s="31"/>
      <c r="K744" t="s">
        <v>13</v>
      </c>
    </row>
    <row r="745" spans="2:11" ht="13" x14ac:dyDescent="0.15">
      <c r="B745" s="29" t="s">
        <v>1089</v>
      </c>
      <c r="C745" s="29" t="s">
        <v>219</v>
      </c>
      <c r="D745" s="31">
        <f>SUMIFS(D746:D3130,K746:K3130,"0",B746:B3130,"1 2 4 6 5 12 31111 6 M78 00000 003*")-SUMIFS(E746:E3130,K746:K3130,"0",B746:B3130,"1 2 4 6 5 12 31111 6 M78 00000 003*")</f>
        <v>115458.33</v>
      </c>
      <c r="E745"/>
      <c r="F745" s="31">
        <f>SUMIFS(F746:F3130,K746:K3130,"0",B746:B3130,"1 2 4 6 5 12 31111 6 M78 00000 003*")</f>
        <v>0</v>
      </c>
      <c r="G745" s="31">
        <f>SUMIFS(G746:G3130,K746:K3130,"0",B746:B3130,"1 2 4 6 5 12 31111 6 M78 00000 003*")</f>
        <v>53158.31</v>
      </c>
      <c r="H745" s="31">
        <f t="shared" si="11"/>
        <v>62300.020000000004</v>
      </c>
      <c r="I745" s="31"/>
      <c r="K745" t="s">
        <v>13</v>
      </c>
    </row>
    <row r="746" spans="2:11" ht="13" x14ac:dyDescent="0.15">
      <c r="B746" s="29" t="s">
        <v>1090</v>
      </c>
      <c r="C746" s="29" t="s">
        <v>524</v>
      </c>
      <c r="D746" s="31">
        <f>SUMIFS(D747:D3130,K747:K3130,"0",B747:B3130,"1 2 4 6 5 12 31111 6 M78 00000 003 001*")-SUMIFS(E747:E3130,K747:K3130,"0",B747:B3130,"1 2 4 6 5 12 31111 6 M78 00000 003 001*")</f>
        <v>115458.33</v>
      </c>
      <c r="E746"/>
      <c r="F746" s="31">
        <f>SUMIFS(F747:F3130,K747:K3130,"0",B747:B3130,"1 2 4 6 5 12 31111 6 M78 00000 003 001*")</f>
        <v>0</v>
      </c>
      <c r="G746" s="31">
        <f>SUMIFS(G747:G3130,K747:K3130,"0",B747:B3130,"1 2 4 6 5 12 31111 6 M78 00000 003 001*")</f>
        <v>53158.31</v>
      </c>
      <c r="H746" s="31">
        <f t="shared" si="11"/>
        <v>62300.020000000004</v>
      </c>
      <c r="I746" s="31"/>
      <c r="K746" t="s">
        <v>13</v>
      </c>
    </row>
    <row r="747" spans="2:11" ht="13" x14ac:dyDescent="0.15">
      <c r="B747" s="29" t="s">
        <v>1091</v>
      </c>
      <c r="C747" s="29" t="s">
        <v>581</v>
      </c>
      <c r="D747" s="31">
        <f>SUMIFS(D748:D3130,K748:K3130,"0",B748:B3130,"1 2 4 6 5 12 31111 6 M78 00000 003 001 001*")-SUMIFS(E748:E3130,K748:K3130,"0",B748:B3130,"1 2 4 6 5 12 31111 6 M78 00000 003 001 001*")</f>
        <v>115458.33</v>
      </c>
      <c r="E747"/>
      <c r="F747" s="31">
        <f>SUMIFS(F748:F3130,K748:K3130,"0",B748:B3130,"1 2 4 6 5 12 31111 6 M78 00000 003 001 001*")</f>
        <v>0</v>
      </c>
      <c r="G747" s="31">
        <f>SUMIFS(G748:G3130,K748:K3130,"0",B748:B3130,"1 2 4 6 5 12 31111 6 M78 00000 003 001 001*")</f>
        <v>53158.31</v>
      </c>
      <c r="H747" s="31">
        <f t="shared" si="11"/>
        <v>62300.020000000004</v>
      </c>
      <c r="I747" s="31"/>
      <c r="K747" t="s">
        <v>13</v>
      </c>
    </row>
    <row r="748" spans="2:11" ht="13" x14ac:dyDescent="0.15">
      <c r="B748" s="27" t="s">
        <v>1092</v>
      </c>
      <c r="C748" s="27" t="s">
        <v>1093</v>
      </c>
      <c r="D748" s="30">
        <v>3923.31</v>
      </c>
      <c r="E748" s="30"/>
      <c r="F748" s="30">
        <v>0</v>
      </c>
      <c r="G748" s="30">
        <v>3923.31</v>
      </c>
      <c r="H748" s="30">
        <f t="shared" si="11"/>
        <v>0</v>
      </c>
      <c r="I748" s="30"/>
      <c r="K748" t="s">
        <v>37</v>
      </c>
    </row>
    <row r="749" spans="2:11" ht="13" x14ac:dyDescent="0.15">
      <c r="B749" s="27" t="s">
        <v>1094</v>
      </c>
      <c r="C749" s="27" t="s">
        <v>1095</v>
      </c>
      <c r="D749" s="30">
        <v>15750.02</v>
      </c>
      <c r="E749" s="30"/>
      <c r="F749" s="30">
        <v>0</v>
      </c>
      <c r="G749" s="30">
        <v>9450</v>
      </c>
      <c r="H749" s="30">
        <f t="shared" si="11"/>
        <v>6300.02</v>
      </c>
      <c r="I749" s="30"/>
      <c r="K749" t="s">
        <v>37</v>
      </c>
    </row>
    <row r="750" spans="2:11" ht="13" x14ac:dyDescent="0.15">
      <c r="B750" s="27" t="s">
        <v>1096</v>
      </c>
      <c r="C750" s="27" t="s">
        <v>1097</v>
      </c>
      <c r="D750" s="30">
        <v>25480</v>
      </c>
      <c r="E750" s="30"/>
      <c r="F750" s="30">
        <v>0</v>
      </c>
      <c r="G750" s="30">
        <v>25480</v>
      </c>
      <c r="H750" s="30">
        <f t="shared" si="11"/>
        <v>0</v>
      </c>
      <c r="I750" s="30"/>
      <c r="K750" t="s">
        <v>37</v>
      </c>
    </row>
    <row r="751" spans="2:11" ht="13" x14ac:dyDescent="0.15">
      <c r="B751" s="27" t="s">
        <v>1098</v>
      </c>
      <c r="C751" s="27" t="s">
        <v>1099</v>
      </c>
      <c r="D751" s="30">
        <v>56000</v>
      </c>
      <c r="E751" s="30"/>
      <c r="F751" s="30">
        <v>0</v>
      </c>
      <c r="G751" s="30">
        <v>0</v>
      </c>
      <c r="H751" s="30">
        <f t="shared" si="11"/>
        <v>56000</v>
      </c>
      <c r="I751" s="30"/>
      <c r="K751" t="s">
        <v>37</v>
      </c>
    </row>
    <row r="752" spans="2:11" ht="13" x14ac:dyDescent="0.15">
      <c r="B752" s="27" t="s">
        <v>1100</v>
      </c>
      <c r="C752" s="27" t="s">
        <v>1101</v>
      </c>
      <c r="D752" s="30">
        <v>14305</v>
      </c>
      <c r="E752" s="30"/>
      <c r="F752" s="30">
        <v>0</v>
      </c>
      <c r="G752" s="30">
        <v>14305</v>
      </c>
      <c r="H752" s="30">
        <f t="shared" si="11"/>
        <v>0</v>
      </c>
      <c r="I752" s="30"/>
      <c r="K752" t="s">
        <v>37</v>
      </c>
    </row>
    <row r="753" spans="2:11" ht="13" x14ac:dyDescent="0.15">
      <c r="B753" s="29" t="s">
        <v>1102</v>
      </c>
      <c r="C753" s="29" t="s">
        <v>833</v>
      </c>
      <c r="D753" s="31">
        <f>SUMIFS(D754:D3130,K754:K3130,"0",B754:B3130,"1 2 4 6 5 12 31111 6 M78 15000*")-SUMIFS(E754:E3130,K754:K3130,"0",B754:B3130,"1 2 4 6 5 12 31111 6 M78 15000*")</f>
        <v>53000.05</v>
      </c>
      <c r="E753"/>
      <c r="F753" s="31">
        <f>SUMIFS(F754:F3130,K754:K3130,"0",B754:B3130,"1 2 4 6 5 12 31111 6 M78 15000*")</f>
        <v>17600</v>
      </c>
      <c r="G753" s="31">
        <f>SUMIFS(G754:G3130,K754:K3130,"0",B754:B3130,"1 2 4 6 5 12 31111 6 M78 15000*")</f>
        <v>53000.05</v>
      </c>
      <c r="H753" s="31">
        <f t="shared" si="11"/>
        <v>17600</v>
      </c>
      <c r="I753" s="31"/>
      <c r="K753" t="s">
        <v>13</v>
      </c>
    </row>
    <row r="754" spans="2:11" ht="13" x14ac:dyDescent="0.15">
      <c r="B754" s="29" t="s">
        <v>1103</v>
      </c>
      <c r="C754" s="29" t="s">
        <v>835</v>
      </c>
      <c r="D754" s="31">
        <f>SUMIFS(D755:D3130,K755:K3130,"0",B755:B3130,"1 2 4 6 5 12 31111 6 M78 15000 171*")-SUMIFS(E755:E3130,K755:K3130,"0",B755:B3130,"1 2 4 6 5 12 31111 6 M78 15000 171*")</f>
        <v>53000.05</v>
      </c>
      <c r="E754"/>
      <c r="F754" s="31">
        <f>SUMIFS(F755:F3130,K755:K3130,"0",B755:B3130,"1 2 4 6 5 12 31111 6 M78 15000 171*")</f>
        <v>17600</v>
      </c>
      <c r="G754" s="31">
        <f>SUMIFS(G755:G3130,K755:K3130,"0",B755:B3130,"1 2 4 6 5 12 31111 6 M78 15000 171*")</f>
        <v>53000.05</v>
      </c>
      <c r="H754" s="31">
        <f t="shared" si="11"/>
        <v>17600</v>
      </c>
      <c r="I754" s="31"/>
      <c r="K754" t="s">
        <v>13</v>
      </c>
    </row>
    <row r="755" spans="2:11" ht="13" x14ac:dyDescent="0.15">
      <c r="B755" s="29" t="s">
        <v>1104</v>
      </c>
      <c r="C755" s="29" t="s">
        <v>285</v>
      </c>
      <c r="D755" s="31">
        <f>SUMIFS(D756:D3130,K756:K3130,"0",B756:B3130,"1 2 4 6 5 12 31111 6 M78 15000 171 00I*")-SUMIFS(E756:E3130,K756:K3130,"0",B756:B3130,"1 2 4 6 5 12 31111 6 M78 15000 171 00I*")</f>
        <v>53000.05</v>
      </c>
      <c r="E755"/>
      <c r="F755" s="31">
        <f>SUMIFS(F756:F3130,K756:K3130,"0",B756:B3130,"1 2 4 6 5 12 31111 6 M78 15000 171 00I*")</f>
        <v>17600</v>
      </c>
      <c r="G755" s="31">
        <f>SUMIFS(G756:G3130,K756:K3130,"0",B756:B3130,"1 2 4 6 5 12 31111 6 M78 15000 171 00I*")</f>
        <v>53000.05</v>
      </c>
      <c r="H755" s="31">
        <f t="shared" si="11"/>
        <v>17600</v>
      </c>
      <c r="I755" s="31"/>
      <c r="K755" t="s">
        <v>13</v>
      </c>
    </row>
    <row r="756" spans="2:11" ht="13" x14ac:dyDescent="0.15">
      <c r="B756" s="29" t="s">
        <v>1105</v>
      </c>
      <c r="C756" s="29" t="s">
        <v>267</v>
      </c>
      <c r="D756" s="31">
        <f>SUMIFS(D757:D3130,K757:K3130,"0",B757:B3130,"1 2 4 6 5 12 31111 6 M78 15000 171 00I 002*")-SUMIFS(E757:E3130,K757:K3130,"0",B757:B3130,"1 2 4 6 5 12 31111 6 M78 15000 171 00I 002*")</f>
        <v>53000.05</v>
      </c>
      <c r="E756"/>
      <c r="F756" s="31">
        <f>SUMIFS(F757:F3130,K757:K3130,"0",B757:B3130,"1 2 4 6 5 12 31111 6 M78 15000 171 00I 002*")</f>
        <v>17600</v>
      </c>
      <c r="G756" s="31">
        <f>SUMIFS(G757:G3130,K757:K3130,"0",B757:B3130,"1 2 4 6 5 12 31111 6 M78 15000 171 00I 002*")</f>
        <v>53000.05</v>
      </c>
      <c r="H756" s="31">
        <f t="shared" si="11"/>
        <v>17600</v>
      </c>
      <c r="I756" s="31"/>
      <c r="K756" t="s">
        <v>13</v>
      </c>
    </row>
    <row r="757" spans="2:11" ht="13" x14ac:dyDescent="0.15">
      <c r="B757" s="29" t="s">
        <v>1106</v>
      </c>
      <c r="C757" s="29" t="s">
        <v>1107</v>
      </c>
      <c r="D757" s="31">
        <f>SUMIFS(D758:D3130,K758:K3130,"0",B758:B3130,"1 2 4 6 5 12 31111 6 M78 15000 171 00I 002 56501*")-SUMIFS(E758:E3130,K758:K3130,"0",B758:B3130,"1 2 4 6 5 12 31111 6 M78 15000 171 00I 002 56501*")</f>
        <v>53000.05</v>
      </c>
      <c r="E757"/>
      <c r="F757" s="31">
        <f>SUMIFS(F758:F3130,K758:K3130,"0",B758:B3130,"1 2 4 6 5 12 31111 6 M78 15000 171 00I 002 56501*")</f>
        <v>17600</v>
      </c>
      <c r="G757" s="31">
        <f>SUMIFS(G758:G3130,K758:K3130,"0",B758:B3130,"1 2 4 6 5 12 31111 6 M78 15000 171 00I 002 56501*")</f>
        <v>53000.05</v>
      </c>
      <c r="H757" s="31">
        <f t="shared" si="11"/>
        <v>17600</v>
      </c>
      <c r="I757" s="31"/>
      <c r="K757" t="s">
        <v>13</v>
      </c>
    </row>
    <row r="758" spans="2:11" ht="22" x14ac:dyDescent="0.15">
      <c r="B758" s="29" t="s">
        <v>1108</v>
      </c>
      <c r="C758" s="29" t="s">
        <v>290</v>
      </c>
      <c r="D758" s="31">
        <f>SUMIFS(D759:D3130,K759:K3130,"0",B759:B3130,"1 2 4 6 5 12 31111 6 M78 15000 171 00I 002 56501 025*")-SUMIFS(E759:E3130,K759:K3130,"0",B759:B3130,"1 2 4 6 5 12 31111 6 M78 15000 171 00I 002 56501 025*")</f>
        <v>53000.05</v>
      </c>
      <c r="E758"/>
      <c r="F758" s="31">
        <f>SUMIFS(F759:F3130,K759:K3130,"0",B759:B3130,"1 2 4 6 5 12 31111 6 M78 15000 171 00I 002 56501 025*")</f>
        <v>17600</v>
      </c>
      <c r="G758" s="31">
        <f>SUMIFS(G759:G3130,K759:K3130,"0",B759:B3130,"1 2 4 6 5 12 31111 6 M78 15000 171 00I 002 56501 025*")</f>
        <v>53000.05</v>
      </c>
      <c r="H758" s="31">
        <f t="shared" si="11"/>
        <v>17600</v>
      </c>
      <c r="I758" s="31"/>
      <c r="K758" t="s">
        <v>13</v>
      </c>
    </row>
    <row r="759" spans="2:11" ht="22" x14ac:dyDescent="0.15">
      <c r="B759" s="29" t="s">
        <v>1109</v>
      </c>
      <c r="C759" s="29" t="s">
        <v>595</v>
      </c>
      <c r="D759" s="31">
        <f>SUMIFS(D760:D3130,K760:K3130,"0",B760:B3130,"1 2 4 6 5 12 31111 6 M78 15000 171 00I 002 56501 025 2112000*")-SUMIFS(E760:E3130,K760:K3130,"0",B760:B3130,"1 2 4 6 5 12 31111 6 M78 15000 171 00I 002 56501 025 2112000*")</f>
        <v>53000.05</v>
      </c>
      <c r="E759"/>
      <c r="F759" s="31">
        <f>SUMIFS(F760:F3130,K760:K3130,"0",B760:B3130,"1 2 4 6 5 12 31111 6 M78 15000 171 00I 002 56501 025 2112000*")</f>
        <v>17600</v>
      </c>
      <c r="G759" s="31">
        <f>SUMIFS(G760:G3130,K760:K3130,"0",B760:B3130,"1 2 4 6 5 12 31111 6 M78 15000 171 00I 002 56501 025 2112000*")</f>
        <v>53000.05</v>
      </c>
      <c r="H759" s="31">
        <f t="shared" si="11"/>
        <v>17600</v>
      </c>
      <c r="I759" s="31"/>
      <c r="K759" t="s">
        <v>13</v>
      </c>
    </row>
    <row r="760" spans="2:11" ht="22" x14ac:dyDescent="0.15">
      <c r="B760" s="29" t="s">
        <v>1110</v>
      </c>
      <c r="C760" s="29" t="s">
        <v>597</v>
      </c>
      <c r="D760" s="31">
        <f>SUMIFS(D761:D3130,K761:K3130,"0",B761:B3130,"1 2 4 6 5 12 31111 6 M78 15000 171 00I 002 56501 025 2112000 2019*")-SUMIFS(E761:E3130,K761:K3130,"0",B761:B3130,"1 2 4 6 5 12 31111 6 M78 15000 171 00I 002 56501 025 2112000 2019*")</f>
        <v>53000.05</v>
      </c>
      <c r="E760"/>
      <c r="F760" s="31">
        <f>SUMIFS(F761:F3130,K761:K3130,"0",B761:B3130,"1 2 4 6 5 12 31111 6 M78 15000 171 00I 002 56501 025 2112000 2019*")</f>
        <v>0</v>
      </c>
      <c r="G760" s="31">
        <f>SUMIFS(G761:G3130,K761:K3130,"0",B761:B3130,"1 2 4 6 5 12 31111 6 M78 15000 171 00I 002 56501 025 2112000 2019*")</f>
        <v>53000.05</v>
      </c>
      <c r="H760" s="31">
        <f t="shared" si="11"/>
        <v>0</v>
      </c>
      <c r="I760" s="31"/>
      <c r="K760" t="s">
        <v>13</v>
      </c>
    </row>
    <row r="761" spans="2:11" ht="22" x14ac:dyDescent="0.15">
      <c r="B761" s="29" t="s">
        <v>1111</v>
      </c>
      <c r="C761" s="29" t="s">
        <v>277</v>
      </c>
      <c r="D761" s="31">
        <f>SUMIFS(D762:D3130,K762:K3130,"0",B762:B3130,"1 2 4 6 5 12 31111 6 M78 15000 171 00I 002 56501 025 2112000 2019 00000000*")-SUMIFS(E762:E3130,K762:K3130,"0",B762:B3130,"1 2 4 6 5 12 31111 6 M78 15000 171 00I 002 56501 025 2112000 2019 00000000*")</f>
        <v>53000.05</v>
      </c>
      <c r="E761"/>
      <c r="F761" s="31">
        <f>SUMIFS(F762:F3130,K762:K3130,"0",B762:B3130,"1 2 4 6 5 12 31111 6 M78 15000 171 00I 002 56501 025 2112000 2019 00000000*")</f>
        <v>0</v>
      </c>
      <c r="G761" s="31">
        <f>SUMIFS(G762:G3130,K762:K3130,"0",B762:B3130,"1 2 4 6 5 12 31111 6 M78 15000 171 00I 002 56501 025 2112000 2019 00000000*")</f>
        <v>53000.05</v>
      </c>
      <c r="H761" s="31">
        <f t="shared" si="11"/>
        <v>0</v>
      </c>
      <c r="I761" s="31"/>
      <c r="K761" t="s">
        <v>13</v>
      </c>
    </row>
    <row r="762" spans="2:11" ht="22" x14ac:dyDescent="0.15">
      <c r="B762" s="29" t="s">
        <v>1112</v>
      </c>
      <c r="C762" s="29" t="s">
        <v>581</v>
      </c>
      <c r="D762" s="31">
        <f>SUMIFS(D763:D3130,K763:K3130,"0",B763:B3130,"1 2 4 6 5 12 31111 6 M78 15000 171 00I 002 56501 025 2112000 2019 00000000 003*")-SUMIFS(E763:E3130,K763:K3130,"0",B763:B3130,"1 2 4 6 5 12 31111 6 M78 15000 171 00I 002 56501 025 2112000 2019 00000000 003*")</f>
        <v>53000.05</v>
      </c>
      <c r="E762"/>
      <c r="F762" s="31">
        <f>SUMIFS(F763:F3130,K763:K3130,"0",B763:B3130,"1 2 4 6 5 12 31111 6 M78 15000 171 00I 002 56501 025 2112000 2019 00000000 003*")</f>
        <v>0</v>
      </c>
      <c r="G762" s="31">
        <f>SUMIFS(G763:G3130,K763:K3130,"0",B763:B3130,"1 2 4 6 5 12 31111 6 M78 15000 171 00I 002 56501 025 2112000 2019 00000000 003*")</f>
        <v>53000.05</v>
      </c>
      <c r="H762" s="31">
        <f t="shared" si="11"/>
        <v>0</v>
      </c>
      <c r="I762" s="31"/>
      <c r="K762" t="s">
        <v>13</v>
      </c>
    </row>
    <row r="763" spans="2:11" ht="22" x14ac:dyDescent="0.15">
      <c r="B763" s="29" t="s">
        <v>1113</v>
      </c>
      <c r="C763" s="29" t="s">
        <v>1114</v>
      </c>
      <c r="D763" s="31">
        <f>SUMIFS(D764:D3130,K764:K3130,"0",B764:B3130,"1 2 4 6 5 12 31111 6 M78 15000 171 00I 002 56501 025 2112000 2019 00000000 003 015*")-SUMIFS(E764:E3130,K764:K3130,"0",B764:B3130,"1 2 4 6 5 12 31111 6 M78 15000 171 00I 002 56501 025 2112000 2019 00000000 003 015*")</f>
        <v>53000.05</v>
      </c>
      <c r="E763"/>
      <c r="F763" s="31">
        <f>SUMIFS(F764:F3130,K764:K3130,"0",B764:B3130,"1 2 4 6 5 12 31111 6 M78 15000 171 00I 002 56501 025 2112000 2019 00000000 003 015*")</f>
        <v>0</v>
      </c>
      <c r="G763" s="31">
        <f>SUMIFS(G764:G3130,K764:K3130,"0",B764:B3130,"1 2 4 6 5 12 31111 6 M78 15000 171 00I 002 56501 025 2112000 2019 00000000 003 015*")</f>
        <v>53000.05</v>
      </c>
      <c r="H763" s="31">
        <f t="shared" si="11"/>
        <v>0</v>
      </c>
      <c r="I763" s="31"/>
      <c r="K763" t="s">
        <v>13</v>
      </c>
    </row>
    <row r="764" spans="2:11" ht="22" x14ac:dyDescent="0.15">
      <c r="B764" s="27" t="s">
        <v>1115</v>
      </c>
      <c r="C764" s="27" t="s">
        <v>1116</v>
      </c>
      <c r="D764" s="30">
        <v>53000.05</v>
      </c>
      <c r="E764" s="30"/>
      <c r="F764" s="30">
        <v>0</v>
      </c>
      <c r="G764" s="30">
        <v>53000.05</v>
      </c>
      <c r="H764" s="30">
        <f t="shared" si="11"/>
        <v>0</v>
      </c>
      <c r="I764" s="30"/>
      <c r="K764" t="s">
        <v>37</v>
      </c>
    </row>
    <row r="765" spans="2:11" ht="22" x14ac:dyDescent="0.15">
      <c r="B765" s="29" t="s">
        <v>1117</v>
      </c>
      <c r="C765" s="29" t="s">
        <v>275</v>
      </c>
      <c r="D765" s="31">
        <f>SUMIFS(D766:D3130,K766:K3130,"0",B766:B3130,"1 2 4 6 5 12 31111 6 M78 15000 171 00I 002 56501 025 2112000 2024*")-SUMIFS(E766:E3130,K766:K3130,"0",B766:B3130,"1 2 4 6 5 12 31111 6 M78 15000 171 00I 002 56501 025 2112000 2024*")</f>
        <v>0</v>
      </c>
      <c r="E765"/>
      <c r="F765" s="31">
        <f>SUMIFS(F766:F3130,K766:K3130,"0",B766:B3130,"1 2 4 6 5 12 31111 6 M78 15000 171 00I 002 56501 025 2112000 2024*")</f>
        <v>17600</v>
      </c>
      <c r="G765" s="31">
        <f>SUMIFS(G766:G3130,K766:K3130,"0",B766:B3130,"1 2 4 6 5 12 31111 6 M78 15000 171 00I 002 56501 025 2112000 2024*")</f>
        <v>0</v>
      </c>
      <c r="H765" s="31">
        <f t="shared" si="11"/>
        <v>17600</v>
      </c>
      <c r="I765" s="31"/>
      <c r="K765" t="s">
        <v>13</v>
      </c>
    </row>
    <row r="766" spans="2:11" ht="22" x14ac:dyDescent="0.15">
      <c r="B766" s="29" t="s">
        <v>1118</v>
      </c>
      <c r="C766" s="29" t="s">
        <v>277</v>
      </c>
      <c r="D766" s="31">
        <f>SUMIFS(D767:D3130,K767:K3130,"0",B767:B3130,"1 2 4 6 5 12 31111 6 M78 15000 171 00I 002 56501 025 2112000 2024 00000000*")-SUMIFS(E767:E3130,K767:K3130,"0",B767:B3130,"1 2 4 6 5 12 31111 6 M78 15000 171 00I 002 56501 025 2112000 2024 00000000*")</f>
        <v>0</v>
      </c>
      <c r="E766"/>
      <c r="F766" s="31">
        <f>SUMIFS(F767:F3130,K767:K3130,"0",B767:B3130,"1 2 4 6 5 12 31111 6 M78 15000 171 00I 002 56501 025 2112000 2024 00000000*")</f>
        <v>17600</v>
      </c>
      <c r="G766" s="31">
        <f>SUMIFS(G767:G3130,K767:K3130,"0",B767:B3130,"1 2 4 6 5 12 31111 6 M78 15000 171 00I 002 56501 025 2112000 2024 00000000*")</f>
        <v>0</v>
      </c>
      <c r="H766" s="31">
        <f t="shared" si="11"/>
        <v>17600</v>
      </c>
      <c r="I766" s="31"/>
      <c r="K766" t="s">
        <v>13</v>
      </c>
    </row>
    <row r="767" spans="2:11" ht="22" x14ac:dyDescent="0.15">
      <c r="B767" s="29" t="s">
        <v>1119</v>
      </c>
      <c r="C767" s="29" t="s">
        <v>581</v>
      </c>
      <c r="D767" s="31">
        <f>SUMIFS(D768:D3130,K768:K3130,"0",B768:B3130,"1 2 4 6 5 12 31111 6 M78 15000 171 00I 002 56501 025 2112000 2024 00000000 003*")-SUMIFS(E768:E3130,K768:K3130,"0",B768:B3130,"1 2 4 6 5 12 31111 6 M78 15000 171 00I 002 56501 025 2112000 2024 00000000 003*")</f>
        <v>0</v>
      </c>
      <c r="E767"/>
      <c r="F767" s="31">
        <f>SUMIFS(F768:F3130,K768:K3130,"0",B768:B3130,"1 2 4 6 5 12 31111 6 M78 15000 171 00I 002 56501 025 2112000 2024 00000000 003*")</f>
        <v>17600</v>
      </c>
      <c r="G767" s="31">
        <f>SUMIFS(G768:G3130,K768:K3130,"0",B768:B3130,"1 2 4 6 5 12 31111 6 M78 15000 171 00I 002 56501 025 2112000 2024 00000000 003*")</f>
        <v>0</v>
      </c>
      <c r="H767" s="31">
        <f t="shared" si="11"/>
        <v>17600</v>
      </c>
      <c r="I767" s="31"/>
      <c r="K767" t="s">
        <v>13</v>
      </c>
    </row>
    <row r="768" spans="2:11" ht="22" x14ac:dyDescent="0.15">
      <c r="B768" s="29" t="s">
        <v>1120</v>
      </c>
      <c r="C768" s="29" t="s">
        <v>1114</v>
      </c>
      <c r="D768" s="31">
        <f>SUMIFS(D769:D3130,K769:K3130,"0",B769:B3130,"1 2 4 6 5 12 31111 6 M78 15000 171 00I 002 56501 025 2112000 2024 00000000 003 015*")-SUMIFS(E769:E3130,K769:K3130,"0",B769:B3130,"1 2 4 6 5 12 31111 6 M78 15000 171 00I 002 56501 025 2112000 2024 00000000 003 015*")</f>
        <v>0</v>
      </c>
      <c r="E768"/>
      <c r="F768" s="31">
        <f>SUMIFS(F769:F3130,K769:K3130,"0",B769:B3130,"1 2 4 6 5 12 31111 6 M78 15000 171 00I 002 56501 025 2112000 2024 00000000 003 015*")</f>
        <v>17600</v>
      </c>
      <c r="G768" s="31">
        <f>SUMIFS(G769:G3130,K769:K3130,"0",B769:B3130,"1 2 4 6 5 12 31111 6 M78 15000 171 00I 002 56501 025 2112000 2024 00000000 003 015*")</f>
        <v>0</v>
      </c>
      <c r="H768" s="31">
        <f t="shared" si="11"/>
        <v>17600</v>
      </c>
      <c r="I768" s="31"/>
      <c r="K768" t="s">
        <v>13</v>
      </c>
    </row>
    <row r="769" spans="2:11" ht="22" x14ac:dyDescent="0.15">
      <c r="B769" s="27" t="s">
        <v>1121</v>
      </c>
      <c r="C769" s="27" t="s">
        <v>1122</v>
      </c>
      <c r="D769" s="30">
        <v>0</v>
      </c>
      <c r="E769" s="30"/>
      <c r="F769" s="30">
        <v>8400</v>
      </c>
      <c r="G769" s="30">
        <v>0</v>
      </c>
      <c r="H769" s="30">
        <f t="shared" si="11"/>
        <v>8400</v>
      </c>
      <c r="I769" s="30"/>
      <c r="K769" t="s">
        <v>37</v>
      </c>
    </row>
    <row r="770" spans="2:11" ht="22" x14ac:dyDescent="0.15">
      <c r="B770" s="27" t="s">
        <v>1123</v>
      </c>
      <c r="C770" s="27" t="s">
        <v>1124</v>
      </c>
      <c r="D770" s="30">
        <v>0</v>
      </c>
      <c r="E770" s="30"/>
      <c r="F770" s="30">
        <v>4700</v>
      </c>
      <c r="G770" s="30">
        <v>0</v>
      </c>
      <c r="H770" s="30">
        <f t="shared" si="11"/>
        <v>4700</v>
      </c>
      <c r="I770" s="30"/>
      <c r="K770" t="s">
        <v>37</v>
      </c>
    </row>
    <row r="771" spans="2:11" ht="22" x14ac:dyDescent="0.15">
      <c r="B771" s="27" t="s">
        <v>1125</v>
      </c>
      <c r="C771" s="27" t="s">
        <v>1126</v>
      </c>
      <c r="D771" s="30">
        <v>0</v>
      </c>
      <c r="E771" s="30"/>
      <c r="F771" s="30">
        <v>4500</v>
      </c>
      <c r="G771" s="30">
        <v>0</v>
      </c>
      <c r="H771" s="30">
        <f t="shared" si="11"/>
        <v>4500</v>
      </c>
      <c r="I771" s="30"/>
      <c r="K771" t="s">
        <v>37</v>
      </c>
    </row>
    <row r="772" spans="2:11" ht="13" x14ac:dyDescent="0.15">
      <c r="B772" s="29" t="s">
        <v>1127</v>
      </c>
      <c r="C772" s="29" t="s">
        <v>1128</v>
      </c>
      <c r="D772" s="31">
        <f>SUMIFS(D773:D3130,K773:K3130,"0",B773:B3130,"1 2 5*")-SUMIFS(E773:E3130,K773:K3130,"0",B773:B3130,"1 2 5*")</f>
        <v>15250</v>
      </c>
      <c r="E772"/>
      <c r="F772" s="31">
        <f>SUMIFS(F773:F3130,K773:K3130,"0",B773:B3130,"1 2 5*")</f>
        <v>0</v>
      </c>
      <c r="G772" s="31">
        <f>SUMIFS(G773:G3130,K773:K3130,"0",B773:B3130,"1 2 5*")</f>
        <v>15250</v>
      </c>
      <c r="H772" s="31">
        <f t="shared" si="11"/>
        <v>0</v>
      </c>
      <c r="I772" s="31"/>
      <c r="K772" t="s">
        <v>13</v>
      </c>
    </row>
    <row r="773" spans="2:11" ht="13" x14ac:dyDescent="0.15">
      <c r="B773" s="29" t="s">
        <v>1129</v>
      </c>
      <c r="C773" s="29" t="s">
        <v>1130</v>
      </c>
      <c r="D773" s="31">
        <f>SUMIFS(D774:D3130,K774:K3130,"0",B774:B3130,"1 2 5 1*")-SUMIFS(E774:E3130,K774:K3130,"0",B774:B3130,"1 2 5 1*")</f>
        <v>15250</v>
      </c>
      <c r="E773"/>
      <c r="F773" s="31">
        <f>SUMIFS(F774:F3130,K774:K3130,"0",B774:B3130,"1 2 5 1*")</f>
        <v>0</v>
      </c>
      <c r="G773" s="31">
        <f>SUMIFS(G774:G3130,K774:K3130,"0",B774:B3130,"1 2 5 1*")</f>
        <v>15250</v>
      </c>
      <c r="H773" s="31">
        <f t="shared" si="11"/>
        <v>0</v>
      </c>
      <c r="I773" s="31"/>
      <c r="K773" t="s">
        <v>13</v>
      </c>
    </row>
    <row r="774" spans="2:11" ht="13" x14ac:dyDescent="0.15">
      <c r="B774" s="29" t="s">
        <v>1131</v>
      </c>
      <c r="C774" s="29" t="s">
        <v>1130</v>
      </c>
      <c r="D774" s="31">
        <f>SUMIFS(D775:D3130,K775:K3130,"0",B775:B3130,"1 2 5 1 1*")-SUMIFS(E775:E3130,K775:K3130,"0",B775:B3130,"1 2 5 1 1*")</f>
        <v>15250</v>
      </c>
      <c r="E774"/>
      <c r="F774" s="31">
        <f>SUMIFS(F775:F3130,K775:K3130,"0",B775:B3130,"1 2 5 1 1*")</f>
        <v>0</v>
      </c>
      <c r="G774" s="31">
        <f>SUMIFS(G775:G3130,K775:K3130,"0",B775:B3130,"1 2 5 1 1*")</f>
        <v>15250</v>
      </c>
      <c r="H774" s="31">
        <f t="shared" si="11"/>
        <v>0</v>
      </c>
      <c r="I774" s="31"/>
      <c r="K774" t="s">
        <v>13</v>
      </c>
    </row>
    <row r="775" spans="2:11" ht="13" x14ac:dyDescent="0.15">
      <c r="B775" s="29" t="s">
        <v>1132</v>
      </c>
      <c r="C775" s="29" t="s">
        <v>24</v>
      </c>
      <c r="D775" s="31">
        <f>SUMIFS(D776:D3130,K776:K3130,"0",B776:B3130,"1 2 5 1 1 12*")-SUMIFS(E776:E3130,K776:K3130,"0",B776:B3130,"1 2 5 1 1 12*")</f>
        <v>15250</v>
      </c>
      <c r="E775"/>
      <c r="F775" s="31">
        <f>SUMIFS(F776:F3130,K776:K3130,"0",B776:B3130,"1 2 5 1 1 12*")</f>
        <v>0</v>
      </c>
      <c r="G775" s="31">
        <f>SUMIFS(G776:G3130,K776:K3130,"0",B776:B3130,"1 2 5 1 1 12*")</f>
        <v>15250</v>
      </c>
      <c r="H775" s="31">
        <f t="shared" si="11"/>
        <v>0</v>
      </c>
      <c r="I775" s="31"/>
      <c r="K775" t="s">
        <v>13</v>
      </c>
    </row>
    <row r="776" spans="2:11" ht="13" x14ac:dyDescent="0.15">
      <c r="B776" s="29" t="s">
        <v>1133</v>
      </c>
      <c r="C776" s="29" t="s">
        <v>26</v>
      </c>
      <c r="D776" s="31">
        <f>SUMIFS(D777:D3130,K777:K3130,"0",B777:B3130,"1 2 5 1 1 12 31111*")-SUMIFS(E777:E3130,K777:K3130,"0",B777:B3130,"1 2 5 1 1 12 31111*")</f>
        <v>15250</v>
      </c>
      <c r="E776"/>
      <c r="F776" s="31">
        <f>SUMIFS(F777:F3130,K777:K3130,"0",B777:B3130,"1 2 5 1 1 12 31111*")</f>
        <v>0</v>
      </c>
      <c r="G776" s="31">
        <f>SUMIFS(G777:G3130,K777:K3130,"0",B777:B3130,"1 2 5 1 1 12 31111*")</f>
        <v>15250</v>
      </c>
      <c r="H776" s="31">
        <f t="shared" si="11"/>
        <v>0</v>
      </c>
      <c r="I776" s="31"/>
      <c r="K776" t="s">
        <v>13</v>
      </c>
    </row>
    <row r="777" spans="2:11" ht="13" x14ac:dyDescent="0.15">
      <c r="B777" s="29" t="s">
        <v>1134</v>
      </c>
      <c r="C777" s="29" t="s">
        <v>28</v>
      </c>
      <c r="D777" s="31">
        <f>SUMIFS(D778:D3130,K778:K3130,"0",B778:B3130,"1 2 5 1 1 12 31111 6*")-SUMIFS(E778:E3130,K778:K3130,"0",B778:B3130,"1 2 5 1 1 12 31111 6*")</f>
        <v>15250</v>
      </c>
      <c r="E777"/>
      <c r="F777" s="31">
        <f>SUMIFS(F778:F3130,K778:K3130,"0",B778:B3130,"1 2 5 1 1 12 31111 6*")</f>
        <v>0</v>
      </c>
      <c r="G777" s="31">
        <f>SUMIFS(G778:G3130,K778:K3130,"0",B778:B3130,"1 2 5 1 1 12 31111 6*")</f>
        <v>15250</v>
      </c>
      <c r="H777" s="31">
        <f t="shared" si="11"/>
        <v>0</v>
      </c>
      <c r="I777" s="31"/>
      <c r="K777" t="s">
        <v>13</v>
      </c>
    </row>
    <row r="778" spans="2:11" ht="13" x14ac:dyDescent="0.15">
      <c r="B778" s="29" t="s">
        <v>1135</v>
      </c>
      <c r="C778" s="29" t="s">
        <v>652</v>
      </c>
      <c r="D778" s="31">
        <f>SUMIFS(D779:D3130,K779:K3130,"0",B779:B3130,"1 2 5 1 1 12 31111 6 M78*")-SUMIFS(E779:E3130,K779:K3130,"0",B779:B3130,"1 2 5 1 1 12 31111 6 M78*")</f>
        <v>15250</v>
      </c>
      <c r="E778"/>
      <c r="F778" s="31">
        <f>SUMIFS(F779:F3130,K779:K3130,"0",B779:B3130,"1 2 5 1 1 12 31111 6 M78*")</f>
        <v>0</v>
      </c>
      <c r="G778" s="31">
        <f>SUMIFS(G779:G3130,K779:K3130,"0",B779:B3130,"1 2 5 1 1 12 31111 6 M78*")</f>
        <v>15250</v>
      </c>
      <c r="H778" s="31">
        <f t="shared" ref="H778:H790" si="12">D778 + F778 - G778</f>
        <v>0</v>
      </c>
      <c r="I778" s="31"/>
      <c r="K778" t="s">
        <v>13</v>
      </c>
    </row>
    <row r="779" spans="2:11" ht="13" x14ac:dyDescent="0.15">
      <c r="B779" s="29" t="s">
        <v>1136</v>
      </c>
      <c r="C779" s="29" t="s">
        <v>8</v>
      </c>
      <c r="D779" s="31">
        <f>SUMIFS(D780:D3130,K780:K3130,"0",B780:B3130,"1 2 5 1 1 12 31111 6 M78 07000*")-SUMIFS(E780:E3130,K780:K3130,"0",B780:B3130,"1 2 5 1 1 12 31111 6 M78 07000*")</f>
        <v>15250</v>
      </c>
      <c r="E779"/>
      <c r="F779" s="31">
        <f>SUMIFS(F780:F3130,K780:K3130,"0",B780:B3130,"1 2 5 1 1 12 31111 6 M78 07000*")</f>
        <v>0</v>
      </c>
      <c r="G779" s="31">
        <f>SUMIFS(G780:G3130,K780:K3130,"0",B780:B3130,"1 2 5 1 1 12 31111 6 M78 07000*")</f>
        <v>15250</v>
      </c>
      <c r="H779" s="31">
        <f t="shared" si="12"/>
        <v>0</v>
      </c>
      <c r="I779" s="31"/>
      <c r="K779" t="s">
        <v>13</v>
      </c>
    </row>
    <row r="780" spans="2:11" ht="13" x14ac:dyDescent="0.15">
      <c r="B780" s="29" t="s">
        <v>1137</v>
      </c>
      <c r="C780" s="29" t="s">
        <v>588</v>
      </c>
      <c r="D780" s="31">
        <f>SUMIFS(D781:D3130,K781:K3130,"0",B781:B3130,"1 2 5 1 1 12 31111 6 M78 07000 151*")-SUMIFS(E781:E3130,K781:K3130,"0",B781:B3130,"1 2 5 1 1 12 31111 6 M78 07000 151*")</f>
        <v>15250</v>
      </c>
      <c r="E780"/>
      <c r="F780" s="31">
        <f>SUMIFS(F781:F3130,K781:K3130,"0",B781:B3130,"1 2 5 1 1 12 31111 6 M78 07000 151*")</f>
        <v>0</v>
      </c>
      <c r="G780" s="31">
        <f>SUMIFS(G781:G3130,K781:K3130,"0",B781:B3130,"1 2 5 1 1 12 31111 6 M78 07000 151*")</f>
        <v>15250</v>
      </c>
      <c r="H780" s="31">
        <f t="shared" si="12"/>
        <v>0</v>
      </c>
      <c r="I780" s="31"/>
      <c r="K780" t="s">
        <v>13</v>
      </c>
    </row>
    <row r="781" spans="2:11" ht="13" x14ac:dyDescent="0.15">
      <c r="B781" s="29" t="s">
        <v>1138</v>
      </c>
      <c r="C781" s="29" t="s">
        <v>265</v>
      </c>
      <c r="D781" s="31">
        <f>SUMIFS(D782:D3130,K782:K3130,"0",B782:B3130,"1 2 5 1 1 12 31111 6 M78 07000 151 00C*")-SUMIFS(E782:E3130,K782:K3130,"0",B782:B3130,"1 2 5 1 1 12 31111 6 M78 07000 151 00C*")</f>
        <v>15250</v>
      </c>
      <c r="E781"/>
      <c r="F781" s="31">
        <f>SUMIFS(F782:F3130,K782:K3130,"0",B782:B3130,"1 2 5 1 1 12 31111 6 M78 07000 151 00C*")</f>
        <v>0</v>
      </c>
      <c r="G781" s="31">
        <f>SUMIFS(G782:G3130,K782:K3130,"0",B782:B3130,"1 2 5 1 1 12 31111 6 M78 07000 151 00C*")</f>
        <v>15250</v>
      </c>
      <c r="H781" s="31">
        <f t="shared" si="12"/>
        <v>0</v>
      </c>
      <c r="I781" s="31"/>
      <c r="K781" t="s">
        <v>13</v>
      </c>
    </row>
    <row r="782" spans="2:11" ht="13" x14ac:dyDescent="0.15">
      <c r="B782" s="29" t="s">
        <v>1139</v>
      </c>
      <c r="C782" s="29" t="s">
        <v>267</v>
      </c>
      <c r="D782" s="31">
        <f>SUMIFS(D783:D3130,K783:K3130,"0",B783:B3130,"1 2 5 1 1 12 31111 6 M78 07000 151 00C 002*")-SUMIFS(E783:E3130,K783:K3130,"0",B783:B3130,"1 2 5 1 1 12 31111 6 M78 07000 151 00C 002*")</f>
        <v>15250</v>
      </c>
      <c r="E782"/>
      <c r="F782" s="31">
        <f>SUMIFS(F783:F3130,K783:K3130,"0",B783:B3130,"1 2 5 1 1 12 31111 6 M78 07000 151 00C 002*")</f>
        <v>0</v>
      </c>
      <c r="G782" s="31">
        <f>SUMIFS(G783:G3130,K783:K3130,"0",B783:B3130,"1 2 5 1 1 12 31111 6 M78 07000 151 00C 002*")</f>
        <v>15250</v>
      </c>
      <c r="H782" s="31">
        <f t="shared" si="12"/>
        <v>0</v>
      </c>
      <c r="I782" s="31"/>
      <c r="K782" t="s">
        <v>13</v>
      </c>
    </row>
    <row r="783" spans="2:11" ht="13" x14ac:dyDescent="0.15">
      <c r="B783" s="29" t="s">
        <v>1140</v>
      </c>
      <c r="C783" s="29" t="s">
        <v>1141</v>
      </c>
      <c r="D783" s="31">
        <f>SUMIFS(D784:D3130,K784:K3130,"0",B784:B3130,"1 2 5 1 1 12 31111 6 M78 07000 151 00C 002 59101*")-SUMIFS(E784:E3130,K784:K3130,"0",B784:B3130,"1 2 5 1 1 12 31111 6 M78 07000 151 00C 002 59101*")</f>
        <v>15250</v>
      </c>
      <c r="E783"/>
      <c r="F783" s="31">
        <f>SUMIFS(F784:F3130,K784:K3130,"0",B784:B3130,"1 2 5 1 1 12 31111 6 M78 07000 151 00C 002 59101*")</f>
        <v>0</v>
      </c>
      <c r="G783" s="31">
        <f>SUMIFS(G784:G3130,K784:K3130,"0",B784:B3130,"1 2 5 1 1 12 31111 6 M78 07000 151 00C 002 59101*")</f>
        <v>15250</v>
      </c>
      <c r="H783" s="31">
        <f t="shared" si="12"/>
        <v>0</v>
      </c>
      <c r="I783" s="31"/>
      <c r="K783" t="s">
        <v>13</v>
      </c>
    </row>
    <row r="784" spans="2:11" ht="22" x14ac:dyDescent="0.15">
      <c r="B784" s="29" t="s">
        <v>1142</v>
      </c>
      <c r="C784" s="29" t="s">
        <v>271</v>
      </c>
      <c r="D784" s="31">
        <f>SUMIFS(D785:D3130,K785:K3130,"0",B785:B3130,"1 2 5 1 1 12 31111 6 M78 07000 151 00C 002 59101 015*")-SUMIFS(E785:E3130,K785:K3130,"0",B785:B3130,"1 2 5 1 1 12 31111 6 M78 07000 151 00C 002 59101 015*")</f>
        <v>15250</v>
      </c>
      <c r="E784"/>
      <c r="F784" s="31">
        <f>SUMIFS(F785:F3130,K785:K3130,"0",B785:B3130,"1 2 5 1 1 12 31111 6 M78 07000 151 00C 002 59101 015*")</f>
        <v>0</v>
      </c>
      <c r="G784" s="31">
        <f>SUMIFS(G785:G3130,K785:K3130,"0",B785:B3130,"1 2 5 1 1 12 31111 6 M78 07000 151 00C 002 59101 015*")</f>
        <v>15250</v>
      </c>
      <c r="H784" s="31">
        <f t="shared" si="12"/>
        <v>0</v>
      </c>
      <c r="I784" s="31"/>
      <c r="K784" t="s">
        <v>13</v>
      </c>
    </row>
    <row r="785" spans="2:11" ht="22" x14ac:dyDescent="0.15">
      <c r="B785" s="29" t="s">
        <v>1143</v>
      </c>
      <c r="C785" s="29" t="s">
        <v>1144</v>
      </c>
      <c r="D785" s="31">
        <f>SUMIFS(D786:D3130,K786:K3130,"0",B786:B3130,"1 2 5 1 1 12 31111 6 M78 07000 151 00C 002 59101 015 2225300*")-SUMIFS(E786:E3130,K786:K3130,"0",B786:B3130,"1 2 5 1 1 12 31111 6 M78 07000 151 00C 002 59101 015 2225300*")</f>
        <v>15250</v>
      </c>
      <c r="E785"/>
      <c r="F785" s="31">
        <f>SUMIFS(F786:F3130,K786:K3130,"0",B786:B3130,"1 2 5 1 1 12 31111 6 M78 07000 151 00C 002 59101 015 2225300*")</f>
        <v>0</v>
      </c>
      <c r="G785" s="31">
        <f>SUMIFS(G786:G3130,K786:K3130,"0",B786:B3130,"1 2 5 1 1 12 31111 6 M78 07000 151 00C 002 59101 015 2225300*")</f>
        <v>15250</v>
      </c>
      <c r="H785" s="31">
        <f t="shared" si="12"/>
        <v>0</v>
      </c>
      <c r="I785" s="31"/>
      <c r="K785" t="s">
        <v>13</v>
      </c>
    </row>
    <row r="786" spans="2:11" ht="22" x14ac:dyDescent="0.15">
      <c r="B786" s="29" t="s">
        <v>1145</v>
      </c>
      <c r="C786" s="29" t="s">
        <v>597</v>
      </c>
      <c r="D786" s="31">
        <f>SUMIFS(D787:D3130,K787:K3130,"0",B787:B3130,"1 2 5 1 1 12 31111 6 M78 07000 151 00C 002 59101 015 2225300 2019*")-SUMIFS(E787:E3130,K787:K3130,"0",B787:B3130,"1 2 5 1 1 12 31111 6 M78 07000 151 00C 002 59101 015 2225300 2019*")</f>
        <v>15250</v>
      </c>
      <c r="E786"/>
      <c r="F786" s="31">
        <f>SUMIFS(F787:F3130,K787:K3130,"0",B787:B3130,"1 2 5 1 1 12 31111 6 M78 07000 151 00C 002 59101 015 2225300 2019*")</f>
        <v>0</v>
      </c>
      <c r="G786" s="31">
        <f>SUMIFS(G787:G3130,K787:K3130,"0",B787:B3130,"1 2 5 1 1 12 31111 6 M78 07000 151 00C 002 59101 015 2225300 2019*")</f>
        <v>15250</v>
      </c>
      <c r="H786" s="31">
        <f t="shared" si="12"/>
        <v>0</v>
      </c>
      <c r="I786" s="31"/>
      <c r="K786" t="s">
        <v>13</v>
      </c>
    </row>
    <row r="787" spans="2:11" ht="22" x14ac:dyDescent="0.15">
      <c r="B787" s="29" t="s">
        <v>1146</v>
      </c>
      <c r="C787" s="29" t="s">
        <v>277</v>
      </c>
      <c r="D787" s="31">
        <f>SUMIFS(D788:D3130,K788:K3130,"0",B788:B3130,"1 2 5 1 1 12 31111 6 M78 07000 151 00C 002 59101 015 2225300 2019 00000000*")-SUMIFS(E788:E3130,K788:K3130,"0",B788:B3130,"1 2 5 1 1 12 31111 6 M78 07000 151 00C 002 59101 015 2225300 2019 00000000*")</f>
        <v>15250</v>
      </c>
      <c r="E787"/>
      <c r="F787" s="31">
        <f>SUMIFS(F788:F3130,K788:K3130,"0",B788:B3130,"1 2 5 1 1 12 31111 6 M78 07000 151 00C 002 59101 015 2225300 2019 00000000*")</f>
        <v>0</v>
      </c>
      <c r="G787" s="31">
        <f>SUMIFS(G788:G3130,K788:K3130,"0",B788:B3130,"1 2 5 1 1 12 31111 6 M78 07000 151 00C 002 59101 015 2225300 2019 00000000*")</f>
        <v>15250</v>
      </c>
      <c r="H787" s="31">
        <f t="shared" si="12"/>
        <v>0</v>
      </c>
      <c r="I787" s="31"/>
      <c r="K787" t="s">
        <v>13</v>
      </c>
    </row>
    <row r="788" spans="2:11" ht="22" x14ac:dyDescent="0.15">
      <c r="B788" s="29" t="s">
        <v>1147</v>
      </c>
      <c r="C788" s="29" t="s">
        <v>32</v>
      </c>
      <c r="D788" s="31">
        <f>SUMIFS(D789:D3130,K789:K3130,"0",B789:B3130,"1 2 5 1 1 12 31111 6 M78 07000 151 00C 002 59101 015 2225300 2019 00000000 001*")-SUMIFS(E789:E3130,K789:K3130,"0",B789:B3130,"1 2 5 1 1 12 31111 6 M78 07000 151 00C 002 59101 015 2225300 2019 00000000 001*")</f>
        <v>15250</v>
      </c>
      <c r="E788"/>
      <c r="F788" s="31">
        <f>SUMIFS(F789:F3130,K789:K3130,"0",B789:B3130,"1 2 5 1 1 12 31111 6 M78 07000 151 00C 002 59101 015 2225300 2019 00000000 001*")</f>
        <v>0</v>
      </c>
      <c r="G788" s="31">
        <f>SUMIFS(G789:G3130,K789:K3130,"0",B789:B3130,"1 2 5 1 1 12 31111 6 M78 07000 151 00C 002 59101 015 2225300 2019 00000000 001*")</f>
        <v>15250</v>
      </c>
      <c r="H788" s="31">
        <f t="shared" si="12"/>
        <v>0</v>
      </c>
      <c r="I788" s="31"/>
      <c r="K788" t="s">
        <v>13</v>
      </c>
    </row>
    <row r="789" spans="2:11" ht="22" x14ac:dyDescent="0.15">
      <c r="B789" s="29" t="s">
        <v>1148</v>
      </c>
      <c r="C789" s="29" t="s">
        <v>931</v>
      </c>
      <c r="D789" s="31">
        <f>SUMIFS(D790:D3130,K790:K3130,"0",B790:B3130,"1 2 5 1 1 12 31111 6 M78 07000 151 00C 002 59101 015 2225300 2019 00000000 001 009*")-SUMIFS(E790:E3130,K790:K3130,"0",B790:B3130,"1 2 5 1 1 12 31111 6 M78 07000 151 00C 002 59101 015 2225300 2019 00000000 001 009*")</f>
        <v>15250</v>
      </c>
      <c r="E789"/>
      <c r="F789" s="31">
        <f>SUMIFS(F790:F3130,K790:K3130,"0",B790:B3130,"1 2 5 1 1 12 31111 6 M78 07000 151 00C 002 59101 015 2225300 2019 00000000 001 009*")</f>
        <v>0</v>
      </c>
      <c r="G789" s="31">
        <f>SUMIFS(G790:G3130,K790:K3130,"0",B790:B3130,"1 2 5 1 1 12 31111 6 M78 07000 151 00C 002 59101 015 2225300 2019 00000000 001 009*")</f>
        <v>15250</v>
      </c>
      <c r="H789" s="31">
        <f t="shared" si="12"/>
        <v>0</v>
      </c>
      <c r="I789" s="31"/>
      <c r="K789" t="s">
        <v>13</v>
      </c>
    </row>
    <row r="790" spans="2:11" ht="22" x14ac:dyDescent="0.15">
      <c r="B790" s="27" t="s">
        <v>1149</v>
      </c>
      <c r="C790" s="27" t="s">
        <v>1150</v>
      </c>
      <c r="D790" s="30">
        <v>15250</v>
      </c>
      <c r="E790" s="30"/>
      <c r="F790" s="30">
        <v>0</v>
      </c>
      <c r="G790" s="30">
        <v>15250</v>
      </c>
      <c r="H790" s="30">
        <f t="shared" si="12"/>
        <v>0</v>
      </c>
      <c r="I790" s="30"/>
      <c r="K790" t="s">
        <v>37</v>
      </c>
    </row>
    <row r="791" spans="2:11" ht="13" x14ac:dyDescent="0.15">
      <c r="B791" s="29" t="s">
        <v>1151</v>
      </c>
      <c r="C791" s="29" t="s">
        <v>1152</v>
      </c>
      <c r="D791"/>
      <c r="E791" s="31">
        <f>SUMIFS(E792:E3130,K792:K3130,"0",B792:B3130,"1 2 6*")-SUMIFS(D792:D3130,K792:K3130,"0",B792:B3130,"1 2 6*")</f>
        <v>0</v>
      </c>
      <c r="F791" s="31">
        <f>SUMIFS(F792:F3130,K792:K3130,"0",B792:B3130,"1 2 6*")</f>
        <v>0</v>
      </c>
      <c r="G791" s="31">
        <f>SUMIFS(G792:G3130,K792:K3130,"0",B792:B3130,"1 2 6*")</f>
        <v>0</v>
      </c>
      <c r="H791" s="31"/>
      <c r="I791" s="31">
        <f>E791 - F791 + G791</f>
        <v>0</v>
      </c>
      <c r="K791" t="s">
        <v>13</v>
      </c>
    </row>
    <row r="792" spans="2:11" ht="13" x14ac:dyDescent="0.15">
      <c r="B792" s="29" t="s">
        <v>1153</v>
      </c>
      <c r="C792" s="29" t="s">
        <v>1154</v>
      </c>
      <c r="D792" s="31">
        <f>SUMIFS(D793:D3130,K793:K3130,"0",B793:B3130,"1 2 7*")-SUMIFS(E793:E3130,K793:K3130,"0",B793:B3130,"1 2 7*")</f>
        <v>0</v>
      </c>
      <c r="E792"/>
      <c r="F792" s="31">
        <f>SUMIFS(F793:F3130,K793:K3130,"0",B793:B3130,"1 2 7*")</f>
        <v>0</v>
      </c>
      <c r="G792" s="31">
        <f>SUMIFS(G793:G3130,K793:K3130,"0",B793:B3130,"1 2 7*")</f>
        <v>0</v>
      </c>
      <c r="H792" s="31">
        <f>D792 + F792 - G792</f>
        <v>0</v>
      </c>
      <c r="I792" s="31"/>
      <c r="K792" t="s">
        <v>13</v>
      </c>
    </row>
    <row r="793" spans="2:11" ht="13" x14ac:dyDescent="0.15">
      <c r="B793" s="29" t="s">
        <v>1155</v>
      </c>
      <c r="C793" s="29" t="s">
        <v>1156</v>
      </c>
      <c r="D793" s="31">
        <f>SUMIFS(D794:D3130,K794:K3130,"0",B794:B3130,"1 2 8*")-SUMIFS(E794:E3130,K794:K3130,"0",B794:B3130,"1 2 8*")</f>
        <v>0</v>
      </c>
      <c r="E793"/>
      <c r="F793" s="31">
        <f>SUMIFS(F794:F3130,K794:K3130,"0",B794:B3130,"1 2 8*")</f>
        <v>0</v>
      </c>
      <c r="G793" s="31">
        <f>SUMIFS(G794:G3130,K794:K3130,"0",B794:B3130,"1 2 8*")</f>
        <v>0</v>
      </c>
      <c r="H793" s="31">
        <f>D793 + F793 - G793</f>
        <v>0</v>
      </c>
      <c r="I793" s="31"/>
      <c r="K793" t="s">
        <v>13</v>
      </c>
    </row>
    <row r="794" spans="2:11" ht="13" x14ac:dyDescent="0.15">
      <c r="B794" s="29" t="s">
        <v>1157</v>
      </c>
      <c r="C794" s="29" t="s">
        <v>1158</v>
      </c>
      <c r="D794" s="31">
        <f>SUMIFS(D795:D3130,K795:K3130,"0",B795:B3130,"1 2 9*")-SUMIFS(E795:E3130,K795:K3130,"0",B795:B3130,"1 2 9*")</f>
        <v>0</v>
      </c>
      <c r="E794"/>
      <c r="F794" s="31">
        <f>SUMIFS(F795:F3130,K795:K3130,"0",B795:B3130,"1 2 9*")</f>
        <v>0</v>
      </c>
      <c r="G794" s="31">
        <f>SUMIFS(G795:G3130,K795:K3130,"0",B795:B3130,"1 2 9*")</f>
        <v>0</v>
      </c>
      <c r="H794" s="31">
        <f>D794 + F794 - G794</f>
        <v>0</v>
      </c>
      <c r="I794" s="31"/>
      <c r="K794" t="s">
        <v>13</v>
      </c>
    </row>
    <row r="795" spans="2:11" ht="13" x14ac:dyDescent="0.15">
      <c r="B795" s="29" t="s">
        <v>1159</v>
      </c>
      <c r="C795" s="29" t="s">
        <v>1160</v>
      </c>
      <c r="D795"/>
      <c r="E795" s="31">
        <f>SUMIFS(E796:E3130,K796:K3130,"0",B796:B3130,"2*")-SUMIFS(D796:D3130,K796:K3130,"0",B796:B3130,"2*")</f>
        <v>970311.28</v>
      </c>
      <c r="F795" s="31">
        <f>SUMIFS(F796:F3130,K796:K3130,"0",B796:B3130,"2*")</f>
        <v>109749124.03999999</v>
      </c>
      <c r="G795" s="31">
        <f>SUMIFS(G796:G3130,K796:K3130,"0",B796:B3130,"2*")</f>
        <v>108795494.58999999</v>
      </c>
      <c r="H795" s="31"/>
      <c r="I795" s="31">
        <f t="shared" ref="I795:I858" si="13">E795 - F795 + G795</f>
        <v>16681.829999998212</v>
      </c>
      <c r="K795" t="s">
        <v>13</v>
      </c>
    </row>
    <row r="796" spans="2:11" ht="13" x14ac:dyDescent="0.15">
      <c r="B796" s="29" t="s">
        <v>1161</v>
      </c>
      <c r="C796" s="29" t="s">
        <v>1162</v>
      </c>
      <c r="D796"/>
      <c r="E796" s="31">
        <f>SUMIFS(E797:E3130,K797:K3130,"0",B797:B3130,"2 1*")-SUMIFS(D797:D3130,K797:K3130,"0",B797:B3130,"2 1*")</f>
        <v>970311.28</v>
      </c>
      <c r="F796" s="31">
        <f>SUMIFS(F797:F3130,K797:K3130,"0",B797:B3130,"2 1*")</f>
        <v>109749124.03999999</v>
      </c>
      <c r="G796" s="31">
        <f>SUMIFS(G797:G3130,K797:K3130,"0",B797:B3130,"2 1*")</f>
        <v>108795494.58999999</v>
      </c>
      <c r="H796" s="31"/>
      <c r="I796" s="31">
        <f t="shared" si="13"/>
        <v>16681.829999998212</v>
      </c>
      <c r="K796" t="s">
        <v>13</v>
      </c>
    </row>
    <row r="797" spans="2:11" ht="13" x14ac:dyDescent="0.15">
      <c r="B797" s="29" t="s">
        <v>1163</v>
      </c>
      <c r="C797" s="29" t="s">
        <v>1164</v>
      </c>
      <c r="D797"/>
      <c r="E797" s="31">
        <f>SUMIFS(E798:E3130,K798:K3130,"0",B798:B3130,"2 1 1*")-SUMIFS(D798:D3130,K798:K3130,"0",B798:B3130,"2 1 1*")</f>
        <v>970311.28</v>
      </c>
      <c r="F797" s="31">
        <f>SUMIFS(F798:F3130,K798:K3130,"0",B798:B3130,"2 1 1*")</f>
        <v>107702610.38</v>
      </c>
      <c r="G797" s="31">
        <f>SUMIFS(G798:G3130,K798:K3130,"0",B798:B3130,"2 1 1*")</f>
        <v>106748980.92999999</v>
      </c>
      <c r="H797" s="31"/>
      <c r="I797" s="31">
        <f t="shared" si="13"/>
        <v>16681.829999998212</v>
      </c>
      <c r="K797" t="s">
        <v>13</v>
      </c>
    </row>
    <row r="798" spans="2:11" ht="13" x14ac:dyDescent="0.15">
      <c r="B798" s="29" t="s">
        <v>1165</v>
      </c>
      <c r="C798" s="29" t="s">
        <v>1166</v>
      </c>
      <c r="D798"/>
      <c r="E798" s="31">
        <f>SUMIFS(E799:E3130,K799:K3130,"0",B799:B3130,"2 1 1 1*")-SUMIFS(D799:D3130,K799:K3130,"0",B799:B3130,"2 1 1 1*")</f>
        <v>1100</v>
      </c>
      <c r="F798" s="31">
        <f>SUMIFS(F799:F3130,K799:K3130,"0",B799:B3130,"2 1 1 1*")</f>
        <v>17661822.25</v>
      </c>
      <c r="G798" s="31">
        <f>SUMIFS(G799:G3130,K799:K3130,"0",B799:B3130,"2 1 1 1*")</f>
        <v>17668222.25</v>
      </c>
      <c r="H798" s="31"/>
      <c r="I798" s="31">
        <f t="shared" si="13"/>
        <v>7500</v>
      </c>
      <c r="K798" t="s">
        <v>13</v>
      </c>
    </row>
    <row r="799" spans="2:11" ht="13" x14ac:dyDescent="0.15">
      <c r="B799" s="29" t="s">
        <v>1167</v>
      </c>
      <c r="C799" s="29" t="s">
        <v>1168</v>
      </c>
      <c r="D799"/>
      <c r="E799" s="31">
        <f>SUMIFS(E800:E3130,K800:K3130,"0",B800:B3130,"2 1 1 1 1*")-SUMIFS(D800:D3130,K800:K3130,"0",B800:B3130,"2 1 1 1 1*")</f>
        <v>1100</v>
      </c>
      <c r="F799" s="31">
        <f>SUMIFS(F800:F3130,K800:K3130,"0",B800:B3130,"2 1 1 1 1*")</f>
        <v>17661822.25</v>
      </c>
      <c r="G799" s="31">
        <f>SUMIFS(G800:G3130,K800:K3130,"0",B800:B3130,"2 1 1 1 1*")</f>
        <v>17668222.25</v>
      </c>
      <c r="H799" s="31"/>
      <c r="I799" s="31">
        <f t="shared" si="13"/>
        <v>7500</v>
      </c>
      <c r="K799" t="s">
        <v>13</v>
      </c>
    </row>
    <row r="800" spans="2:11" ht="13" x14ac:dyDescent="0.15">
      <c r="B800" s="29" t="s">
        <v>1169</v>
      </c>
      <c r="C800" s="29" t="s">
        <v>24</v>
      </c>
      <c r="D800"/>
      <c r="E800" s="31">
        <f>SUMIFS(E801:E3130,K801:K3130,"0",B801:B3130,"2 1 1 1 1 12*")-SUMIFS(D801:D3130,K801:K3130,"0",B801:B3130,"2 1 1 1 1 12*")</f>
        <v>1100</v>
      </c>
      <c r="F800" s="31">
        <f>SUMIFS(F801:F3130,K801:K3130,"0",B801:B3130,"2 1 1 1 1 12*")</f>
        <v>17661822.25</v>
      </c>
      <c r="G800" s="31">
        <f>SUMIFS(G801:G3130,K801:K3130,"0",B801:B3130,"2 1 1 1 1 12*")</f>
        <v>17668222.25</v>
      </c>
      <c r="H800" s="31"/>
      <c r="I800" s="31">
        <f t="shared" si="13"/>
        <v>7500</v>
      </c>
      <c r="K800" t="s">
        <v>13</v>
      </c>
    </row>
    <row r="801" spans="2:11" ht="13" x14ac:dyDescent="0.15">
      <c r="B801" s="29" t="s">
        <v>1170</v>
      </c>
      <c r="C801" s="29" t="s">
        <v>26</v>
      </c>
      <c r="D801"/>
      <c r="E801" s="31">
        <f>SUMIFS(E802:E3130,K802:K3130,"0",B802:B3130,"2 1 1 1 1 12 31111*")-SUMIFS(D802:D3130,K802:K3130,"0",B802:B3130,"2 1 1 1 1 12 31111*")</f>
        <v>1100</v>
      </c>
      <c r="F801" s="31">
        <f>SUMIFS(F802:F3130,K802:K3130,"0",B802:B3130,"2 1 1 1 1 12 31111*")</f>
        <v>17661822.25</v>
      </c>
      <c r="G801" s="31">
        <f>SUMIFS(G802:G3130,K802:K3130,"0",B802:B3130,"2 1 1 1 1 12 31111*")</f>
        <v>17668222.25</v>
      </c>
      <c r="H801" s="31"/>
      <c r="I801" s="31">
        <f t="shared" si="13"/>
        <v>7500</v>
      </c>
      <c r="K801" t="s">
        <v>13</v>
      </c>
    </row>
    <row r="802" spans="2:11" ht="13" x14ac:dyDescent="0.15">
      <c r="B802" s="29" t="s">
        <v>1171</v>
      </c>
      <c r="C802" s="29" t="s">
        <v>28</v>
      </c>
      <c r="D802"/>
      <c r="E802" s="31">
        <f>SUMIFS(E803:E3130,K803:K3130,"0",B803:B3130,"2 1 1 1 1 12 31111 6*")-SUMIFS(D803:D3130,K803:K3130,"0",B803:B3130,"2 1 1 1 1 12 31111 6*")</f>
        <v>1100</v>
      </c>
      <c r="F802" s="31">
        <f>SUMIFS(F803:F3130,K803:K3130,"0",B803:B3130,"2 1 1 1 1 12 31111 6*")</f>
        <v>17661822.25</v>
      </c>
      <c r="G802" s="31">
        <f>SUMIFS(G803:G3130,K803:K3130,"0",B803:B3130,"2 1 1 1 1 12 31111 6*")</f>
        <v>17668222.25</v>
      </c>
      <c r="H802" s="31"/>
      <c r="I802" s="31">
        <f t="shared" si="13"/>
        <v>7500</v>
      </c>
      <c r="K802" t="s">
        <v>13</v>
      </c>
    </row>
    <row r="803" spans="2:11" ht="13" x14ac:dyDescent="0.15">
      <c r="B803" s="29" t="s">
        <v>1172</v>
      </c>
      <c r="C803" s="29" t="s">
        <v>30</v>
      </c>
      <c r="D803"/>
      <c r="E803" s="31">
        <f>SUMIFS(E804:E3130,K804:K3130,"0",B804:B3130,"2 1 1 1 1 12 31111 6 M78*")-SUMIFS(D804:D3130,K804:K3130,"0",B804:B3130,"2 1 1 1 1 12 31111 6 M78*")</f>
        <v>1100</v>
      </c>
      <c r="F803" s="31">
        <f>SUMIFS(F804:F3130,K804:K3130,"0",B804:B3130,"2 1 1 1 1 12 31111 6 M78*")</f>
        <v>17661822.25</v>
      </c>
      <c r="G803" s="31">
        <f>SUMIFS(G804:G3130,K804:K3130,"0",B804:B3130,"2 1 1 1 1 12 31111 6 M78*")</f>
        <v>17668222.25</v>
      </c>
      <c r="H803" s="31"/>
      <c r="I803" s="31">
        <f t="shared" si="13"/>
        <v>7500</v>
      </c>
      <c r="K803" t="s">
        <v>13</v>
      </c>
    </row>
    <row r="804" spans="2:11" ht="13" x14ac:dyDescent="0.15">
      <c r="B804" s="29" t="s">
        <v>1173</v>
      </c>
      <c r="C804" s="29" t="s">
        <v>32</v>
      </c>
      <c r="D804"/>
      <c r="E804" s="31">
        <f>SUMIFS(E805:E3130,K805:K3130,"0",B805:B3130,"2 1 1 1 1 12 31111 6 M78 00001*")-SUMIFS(D805:D3130,K805:K3130,"0",B805:B3130,"2 1 1 1 1 12 31111 6 M78 00001*")</f>
        <v>0</v>
      </c>
      <c r="F804" s="31">
        <f>SUMIFS(F805:F3130,K805:K3130,"0",B805:B3130,"2 1 1 1 1 12 31111 6 M78 00001*")</f>
        <v>11392476.449999999</v>
      </c>
      <c r="G804" s="31">
        <f>SUMIFS(G805:G3130,K805:K3130,"0",B805:B3130,"2 1 1 1 1 12 31111 6 M78 00001*")</f>
        <v>11399976.449999999</v>
      </c>
      <c r="H804" s="31"/>
      <c r="I804" s="31">
        <f t="shared" si="13"/>
        <v>7500</v>
      </c>
      <c r="K804" t="s">
        <v>13</v>
      </c>
    </row>
    <row r="805" spans="2:11" ht="13" x14ac:dyDescent="0.15">
      <c r="B805" s="27" t="s">
        <v>1174</v>
      </c>
      <c r="C805" s="27" t="s">
        <v>1175</v>
      </c>
      <c r="D805" s="30"/>
      <c r="E805" s="30">
        <v>0</v>
      </c>
      <c r="F805" s="30">
        <v>11392476.449999999</v>
      </c>
      <c r="G805" s="30">
        <v>11399976.449999999</v>
      </c>
      <c r="H805" s="30"/>
      <c r="I805" s="30">
        <f t="shared" si="13"/>
        <v>7500</v>
      </c>
      <c r="K805" t="s">
        <v>37</v>
      </c>
    </row>
    <row r="806" spans="2:11" ht="13" x14ac:dyDescent="0.15">
      <c r="B806" s="29" t="s">
        <v>1176</v>
      </c>
      <c r="C806" s="29" t="s">
        <v>1177</v>
      </c>
      <c r="D806"/>
      <c r="E806" s="31">
        <f>SUMIFS(E807:E3130,K807:K3130,"0",B807:B3130,"2 1 1 1 1 12 31111 6 M78 00003*")-SUMIFS(D807:D3130,K807:K3130,"0",B807:B3130,"2 1 1 1 1 12 31111 6 M78 00003*")</f>
        <v>1100</v>
      </c>
      <c r="F806" s="31">
        <f>SUMIFS(F807:F3130,K807:K3130,"0",B807:B3130,"2 1 1 1 1 12 31111 6 M78 00003*")</f>
        <v>6269345.7999999998</v>
      </c>
      <c r="G806" s="31">
        <f>SUMIFS(G807:G3130,K807:K3130,"0",B807:B3130,"2 1 1 1 1 12 31111 6 M78 00003*")</f>
        <v>6268245.7999999998</v>
      </c>
      <c r="H806" s="31"/>
      <c r="I806" s="31">
        <f t="shared" si="13"/>
        <v>0</v>
      </c>
      <c r="K806" t="s">
        <v>13</v>
      </c>
    </row>
    <row r="807" spans="2:11" ht="13" x14ac:dyDescent="0.15">
      <c r="B807" s="27" t="s">
        <v>1178</v>
      </c>
      <c r="C807" s="27" t="s">
        <v>1179</v>
      </c>
      <c r="D807" s="30"/>
      <c r="E807" s="30">
        <v>0</v>
      </c>
      <c r="F807" s="30">
        <v>345500</v>
      </c>
      <c r="G807" s="30">
        <v>345500</v>
      </c>
      <c r="H807" s="30"/>
      <c r="I807" s="30">
        <f t="shared" si="13"/>
        <v>0</v>
      </c>
      <c r="K807" t="s">
        <v>37</v>
      </c>
    </row>
    <row r="808" spans="2:11" ht="13" x14ac:dyDescent="0.15">
      <c r="B808" s="27" t="s">
        <v>1180</v>
      </c>
      <c r="C808" s="27" t="s">
        <v>1175</v>
      </c>
      <c r="D808" s="30"/>
      <c r="E808" s="30">
        <v>1100</v>
      </c>
      <c r="F808" s="30">
        <v>5923845.7999999998</v>
      </c>
      <c r="G808" s="30">
        <v>5922745.7999999998</v>
      </c>
      <c r="H808" s="30"/>
      <c r="I808" s="30">
        <f t="shared" si="13"/>
        <v>0</v>
      </c>
      <c r="K808" t="s">
        <v>37</v>
      </c>
    </row>
    <row r="809" spans="2:11" ht="13" x14ac:dyDescent="0.15">
      <c r="B809" s="29" t="s">
        <v>1181</v>
      </c>
      <c r="C809" s="29" t="s">
        <v>1182</v>
      </c>
      <c r="D809"/>
      <c r="E809" s="31">
        <f>SUMIFS(E810:E3130,K810:K3130,"0",B810:B3130,"2 1 1 2*")-SUMIFS(D810:D3130,K810:K3130,"0",B810:B3130,"2 1 1 2*")</f>
        <v>210878.65</v>
      </c>
      <c r="F809" s="31">
        <f>SUMIFS(F810:F3130,K810:K3130,"0",B810:B3130,"2 1 1 2*")</f>
        <v>15177404.940000001</v>
      </c>
      <c r="G809" s="31">
        <f>SUMIFS(G810:G3130,K810:K3130,"0",B810:B3130,"2 1 1 2*")</f>
        <v>14966526.289999999</v>
      </c>
      <c r="H809" s="31"/>
      <c r="I809" s="31">
        <f t="shared" si="13"/>
        <v>0</v>
      </c>
      <c r="K809" t="s">
        <v>13</v>
      </c>
    </row>
    <row r="810" spans="2:11" ht="22" x14ac:dyDescent="0.15">
      <c r="B810" s="29" t="s">
        <v>1183</v>
      </c>
      <c r="C810" s="29" t="s">
        <v>1184</v>
      </c>
      <c r="D810"/>
      <c r="E810" s="31">
        <f>SUMIFS(E811:E3130,K811:K3130,"0",B811:B3130,"2 1 1 2 1*")-SUMIFS(D811:D3130,K811:K3130,"0",B811:B3130,"2 1 1 2 1*")</f>
        <v>210878.65</v>
      </c>
      <c r="F810" s="31">
        <f>SUMIFS(F811:F3130,K811:K3130,"0",B811:B3130,"2 1 1 2 1*")</f>
        <v>15177404.940000001</v>
      </c>
      <c r="G810" s="31">
        <f>SUMIFS(G811:G3130,K811:K3130,"0",B811:B3130,"2 1 1 2 1*")</f>
        <v>14966526.289999999</v>
      </c>
      <c r="H810" s="31"/>
      <c r="I810" s="31">
        <f t="shared" si="13"/>
        <v>0</v>
      </c>
      <c r="K810" t="s">
        <v>13</v>
      </c>
    </row>
    <row r="811" spans="2:11" ht="13" x14ac:dyDescent="0.15">
      <c r="B811" s="29" t="s">
        <v>1185</v>
      </c>
      <c r="C811" s="29" t="s">
        <v>24</v>
      </c>
      <c r="D811"/>
      <c r="E811" s="31">
        <f>SUMIFS(E812:E3130,K812:K3130,"0",B812:B3130,"2 1 1 2 1 12*")-SUMIFS(D812:D3130,K812:K3130,"0",B812:B3130,"2 1 1 2 1 12*")</f>
        <v>210878.65</v>
      </c>
      <c r="F811" s="31">
        <f>SUMIFS(F812:F3130,K812:K3130,"0",B812:B3130,"2 1 1 2 1 12*")</f>
        <v>15177404.940000001</v>
      </c>
      <c r="G811" s="31">
        <f>SUMIFS(G812:G3130,K812:K3130,"0",B812:B3130,"2 1 1 2 1 12*")</f>
        <v>14966526.289999999</v>
      </c>
      <c r="H811" s="31"/>
      <c r="I811" s="31">
        <f t="shared" si="13"/>
        <v>0</v>
      </c>
      <c r="K811" t="s">
        <v>13</v>
      </c>
    </row>
    <row r="812" spans="2:11" ht="13" x14ac:dyDescent="0.15">
      <c r="B812" s="29" t="s">
        <v>1186</v>
      </c>
      <c r="C812" s="29" t="s">
        <v>26</v>
      </c>
      <c r="D812"/>
      <c r="E812" s="31">
        <f>SUMIFS(E813:E3130,K813:K3130,"0",B813:B3130,"2 1 1 2 1 12 31111*")-SUMIFS(D813:D3130,K813:K3130,"0",B813:B3130,"2 1 1 2 1 12 31111*")</f>
        <v>210878.65</v>
      </c>
      <c r="F812" s="31">
        <f>SUMIFS(F813:F3130,K813:K3130,"0",B813:B3130,"2 1 1 2 1 12 31111*")</f>
        <v>15177404.940000001</v>
      </c>
      <c r="G812" s="31">
        <f>SUMIFS(G813:G3130,K813:K3130,"0",B813:B3130,"2 1 1 2 1 12 31111*")</f>
        <v>14966526.289999999</v>
      </c>
      <c r="H812" s="31"/>
      <c r="I812" s="31">
        <f t="shared" si="13"/>
        <v>0</v>
      </c>
      <c r="K812" t="s">
        <v>13</v>
      </c>
    </row>
    <row r="813" spans="2:11" ht="13" x14ac:dyDescent="0.15">
      <c r="B813" s="29" t="s">
        <v>1187</v>
      </c>
      <c r="C813" s="29" t="s">
        <v>28</v>
      </c>
      <c r="D813"/>
      <c r="E813" s="31">
        <f>SUMIFS(E814:E3130,K814:K3130,"0",B814:B3130,"2 1 1 2 1 12 31111 6*")-SUMIFS(D814:D3130,K814:K3130,"0",B814:B3130,"2 1 1 2 1 12 31111 6*")</f>
        <v>210878.65</v>
      </c>
      <c r="F813" s="31">
        <f>SUMIFS(F814:F3130,K814:K3130,"0",B814:B3130,"2 1 1 2 1 12 31111 6*")</f>
        <v>15177404.940000001</v>
      </c>
      <c r="G813" s="31">
        <f>SUMIFS(G814:G3130,K814:K3130,"0",B814:B3130,"2 1 1 2 1 12 31111 6*")</f>
        <v>14966526.289999999</v>
      </c>
      <c r="H813" s="31"/>
      <c r="I813" s="31">
        <f t="shared" si="13"/>
        <v>0</v>
      </c>
      <c r="K813" t="s">
        <v>13</v>
      </c>
    </row>
    <row r="814" spans="2:11" ht="13" x14ac:dyDescent="0.15">
      <c r="B814" s="29" t="s">
        <v>1188</v>
      </c>
      <c r="C814" s="29" t="s">
        <v>30</v>
      </c>
      <c r="D814"/>
      <c r="E814" s="31">
        <f>SUMIFS(E815:E3130,K815:K3130,"0",B815:B3130,"2 1 1 2 1 12 31111 6 M78*")-SUMIFS(D815:D3130,K815:K3130,"0",B815:B3130,"2 1 1 2 1 12 31111 6 M78*")</f>
        <v>210878.65</v>
      </c>
      <c r="F814" s="31">
        <f>SUMIFS(F815:F3130,K815:K3130,"0",B815:B3130,"2 1 1 2 1 12 31111 6 M78*")</f>
        <v>15177404.940000001</v>
      </c>
      <c r="G814" s="31">
        <f>SUMIFS(G815:G3130,K815:K3130,"0",B815:B3130,"2 1 1 2 1 12 31111 6 M78*")</f>
        <v>14966526.289999999</v>
      </c>
      <c r="H814" s="31"/>
      <c r="I814" s="31">
        <f t="shared" si="13"/>
        <v>0</v>
      </c>
      <c r="K814" t="s">
        <v>13</v>
      </c>
    </row>
    <row r="815" spans="2:11" ht="13" x14ac:dyDescent="0.15">
      <c r="B815" s="29" t="s">
        <v>1189</v>
      </c>
      <c r="C815" s="29" t="s">
        <v>32</v>
      </c>
      <c r="D815"/>
      <c r="E815" s="31">
        <f>SUMIFS(E816:E3130,K816:K3130,"0",B816:B3130,"2 1 1 2 1 12 31111 6 M78 00001*")-SUMIFS(D816:D3130,K816:K3130,"0",B816:B3130,"2 1 1 2 1 12 31111 6 M78 00001*")</f>
        <v>0</v>
      </c>
      <c r="F815" s="31">
        <f>SUMIFS(F816:F3130,K816:K3130,"0",B816:B3130,"2 1 1 2 1 12 31111 6 M78 00001*")</f>
        <v>8101848.0399999991</v>
      </c>
      <c r="G815" s="31">
        <f>SUMIFS(G816:G3130,K816:K3130,"0",B816:B3130,"2 1 1 2 1 12 31111 6 M78 00001*")</f>
        <v>8101848.0399999991</v>
      </c>
      <c r="H815" s="31"/>
      <c r="I815" s="31">
        <f t="shared" si="13"/>
        <v>0</v>
      </c>
      <c r="K815" t="s">
        <v>13</v>
      </c>
    </row>
    <row r="816" spans="2:11" ht="13" x14ac:dyDescent="0.15">
      <c r="B816" s="27" t="s">
        <v>1190</v>
      </c>
      <c r="C816" s="27" t="s">
        <v>132</v>
      </c>
      <c r="D816" s="30"/>
      <c r="E816" s="30">
        <v>0</v>
      </c>
      <c r="F816" s="30">
        <v>591712.19999999995</v>
      </c>
      <c r="G816" s="30">
        <v>591712.19999999995</v>
      </c>
      <c r="H816" s="30"/>
      <c r="I816" s="30">
        <f t="shared" si="13"/>
        <v>0</v>
      </c>
      <c r="K816" t="s">
        <v>37</v>
      </c>
    </row>
    <row r="817" spans="2:11" ht="13" x14ac:dyDescent="0.15">
      <c r="B817" s="27" t="s">
        <v>1191</v>
      </c>
      <c r="C817" s="27" t="s">
        <v>1192</v>
      </c>
      <c r="D817" s="30"/>
      <c r="E817" s="30">
        <v>0</v>
      </c>
      <c r="F817" s="30">
        <v>23200</v>
      </c>
      <c r="G817" s="30">
        <v>23200</v>
      </c>
      <c r="H817" s="30"/>
      <c r="I817" s="30">
        <f t="shared" si="13"/>
        <v>0</v>
      </c>
      <c r="K817" t="s">
        <v>37</v>
      </c>
    </row>
    <row r="818" spans="2:11" ht="13" x14ac:dyDescent="0.15">
      <c r="B818" s="27" t="s">
        <v>1193</v>
      </c>
      <c r="C818" s="27" t="s">
        <v>136</v>
      </c>
      <c r="D818" s="30"/>
      <c r="E818" s="30">
        <v>0</v>
      </c>
      <c r="F818" s="30">
        <v>199495.27</v>
      </c>
      <c r="G818" s="30">
        <v>199495.27</v>
      </c>
      <c r="H818" s="30"/>
      <c r="I818" s="30">
        <f t="shared" si="13"/>
        <v>0</v>
      </c>
      <c r="K818" t="s">
        <v>37</v>
      </c>
    </row>
    <row r="819" spans="2:11" ht="13" x14ac:dyDescent="0.15">
      <c r="B819" s="27" t="s">
        <v>1194</v>
      </c>
      <c r="C819" s="27" t="s">
        <v>1195</v>
      </c>
      <c r="D819" s="30"/>
      <c r="E819" s="30">
        <v>0</v>
      </c>
      <c r="F819" s="30">
        <v>630166</v>
      </c>
      <c r="G819" s="30">
        <v>630166</v>
      </c>
      <c r="H819" s="30"/>
      <c r="I819" s="30">
        <f t="shared" si="13"/>
        <v>0</v>
      </c>
      <c r="K819" t="s">
        <v>37</v>
      </c>
    </row>
    <row r="820" spans="2:11" ht="13" x14ac:dyDescent="0.15">
      <c r="B820" s="27" t="s">
        <v>1196</v>
      </c>
      <c r="C820" s="27" t="s">
        <v>144</v>
      </c>
      <c r="D820" s="30"/>
      <c r="E820" s="30">
        <v>0</v>
      </c>
      <c r="F820" s="30">
        <v>144146.72</v>
      </c>
      <c r="G820" s="30">
        <v>144146.72</v>
      </c>
      <c r="H820" s="30"/>
      <c r="I820" s="30">
        <f t="shared" si="13"/>
        <v>0</v>
      </c>
      <c r="K820" t="s">
        <v>37</v>
      </c>
    </row>
    <row r="821" spans="2:11" ht="13" x14ac:dyDescent="0.15">
      <c r="B821" s="27" t="s">
        <v>1197</v>
      </c>
      <c r="C821" s="27" t="s">
        <v>1198</v>
      </c>
      <c r="D821" s="30"/>
      <c r="E821" s="30">
        <v>0</v>
      </c>
      <c r="F821" s="30">
        <v>689619.88</v>
      </c>
      <c r="G821" s="30">
        <v>689619.88</v>
      </c>
      <c r="H821" s="30"/>
      <c r="I821" s="30">
        <f t="shared" si="13"/>
        <v>0</v>
      </c>
      <c r="K821" t="s">
        <v>37</v>
      </c>
    </row>
    <row r="822" spans="2:11" ht="13" x14ac:dyDescent="0.15">
      <c r="B822" s="27" t="s">
        <v>1199</v>
      </c>
      <c r="C822" s="27" t="s">
        <v>1200</v>
      </c>
      <c r="D822" s="30"/>
      <c r="E822" s="30">
        <v>0</v>
      </c>
      <c r="F822" s="30">
        <v>32000</v>
      </c>
      <c r="G822" s="30">
        <v>32000</v>
      </c>
      <c r="H822" s="30"/>
      <c r="I822" s="30">
        <f t="shared" si="13"/>
        <v>0</v>
      </c>
      <c r="K822" t="s">
        <v>37</v>
      </c>
    </row>
    <row r="823" spans="2:11" ht="13" x14ac:dyDescent="0.15">
      <c r="B823" s="27" t="s">
        <v>1201</v>
      </c>
      <c r="C823" s="27" t="s">
        <v>1202</v>
      </c>
      <c r="D823" s="30"/>
      <c r="E823" s="30">
        <v>0</v>
      </c>
      <c r="F823" s="30">
        <v>28000</v>
      </c>
      <c r="G823" s="30">
        <v>28000</v>
      </c>
      <c r="H823" s="30"/>
      <c r="I823" s="30">
        <f t="shared" si="13"/>
        <v>0</v>
      </c>
      <c r="K823" t="s">
        <v>37</v>
      </c>
    </row>
    <row r="824" spans="2:11" ht="13" x14ac:dyDescent="0.15">
      <c r="B824" s="27" t="s">
        <v>1203</v>
      </c>
      <c r="C824" s="27" t="s">
        <v>1204</v>
      </c>
      <c r="D824" s="30"/>
      <c r="E824" s="30">
        <v>0</v>
      </c>
      <c r="F824" s="30">
        <v>24360</v>
      </c>
      <c r="G824" s="30">
        <v>24360</v>
      </c>
      <c r="H824" s="30"/>
      <c r="I824" s="30">
        <f t="shared" si="13"/>
        <v>0</v>
      </c>
      <c r="K824" t="s">
        <v>37</v>
      </c>
    </row>
    <row r="825" spans="2:11" ht="13" x14ac:dyDescent="0.15">
      <c r="B825" s="27" t="s">
        <v>1205</v>
      </c>
      <c r="C825" s="27" t="s">
        <v>1206</v>
      </c>
      <c r="D825" s="30"/>
      <c r="E825" s="30">
        <v>0</v>
      </c>
      <c r="F825" s="30">
        <v>32955.599999999999</v>
      </c>
      <c r="G825" s="30">
        <v>32955.599999999999</v>
      </c>
      <c r="H825" s="30"/>
      <c r="I825" s="30">
        <f t="shared" si="13"/>
        <v>0</v>
      </c>
      <c r="K825" t="s">
        <v>37</v>
      </c>
    </row>
    <row r="826" spans="2:11" ht="13" x14ac:dyDescent="0.15">
      <c r="B826" s="27" t="s">
        <v>1207</v>
      </c>
      <c r="C826" s="27" t="s">
        <v>1208</v>
      </c>
      <c r="D826" s="30"/>
      <c r="E826" s="30">
        <v>0</v>
      </c>
      <c r="F826" s="30">
        <v>31695.84</v>
      </c>
      <c r="G826" s="30">
        <v>31695.84</v>
      </c>
      <c r="H826" s="30"/>
      <c r="I826" s="30">
        <f t="shared" si="13"/>
        <v>0</v>
      </c>
      <c r="K826" t="s">
        <v>37</v>
      </c>
    </row>
    <row r="827" spans="2:11" ht="13" x14ac:dyDescent="0.15">
      <c r="B827" s="27" t="s">
        <v>1209</v>
      </c>
      <c r="C827" s="27" t="s">
        <v>1210</v>
      </c>
      <c r="D827" s="30"/>
      <c r="E827" s="30">
        <v>0</v>
      </c>
      <c r="F827" s="30">
        <v>53392.480000000003</v>
      </c>
      <c r="G827" s="30">
        <v>53392.480000000003</v>
      </c>
      <c r="H827" s="30"/>
      <c r="I827" s="30">
        <f t="shared" si="13"/>
        <v>0</v>
      </c>
      <c r="K827" t="s">
        <v>37</v>
      </c>
    </row>
    <row r="828" spans="2:11" ht="13" x14ac:dyDescent="0.15">
      <c r="B828" s="27" t="s">
        <v>1211</v>
      </c>
      <c r="C828" s="27" t="s">
        <v>1212</v>
      </c>
      <c r="D828" s="30"/>
      <c r="E828" s="30">
        <v>0</v>
      </c>
      <c r="F828" s="30">
        <v>1616796.04</v>
      </c>
      <c r="G828" s="30">
        <v>1616796.04</v>
      </c>
      <c r="H828" s="30"/>
      <c r="I828" s="30">
        <f t="shared" si="13"/>
        <v>0</v>
      </c>
      <c r="K828" t="s">
        <v>37</v>
      </c>
    </row>
    <row r="829" spans="2:11" ht="13" x14ac:dyDescent="0.15">
      <c r="B829" s="27" t="s">
        <v>1213</v>
      </c>
      <c r="C829" s="27" t="s">
        <v>1214</v>
      </c>
      <c r="D829" s="30"/>
      <c r="E829" s="30">
        <v>0</v>
      </c>
      <c r="F829" s="30">
        <v>629900</v>
      </c>
      <c r="G829" s="30">
        <v>629900</v>
      </c>
      <c r="H829" s="30"/>
      <c r="I829" s="30">
        <f t="shared" si="13"/>
        <v>0</v>
      </c>
      <c r="K829" t="s">
        <v>37</v>
      </c>
    </row>
    <row r="830" spans="2:11" ht="13" x14ac:dyDescent="0.15">
      <c r="B830" s="27" t="s">
        <v>1215</v>
      </c>
      <c r="C830" s="27" t="s">
        <v>1216</v>
      </c>
      <c r="D830" s="30"/>
      <c r="E830" s="30">
        <v>0</v>
      </c>
      <c r="F830" s="30">
        <v>235270</v>
      </c>
      <c r="G830" s="30">
        <v>235270</v>
      </c>
      <c r="H830" s="30"/>
      <c r="I830" s="30">
        <f t="shared" si="13"/>
        <v>0</v>
      </c>
      <c r="K830" t="s">
        <v>37</v>
      </c>
    </row>
    <row r="831" spans="2:11" ht="13" x14ac:dyDescent="0.15">
      <c r="B831" s="27" t="s">
        <v>1217</v>
      </c>
      <c r="C831" s="27" t="s">
        <v>235</v>
      </c>
      <c r="D831" s="30"/>
      <c r="E831" s="30">
        <v>0</v>
      </c>
      <c r="F831" s="30">
        <v>690965</v>
      </c>
      <c r="G831" s="30">
        <v>690965</v>
      </c>
      <c r="H831" s="30"/>
      <c r="I831" s="30">
        <f t="shared" si="13"/>
        <v>0</v>
      </c>
      <c r="K831" t="s">
        <v>37</v>
      </c>
    </row>
    <row r="832" spans="2:11" ht="13" x14ac:dyDescent="0.15">
      <c r="B832" s="27" t="s">
        <v>1218</v>
      </c>
      <c r="C832" s="27" t="s">
        <v>1219</v>
      </c>
      <c r="D832" s="30"/>
      <c r="E832" s="30">
        <v>0</v>
      </c>
      <c r="F832" s="30">
        <v>8981</v>
      </c>
      <c r="G832" s="30">
        <v>8981</v>
      </c>
      <c r="H832" s="30"/>
      <c r="I832" s="30">
        <f t="shared" si="13"/>
        <v>0</v>
      </c>
      <c r="K832" t="s">
        <v>37</v>
      </c>
    </row>
    <row r="833" spans="2:11" ht="13" x14ac:dyDescent="0.15">
      <c r="B833" s="27" t="s">
        <v>1220</v>
      </c>
      <c r="C833" s="27" t="s">
        <v>1221</v>
      </c>
      <c r="D833" s="30"/>
      <c r="E833" s="30">
        <v>0</v>
      </c>
      <c r="F833" s="30">
        <v>249235</v>
      </c>
      <c r="G833" s="30">
        <v>249235</v>
      </c>
      <c r="H833" s="30"/>
      <c r="I833" s="30">
        <f t="shared" si="13"/>
        <v>0</v>
      </c>
      <c r="K833" t="s">
        <v>37</v>
      </c>
    </row>
    <row r="834" spans="2:11" ht="13" x14ac:dyDescent="0.15">
      <c r="B834" s="27" t="s">
        <v>1222</v>
      </c>
      <c r="C834" s="27" t="s">
        <v>1223</v>
      </c>
      <c r="D834" s="30"/>
      <c r="E834" s="30">
        <v>0</v>
      </c>
      <c r="F834" s="30">
        <v>21933.279999999999</v>
      </c>
      <c r="G834" s="30">
        <v>21933.279999999999</v>
      </c>
      <c r="H834" s="30"/>
      <c r="I834" s="30">
        <f t="shared" si="13"/>
        <v>0</v>
      </c>
      <c r="K834" t="s">
        <v>37</v>
      </c>
    </row>
    <row r="835" spans="2:11" ht="13" x14ac:dyDescent="0.15">
      <c r="B835" s="27" t="s">
        <v>1224</v>
      </c>
      <c r="C835" s="27" t="s">
        <v>1225</v>
      </c>
      <c r="D835" s="30"/>
      <c r="E835" s="30">
        <v>0</v>
      </c>
      <c r="F835" s="30">
        <v>80000</v>
      </c>
      <c r="G835" s="30">
        <v>80000</v>
      </c>
      <c r="H835" s="30"/>
      <c r="I835" s="30">
        <f t="shared" si="13"/>
        <v>0</v>
      </c>
      <c r="K835" t="s">
        <v>37</v>
      </c>
    </row>
    <row r="836" spans="2:11" ht="13" x14ac:dyDescent="0.15">
      <c r="B836" s="27" t="s">
        <v>1226</v>
      </c>
      <c r="C836" s="27" t="s">
        <v>1227</v>
      </c>
      <c r="D836" s="30"/>
      <c r="E836" s="30">
        <v>0</v>
      </c>
      <c r="F836" s="30">
        <v>55680</v>
      </c>
      <c r="G836" s="30">
        <v>55680</v>
      </c>
      <c r="H836" s="30"/>
      <c r="I836" s="30">
        <f t="shared" si="13"/>
        <v>0</v>
      </c>
      <c r="K836" t="s">
        <v>37</v>
      </c>
    </row>
    <row r="837" spans="2:11" ht="13" x14ac:dyDescent="0.15">
      <c r="B837" s="27" t="s">
        <v>1228</v>
      </c>
      <c r="C837" s="27" t="s">
        <v>1229</v>
      </c>
      <c r="D837" s="30"/>
      <c r="E837" s="30">
        <v>0</v>
      </c>
      <c r="F837" s="30">
        <v>58000</v>
      </c>
      <c r="G837" s="30">
        <v>58000</v>
      </c>
      <c r="H837" s="30"/>
      <c r="I837" s="30">
        <f t="shared" si="13"/>
        <v>0</v>
      </c>
      <c r="K837" t="s">
        <v>37</v>
      </c>
    </row>
    <row r="838" spans="2:11" ht="13" x14ac:dyDescent="0.15">
      <c r="B838" s="27" t="s">
        <v>1230</v>
      </c>
      <c r="C838" s="27" t="s">
        <v>1231</v>
      </c>
      <c r="D838" s="30"/>
      <c r="E838" s="30">
        <v>0</v>
      </c>
      <c r="F838" s="30">
        <v>8804.4</v>
      </c>
      <c r="G838" s="30">
        <v>8804.4</v>
      </c>
      <c r="H838" s="30"/>
      <c r="I838" s="30">
        <f t="shared" si="13"/>
        <v>0</v>
      </c>
      <c r="K838" t="s">
        <v>37</v>
      </c>
    </row>
    <row r="839" spans="2:11" ht="13" x14ac:dyDescent="0.15">
      <c r="B839" s="27" t="s">
        <v>1232</v>
      </c>
      <c r="C839" s="27" t="s">
        <v>1233</v>
      </c>
      <c r="D839" s="30"/>
      <c r="E839" s="30">
        <v>0</v>
      </c>
      <c r="F839" s="30">
        <v>20000</v>
      </c>
      <c r="G839" s="30">
        <v>20000</v>
      </c>
      <c r="H839" s="30"/>
      <c r="I839" s="30">
        <f t="shared" si="13"/>
        <v>0</v>
      </c>
      <c r="K839" t="s">
        <v>37</v>
      </c>
    </row>
    <row r="840" spans="2:11" ht="13" x14ac:dyDescent="0.15">
      <c r="B840" s="27" t="s">
        <v>1234</v>
      </c>
      <c r="C840" s="27" t="s">
        <v>1235</v>
      </c>
      <c r="D840" s="30"/>
      <c r="E840" s="30">
        <v>0</v>
      </c>
      <c r="F840" s="30">
        <v>97625</v>
      </c>
      <c r="G840" s="30">
        <v>97625</v>
      </c>
      <c r="H840" s="30"/>
      <c r="I840" s="30">
        <f t="shared" si="13"/>
        <v>0</v>
      </c>
      <c r="K840" t="s">
        <v>37</v>
      </c>
    </row>
    <row r="841" spans="2:11" ht="13" x14ac:dyDescent="0.15">
      <c r="B841" s="27" t="s">
        <v>1236</v>
      </c>
      <c r="C841" s="27" t="s">
        <v>1237</v>
      </c>
      <c r="D841" s="30"/>
      <c r="E841" s="30">
        <v>0</v>
      </c>
      <c r="F841" s="30">
        <v>92100</v>
      </c>
      <c r="G841" s="30">
        <v>92100</v>
      </c>
      <c r="H841" s="30"/>
      <c r="I841" s="30">
        <f t="shared" si="13"/>
        <v>0</v>
      </c>
      <c r="K841" t="s">
        <v>37</v>
      </c>
    </row>
    <row r="842" spans="2:11" ht="13" x14ac:dyDescent="0.15">
      <c r="B842" s="27" t="s">
        <v>1238</v>
      </c>
      <c r="C842" s="27" t="s">
        <v>1239</v>
      </c>
      <c r="D842" s="30"/>
      <c r="E842" s="30">
        <v>0</v>
      </c>
      <c r="F842" s="30">
        <v>262316.21999999997</v>
      </c>
      <c r="G842" s="30">
        <v>262316.21999999997</v>
      </c>
      <c r="H842" s="30"/>
      <c r="I842" s="30">
        <f t="shared" si="13"/>
        <v>0</v>
      </c>
      <c r="K842" t="s">
        <v>37</v>
      </c>
    </row>
    <row r="843" spans="2:11" ht="13" x14ac:dyDescent="0.15">
      <c r="B843" s="27" t="s">
        <v>1240</v>
      </c>
      <c r="C843" s="27" t="s">
        <v>1241</v>
      </c>
      <c r="D843" s="30"/>
      <c r="E843" s="30">
        <v>0</v>
      </c>
      <c r="F843" s="30">
        <v>5800</v>
      </c>
      <c r="G843" s="30">
        <v>5800</v>
      </c>
      <c r="H843" s="30"/>
      <c r="I843" s="30">
        <f t="shared" si="13"/>
        <v>0</v>
      </c>
      <c r="K843" t="s">
        <v>37</v>
      </c>
    </row>
    <row r="844" spans="2:11" ht="13" x14ac:dyDescent="0.15">
      <c r="B844" s="27" t="s">
        <v>1242</v>
      </c>
      <c r="C844" s="27" t="s">
        <v>1243</v>
      </c>
      <c r="D844" s="30"/>
      <c r="E844" s="30">
        <v>0</v>
      </c>
      <c r="F844" s="30">
        <v>405132.31</v>
      </c>
      <c r="G844" s="30">
        <v>405132.31</v>
      </c>
      <c r="H844" s="30"/>
      <c r="I844" s="30">
        <f t="shared" si="13"/>
        <v>0</v>
      </c>
      <c r="K844" t="s">
        <v>37</v>
      </c>
    </row>
    <row r="845" spans="2:11" ht="13" x14ac:dyDescent="0.15">
      <c r="B845" s="27" t="s">
        <v>1244</v>
      </c>
      <c r="C845" s="27" t="s">
        <v>1245</v>
      </c>
      <c r="D845" s="30"/>
      <c r="E845" s="30">
        <v>0</v>
      </c>
      <c r="F845" s="30">
        <v>559800</v>
      </c>
      <c r="G845" s="30">
        <v>559800</v>
      </c>
      <c r="H845" s="30"/>
      <c r="I845" s="30">
        <f t="shared" si="13"/>
        <v>0</v>
      </c>
      <c r="K845" t="s">
        <v>37</v>
      </c>
    </row>
    <row r="846" spans="2:11" ht="13" x14ac:dyDescent="0.15">
      <c r="B846" s="27" t="s">
        <v>1246</v>
      </c>
      <c r="C846" s="27" t="s">
        <v>1247</v>
      </c>
      <c r="D846" s="30"/>
      <c r="E846" s="30">
        <v>0</v>
      </c>
      <c r="F846" s="30">
        <v>77065.8</v>
      </c>
      <c r="G846" s="30">
        <v>77065.8</v>
      </c>
      <c r="H846" s="30"/>
      <c r="I846" s="30">
        <f t="shared" si="13"/>
        <v>0</v>
      </c>
      <c r="K846" t="s">
        <v>37</v>
      </c>
    </row>
    <row r="847" spans="2:11" ht="13" x14ac:dyDescent="0.15">
      <c r="B847" s="27" t="s">
        <v>1248</v>
      </c>
      <c r="C847" s="27" t="s">
        <v>1249</v>
      </c>
      <c r="D847" s="30"/>
      <c r="E847" s="30">
        <v>0</v>
      </c>
      <c r="F847" s="30">
        <v>445700</v>
      </c>
      <c r="G847" s="30">
        <v>445700</v>
      </c>
      <c r="H847" s="30"/>
      <c r="I847" s="30">
        <f t="shared" si="13"/>
        <v>0</v>
      </c>
      <c r="K847" t="s">
        <v>37</v>
      </c>
    </row>
    <row r="848" spans="2:11" ht="13" x14ac:dyDescent="0.15">
      <c r="B848" s="29" t="s">
        <v>1250</v>
      </c>
      <c r="C848" s="29" t="s">
        <v>1251</v>
      </c>
      <c r="D848"/>
      <c r="E848" s="31">
        <f>SUMIFS(E849:E3130,K849:K3130,"0",B849:B3130,"2 1 1 2 1 12 31111 6 M78 00002*")-SUMIFS(D849:D3130,K849:K3130,"0",B849:B3130,"2 1 1 2 1 12 31111 6 M78 00002*")</f>
        <v>29095.43</v>
      </c>
      <c r="F848" s="31">
        <f>SUMIFS(F849:F3130,K849:K3130,"0",B849:B3130,"2 1 1 2 1 12 31111 6 M78 00002*")</f>
        <v>2121555.2800000003</v>
      </c>
      <c r="G848" s="31">
        <f>SUMIFS(G849:G3130,K849:K3130,"0",B849:B3130,"2 1 1 2 1 12 31111 6 M78 00002*")</f>
        <v>2092459.85</v>
      </c>
      <c r="H848" s="31"/>
      <c r="I848" s="31">
        <f t="shared" si="13"/>
        <v>0</v>
      </c>
      <c r="K848" t="s">
        <v>13</v>
      </c>
    </row>
    <row r="849" spans="2:11" ht="13" x14ac:dyDescent="0.15">
      <c r="B849" s="27" t="s">
        <v>1252</v>
      </c>
      <c r="C849" s="27" t="s">
        <v>235</v>
      </c>
      <c r="D849" s="30"/>
      <c r="E849" s="30">
        <v>0</v>
      </c>
      <c r="F849" s="30">
        <v>1051962.6000000001</v>
      </c>
      <c r="G849" s="30">
        <v>1051962.6000000001</v>
      </c>
      <c r="H849" s="30"/>
      <c r="I849" s="30">
        <f t="shared" si="13"/>
        <v>0</v>
      </c>
      <c r="K849" t="s">
        <v>37</v>
      </c>
    </row>
    <row r="850" spans="2:11" ht="13" x14ac:dyDescent="0.15">
      <c r="B850" s="27" t="s">
        <v>1253</v>
      </c>
      <c r="C850" s="27" t="s">
        <v>1254</v>
      </c>
      <c r="D850" s="30"/>
      <c r="E850" s="30">
        <v>0</v>
      </c>
      <c r="F850" s="30">
        <v>406000</v>
      </c>
      <c r="G850" s="30">
        <v>406000</v>
      </c>
      <c r="H850" s="30"/>
      <c r="I850" s="30">
        <f t="shared" si="13"/>
        <v>0</v>
      </c>
      <c r="K850" t="s">
        <v>37</v>
      </c>
    </row>
    <row r="851" spans="2:11" ht="13" x14ac:dyDescent="0.15">
      <c r="B851" s="27" t="s">
        <v>1255</v>
      </c>
      <c r="C851" s="27" t="s">
        <v>1256</v>
      </c>
      <c r="D851" s="30"/>
      <c r="E851" s="30">
        <v>0</v>
      </c>
      <c r="F851" s="30">
        <v>634497.25</v>
      </c>
      <c r="G851" s="30">
        <v>634497.25</v>
      </c>
      <c r="H851" s="30"/>
      <c r="I851" s="30">
        <f t="shared" si="13"/>
        <v>0</v>
      </c>
      <c r="K851" t="s">
        <v>37</v>
      </c>
    </row>
    <row r="852" spans="2:11" ht="13" x14ac:dyDescent="0.15">
      <c r="B852" s="27" t="s">
        <v>1257</v>
      </c>
      <c r="C852" s="27" t="s">
        <v>1258</v>
      </c>
      <c r="D852" s="30"/>
      <c r="E852" s="30">
        <v>29095.43</v>
      </c>
      <c r="F852" s="30">
        <v>29095.43</v>
      </c>
      <c r="G852" s="30">
        <v>0</v>
      </c>
      <c r="H852" s="30"/>
      <c r="I852" s="30">
        <f t="shared" si="13"/>
        <v>0</v>
      </c>
      <c r="K852" t="s">
        <v>37</v>
      </c>
    </row>
    <row r="853" spans="2:11" ht="13" x14ac:dyDescent="0.15">
      <c r="B853" s="29" t="s">
        <v>1259</v>
      </c>
      <c r="C853" s="29" t="s">
        <v>1177</v>
      </c>
      <c r="D853"/>
      <c r="E853" s="31">
        <f>SUMIFS(E854:E3130,K854:K3130,"0",B854:B3130,"2 1 1 2 1 12 31111 6 M78 00003*")-SUMIFS(D854:D3130,K854:K3130,"0",B854:B3130,"2 1 1 2 1 12 31111 6 M78 00003*")</f>
        <v>181783.22</v>
      </c>
      <c r="F853" s="31">
        <f>SUMIFS(F854:F3130,K854:K3130,"0",B854:B3130,"2 1 1 2 1 12 31111 6 M78 00003*")</f>
        <v>4853858.7</v>
      </c>
      <c r="G853" s="31">
        <f>SUMIFS(G854:G3130,K854:K3130,"0",B854:B3130,"2 1 1 2 1 12 31111 6 M78 00003*")</f>
        <v>4672075.4799999995</v>
      </c>
      <c r="H853" s="31"/>
      <c r="I853" s="31">
        <f t="shared" si="13"/>
        <v>0</v>
      </c>
      <c r="K853" t="s">
        <v>13</v>
      </c>
    </row>
    <row r="854" spans="2:11" ht="13" x14ac:dyDescent="0.15">
      <c r="B854" s="27" t="s">
        <v>1260</v>
      </c>
      <c r="C854" s="27" t="s">
        <v>132</v>
      </c>
      <c r="D854" s="30"/>
      <c r="E854" s="30">
        <v>181783.22</v>
      </c>
      <c r="F854" s="30">
        <v>551385.89</v>
      </c>
      <c r="G854" s="30">
        <v>369602.67</v>
      </c>
      <c r="H854" s="30"/>
      <c r="I854" s="30">
        <f t="shared" si="13"/>
        <v>0</v>
      </c>
      <c r="K854" t="s">
        <v>37</v>
      </c>
    </row>
    <row r="855" spans="2:11" ht="13" x14ac:dyDescent="0.15">
      <c r="B855" s="27" t="s">
        <v>1261</v>
      </c>
      <c r="C855" s="27" t="s">
        <v>1262</v>
      </c>
      <c r="D855" s="30"/>
      <c r="E855" s="30">
        <v>0</v>
      </c>
      <c r="F855" s="30">
        <v>1257207.29</v>
      </c>
      <c r="G855" s="30">
        <v>1257207.29</v>
      </c>
      <c r="H855" s="30"/>
      <c r="I855" s="30">
        <f t="shared" si="13"/>
        <v>0</v>
      </c>
      <c r="K855" t="s">
        <v>37</v>
      </c>
    </row>
    <row r="856" spans="2:11" ht="13" x14ac:dyDescent="0.15">
      <c r="B856" s="27" t="s">
        <v>1263</v>
      </c>
      <c r="C856" s="27" t="s">
        <v>1264</v>
      </c>
      <c r="D856" s="30"/>
      <c r="E856" s="30">
        <v>0</v>
      </c>
      <c r="F856" s="30">
        <v>210175.26</v>
      </c>
      <c r="G856" s="30">
        <v>210175.26</v>
      </c>
      <c r="H856" s="30"/>
      <c r="I856" s="30">
        <f t="shared" si="13"/>
        <v>0</v>
      </c>
      <c r="K856" t="s">
        <v>37</v>
      </c>
    </row>
    <row r="857" spans="2:11" ht="13" x14ac:dyDescent="0.15">
      <c r="B857" s="27" t="s">
        <v>1265</v>
      </c>
      <c r="C857" s="27" t="s">
        <v>235</v>
      </c>
      <c r="D857" s="30"/>
      <c r="E857" s="30">
        <v>0</v>
      </c>
      <c r="F857" s="30">
        <v>610660</v>
      </c>
      <c r="G857" s="30">
        <v>610660</v>
      </c>
      <c r="H857" s="30"/>
      <c r="I857" s="30">
        <f t="shared" si="13"/>
        <v>0</v>
      </c>
      <c r="K857" t="s">
        <v>37</v>
      </c>
    </row>
    <row r="858" spans="2:11" ht="13" x14ac:dyDescent="0.15">
      <c r="B858" s="27" t="s">
        <v>1266</v>
      </c>
      <c r="C858" s="27" t="s">
        <v>1212</v>
      </c>
      <c r="D858" s="30"/>
      <c r="E858" s="30">
        <v>0</v>
      </c>
      <c r="F858" s="30">
        <v>1111532.6299999999</v>
      </c>
      <c r="G858" s="30">
        <v>1111532.6299999999</v>
      </c>
      <c r="H858" s="30"/>
      <c r="I858" s="30">
        <f t="shared" si="13"/>
        <v>0</v>
      </c>
      <c r="K858" t="s">
        <v>37</v>
      </c>
    </row>
    <row r="859" spans="2:11" ht="13" x14ac:dyDescent="0.15">
      <c r="B859" s="27" t="s">
        <v>1267</v>
      </c>
      <c r="C859" s="27" t="s">
        <v>1214</v>
      </c>
      <c r="D859" s="30"/>
      <c r="E859" s="30">
        <v>0</v>
      </c>
      <c r="F859" s="30">
        <v>104980</v>
      </c>
      <c r="G859" s="30">
        <v>104980</v>
      </c>
      <c r="H859" s="30"/>
      <c r="I859" s="30">
        <f t="shared" ref="I859:I922" si="14">E859 - F859 + G859</f>
        <v>0</v>
      </c>
      <c r="K859" t="s">
        <v>37</v>
      </c>
    </row>
    <row r="860" spans="2:11" ht="13" x14ac:dyDescent="0.15">
      <c r="B860" s="27" t="s">
        <v>1268</v>
      </c>
      <c r="C860" s="27" t="s">
        <v>1216</v>
      </c>
      <c r="D860" s="30"/>
      <c r="E860" s="30">
        <v>0</v>
      </c>
      <c r="F860" s="30">
        <v>157400</v>
      </c>
      <c r="G860" s="30">
        <v>157400</v>
      </c>
      <c r="H860" s="30"/>
      <c r="I860" s="30">
        <f t="shared" si="14"/>
        <v>0</v>
      </c>
      <c r="K860" t="s">
        <v>37</v>
      </c>
    </row>
    <row r="861" spans="2:11" ht="13" x14ac:dyDescent="0.15">
      <c r="B861" s="27" t="s">
        <v>1269</v>
      </c>
      <c r="C861" s="27" t="s">
        <v>1223</v>
      </c>
      <c r="D861" s="30"/>
      <c r="E861" s="30">
        <v>0</v>
      </c>
      <c r="F861" s="30">
        <v>9120</v>
      </c>
      <c r="G861" s="30">
        <v>9120</v>
      </c>
      <c r="H861" s="30"/>
      <c r="I861" s="30">
        <f t="shared" si="14"/>
        <v>0</v>
      </c>
      <c r="K861" t="s">
        <v>37</v>
      </c>
    </row>
    <row r="862" spans="2:11" ht="13" x14ac:dyDescent="0.15">
      <c r="B862" s="27" t="s">
        <v>1270</v>
      </c>
      <c r="C862" s="27" t="s">
        <v>1271</v>
      </c>
      <c r="D862" s="30"/>
      <c r="E862" s="30">
        <v>0</v>
      </c>
      <c r="F862" s="30">
        <v>89150</v>
      </c>
      <c r="G862" s="30">
        <v>89150</v>
      </c>
      <c r="H862" s="30"/>
      <c r="I862" s="30">
        <f t="shared" si="14"/>
        <v>0</v>
      </c>
      <c r="K862" t="s">
        <v>37</v>
      </c>
    </row>
    <row r="863" spans="2:11" ht="13" x14ac:dyDescent="0.15">
      <c r="B863" s="27" t="s">
        <v>1272</v>
      </c>
      <c r="C863" s="27" t="s">
        <v>1225</v>
      </c>
      <c r="D863" s="30"/>
      <c r="E863" s="30">
        <v>0</v>
      </c>
      <c r="F863" s="30">
        <v>80000</v>
      </c>
      <c r="G863" s="30">
        <v>80000</v>
      </c>
      <c r="H863" s="30"/>
      <c r="I863" s="30">
        <f t="shared" si="14"/>
        <v>0</v>
      </c>
      <c r="K863" t="s">
        <v>37</v>
      </c>
    </row>
    <row r="864" spans="2:11" ht="13" x14ac:dyDescent="0.15">
      <c r="B864" s="27" t="s">
        <v>1273</v>
      </c>
      <c r="C864" s="27" t="s">
        <v>1258</v>
      </c>
      <c r="D864" s="30"/>
      <c r="E864" s="30">
        <v>0</v>
      </c>
      <c r="F864" s="30">
        <v>158590</v>
      </c>
      <c r="G864" s="30">
        <v>158590</v>
      </c>
      <c r="H864" s="30"/>
      <c r="I864" s="30">
        <f t="shared" si="14"/>
        <v>0</v>
      </c>
      <c r="K864" t="s">
        <v>37</v>
      </c>
    </row>
    <row r="865" spans="2:11" ht="13" x14ac:dyDescent="0.15">
      <c r="B865" s="27" t="s">
        <v>1274</v>
      </c>
      <c r="C865" s="27" t="s">
        <v>1275</v>
      </c>
      <c r="D865" s="30"/>
      <c r="E865" s="30">
        <v>0</v>
      </c>
      <c r="F865" s="30">
        <v>107700</v>
      </c>
      <c r="G865" s="30">
        <v>107700</v>
      </c>
      <c r="H865" s="30"/>
      <c r="I865" s="30">
        <f t="shared" si="14"/>
        <v>0</v>
      </c>
      <c r="K865" t="s">
        <v>37</v>
      </c>
    </row>
    <row r="866" spans="2:11" ht="13" x14ac:dyDescent="0.15">
      <c r="B866" s="27" t="s">
        <v>1276</v>
      </c>
      <c r="C866" s="27" t="s">
        <v>1277</v>
      </c>
      <c r="D866" s="30"/>
      <c r="E866" s="30">
        <v>0</v>
      </c>
      <c r="F866" s="30">
        <v>80794</v>
      </c>
      <c r="G866" s="30">
        <v>80794</v>
      </c>
      <c r="H866" s="30"/>
      <c r="I866" s="30">
        <f t="shared" si="14"/>
        <v>0</v>
      </c>
      <c r="K866" t="s">
        <v>37</v>
      </c>
    </row>
    <row r="867" spans="2:11" ht="13" x14ac:dyDescent="0.15">
      <c r="B867" s="27" t="s">
        <v>1278</v>
      </c>
      <c r="C867" s="27" t="s">
        <v>1279</v>
      </c>
      <c r="D867" s="30"/>
      <c r="E867" s="30">
        <v>0</v>
      </c>
      <c r="F867" s="30">
        <v>17600</v>
      </c>
      <c r="G867" s="30">
        <v>17600</v>
      </c>
      <c r="H867" s="30"/>
      <c r="I867" s="30">
        <f t="shared" si="14"/>
        <v>0</v>
      </c>
      <c r="K867" t="s">
        <v>37</v>
      </c>
    </row>
    <row r="868" spans="2:11" ht="13" x14ac:dyDescent="0.15">
      <c r="B868" s="27" t="s">
        <v>1280</v>
      </c>
      <c r="C868" s="27" t="s">
        <v>1243</v>
      </c>
      <c r="D868" s="30"/>
      <c r="E868" s="30">
        <v>0</v>
      </c>
      <c r="F868" s="30">
        <v>210683.63</v>
      </c>
      <c r="G868" s="30">
        <v>210683.63</v>
      </c>
      <c r="H868" s="30"/>
      <c r="I868" s="30">
        <f t="shared" si="14"/>
        <v>0</v>
      </c>
      <c r="K868" t="s">
        <v>37</v>
      </c>
    </row>
    <row r="869" spans="2:11" ht="13" x14ac:dyDescent="0.15">
      <c r="B869" s="27" t="s">
        <v>1281</v>
      </c>
      <c r="C869" s="27" t="s">
        <v>1204</v>
      </c>
      <c r="D869" s="30"/>
      <c r="E869" s="30">
        <v>0</v>
      </c>
      <c r="F869" s="30">
        <v>3480</v>
      </c>
      <c r="G869" s="30">
        <v>3480</v>
      </c>
      <c r="H869" s="30"/>
      <c r="I869" s="30">
        <f t="shared" si="14"/>
        <v>0</v>
      </c>
      <c r="K869" t="s">
        <v>37</v>
      </c>
    </row>
    <row r="870" spans="2:11" ht="13" x14ac:dyDescent="0.15">
      <c r="B870" s="27" t="s">
        <v>1282</v>
      </c>
      <c r="C870" s="27" t="s">
        <v>1249</v>
      </c>
      <c r="D870" s="30"/>
      <c r="E870" s="30">
        <v>0</v>
      </c>
      <c r="F870" s="30">
        <v>13400</v>
      </c>
      <c r="G870" s="30">
        <v>13400</v>
      </c>
      <c r="H870" s="30"/>
      <c r="I870" s="30">
        <f t="shared" si="14"/>
        <v>0</v>
      </c>
      <c r="K870" t="s">
        <v>37</v>
      </c>
    </row>
    <row r="871" spans="2:11" ht="13" x14ac:dyDescent="0.15">
      <c r="B871" s="27" t="s">
        <v>1283</v>
      </c>
      <c r="C871" s="27" t="s">
        <v>1284</v>
      </c>
      <c r="D871" s="30"/>
      <c r="E871" s="30">
        <v>0</v>
      </c>
      <c r="F871" s="30">
        <v>80000</v>
      </c>
      <c r="G871" s="30">
        <v>80000</v>
      </c>
      <c r="H871" s="30"/>
      <c r="I871" s="30">
        <f t="shared" si="14"/>
        <v>0</v>
      </c>
      <c r="K871" t="s">
        <v>37</v>
      </c>
    </row>
    <row r="872" spans="2:11" ht="13" x14ac:dyDescent="0.15">
      <c r="B872" s="29" t="s">
        <v>1285</v>
      </c>
      <c r="C872" s="29" t="s">
        <v>1286</v>
      </c>
      <c r="D872"/>
      <c r="E872" s="31">
        <f>SUMIFS(E873:E3130,K873:K3130,"0",B873:B3130,"2 1 1 2 1 12 31111 6 M78 00005*")-SUMIFS(D873:D3130,K873:K3130,"0",B873:B3130,"2 1 1 2 1 12 31111 6 M78 00005*")</f>
        <v>0</v>
      </c>
      <c r="F872" s="31">
        <f>SUMIFS(F873:F3130,K873:K3130,"0",B873:B3130,"2 1 1 2 1 12 31111 6 M78 00005*")</f>
        <v>100142.92</v>
      </c>
      <c r="G872" s="31">
        <f>SUMIFS(G873:G3130,K873:K3130,"0",B873:B3130,"2 1 1 2 1 12 31111 6 M78 00005*")</f>
        <v>100142.92</v>
      </c>
      <c r="H872" s="31"/>
      <c r="I872" s="31">
        <f t="shared" si="14"/>
        <v>0</v>
      </c>
      <c r="K872" t="s">
        <v>13</v>
      </c>
    </row>
    <row r="873" spans="2:11" ht="13" x14ac:dyDescent="0.15">
      <c r="B873" s="27" t="s">
        <v>1287</v>
      </c>
      <c r="C873" s="27" t="s">
        <v>132</v>
      </c>
      <c r="D873" s="30"/>
      <c r="E873" s="30">
        <v>0</v>
      </c>
      <c r="F873" s="30">
        <v>26458.400000000001</v>
      </c>
      <c r="G873" s="30">
        <v>26458.400000000001</v>
      </c>
      <c r="H873" s="30"/>
      <c r="I873" s="30">
        <f t="shared" si="14"/>
        <v>0</v>
      </c>
      <c r="K873" t="s">
        <v>37</v>
      </c>
    </row>
    <row r="874" spans="2:11" ht="13" x14ac:dyDescent="0.15">
      <c r="B874" s="27" t="s">
        <v>1288</v>
      </c>
      <c r="C874" s="27" t="s">
        <v>1212</v>
      </c>
      <c r="D874" s="30"/>
      <c r="E874" s="30">
        <v>0</v>
      </c>
      <c r="F874" s="30">
        <v>25570.74</v>
      </c>
      <c r="G874" s="30">
        <v>25570.74</v>
      </c>
      <c r="H874" s="30"/>
      <c r="I874" s="30">
        <f t="shared" si="14"/>
        <v>0</v>
      </c>
      <c r="K874" t="s">
        <v>37</v>
      </c>
    </row>
    <row r="875" spans="2:11" ht="13" x14ac:dyDescent="0.15">
      <c r="B875" s="27" t="s">
        <v>1289</v>
      </c>
      <c r="C875" s="27" t="s">
        <v>1290</v>
      </c>
      <c r="D875" s="30"/>
      <c r="E875" s="30">
        <v>0</v>
      </c>
      <c r="F875" s="30">
        <v>10236</v>
      </c>
      <c r="G875" s="30">
        <v>10236</v>
      </c>
      <c r="H875" s="30"/>
      <c r="I875" s="30">
        <f t="shared" si="14"/>
        <v>0</v>
      </c>
      <c r="K875" t="s">
        <v>37</v>
      </c>
    </row>
    <row r="876" spans="2:11" ht="13" x14ac:dyDescent="0.15">
      <c r="B876" s="27" t="s">
        <v>1291</v>
      </c>
      <c r="C876" s="27" t="s">
        <v>1227</v>
      </c>
      <c r="D876" s="30"/>
      <c r="E876" s="30">
        <v>0</v>
      </c>
      <c r="F876" s="30">
        <v>13920</v>
      </c>
      <c r="G876" s="30">
        <v>13920</v>
      </c>
      <c r="H876" s="30"/>
      <c r="I876" s="30">
        <f t="shared" si="14"/>
        <v>0</v>
      </c>
      <c r="K876" t="s">
        <v>37</v>
      </c>
    </row>
    <row r="877" spans="2:11" ht="13" x14ac:dyDescent="0.15">
      <c r="B877" s="27" t="s">
        <v>1292</v>
      </c>
      <c r="C877" s="27" t="s">
        <v>1293</v>
      </c>
      <c r="D877" s="30"/>
      <c r="E877" s="30">
        <v>0</v>
      </c>
      <c r="F877" s="30">
        <v>20868.41</v>
      </c>
      <c r="G877" s="30">
        <v>20868.41</v>
      </c>
      <c r="H877" s="30"/>
      <c r="I877" s="30">
        <f t="shared" si="14"/>
        <v>0</v>
      </c>
      <c r="K877" t="s">
        <v>37</v>
      </c>
    </row>
    <row r="878" spans="2:11" ht="13" x14ac:dyDescent="0.15">
      <c r="B878" s="27" t="s">
        <v>1294</v>
      </c>
      <c r="C878" s="27" t="s">
        <v>1290</v>
      </c>
      <c r="D878" s="30"/>
      <c r="E878" s="30">
        <v>0</v>
      </c>
      <c r="F878" s="30">
        <v>3089.37</v>
      </c>
      <c r="G878" s="30">
        <v>3089.37</v>
      </c>
      <c r="H878" s="30"/>
      <c r="I878" s="30">
        <f t="shared" si="14"/>
        <v>0</v>
      </c>
      <c r="K878" t="s">
        <v>37</v>
      </c>
    </row>
    <row r="879" spans="2:11" ht="13" x14ac:dyDescent="0.15">
      <c r="B879" s="29" t="s">
        <v>1295</v>
      </c>
      <c r="C879" s="29" t="s">
        <v>1296</v>
      </c>
      <c r="D879"/>
      <c r="E879" s="31">
        <f>SUMIFS(E880:E3130,K880:K3130,"0",B880:B3130,"2 1 1 3*")-SUMIFS(D880:D3130,K880:K3130,"0",B880:B3130,"2 1 1 3*")</f>
        <v>0</v>
      </c>
      <c r="F879" s="31">
        <f>SUMIFS(F880:F3130,K880:K3130,"0",B880:B3130,"2 1 1 3*")</f>
        <v>68529431.089999989</v>
      </c>
      <c r="G879" s="31">
        <f>SUMIFS(G880:G3130,K880:K3130,"0",B880:B3130,"2 1 1 3*")</f>
        <v>68529431.089999989</v>
      </c>
      <c r="H879" s="31"/>
      <c r="I879" s="31">
        <f t="shared" si="14"/>
        <v>0</v>
      </c>
      <c r="K879" t="s">
        <v>13</v>
      </c>
    </row>
    <row r="880" spans="2:11" ht="22" x14ac:dyDescent="0.15">
      <c r="B880" s="29" t="s">
        <v>1297</v>
      </c>
      <c r="C880" s="29" t="s">
        <v>1298</v>
      </c>
      <c r="D880"/>
      <c r="E880" s="31">
        <f>SUMIFS(E881:E3130,K881:K3130,"0",B881:B3130,"2 1 1 3 1*")-SUMIFS(D881:D3130,K881:K3130,"0",B881:B3130,"2 1 1 3 1*")</f>
        <v>0</v>
      </c>
      <c r="F880" s="31">
        <f>SUMIFS(F881:F3130,K881:K3130,"0",B881:B3130,"2 1 1 3 1*")</f>
        <v>68529431.089999989</v>
      </c>
      <c r="G880" s="31">
        <f>SUMIFS(G881:G3130,K881:K3130,"0",B881:B3130,"2 1 1 3 1*")</f>
        <v>68529431.089999989</v>
      </c>
      <c r="H880" s="31"/>
      <c r="I880" s="31">
        <f t="shared" si="14"/>
        <v>0</v>
      </c>
      <c r="K880" t="s">
        <v>13</v>
      </c>
    </row>
    <row r="881" spans="2:11" ht="13" x14ac:dyDescent="0.15">
      <c r="B881" s="27" t="s">
        <v>1299</v>
      </c>
      <c r="C881" s="27" t="s">
        <v>1300</v>
      </c>
      <c r="D881" s="30"/>
      <c r="E881" s="30">
        <v>0</v>
      </c>
      <c r="F881" s="30">
        <v>350000</v>
      </c>
      <c r="G881" s="30">
        <v>350000</v>
      </c>
      <c r="H881" s="30"/>
      <c r="I881" s="30">
        <f t="shared" si="14"/>
        <v>0</v>
      </c>
      <c r="K881" t="s">
        <v>37</v>
      </c>
    </row>
    <row r="882" spans="2:11" ht="13" x14ac:dyDescent="0.15">
      <c r="B882" s="29" t="s">
        <v>1301</v>
      </c>
      <c r="C882" s="29" t="s">
        <v>24</v>
      </c>
      <c r="D882"/>
      <c r="E882" s="31">
        <f>SUMIFS(E883:E3130,K883:K3130,"0",B883:B3130,"2 1 1 3 1 12*")-SUMIFS(D883:D3130,K883:K3130,"0",B883:B3130,"2 1 1 3 1 12*")</f>
        <v>0</v>
      </c>
      <c r="F882" s="31">
        <f>SUMIFS(F883:F3130,K883:K3130,"0",B883:B3130,"2 1 1 3 1 12*")</f>
        <v>68179431.089999989</v>
      </c>
      <c r="G882" s="31">
        <f>SUMIFS(G883:G3130,K883:K3130,"0",B883:B3130,"2 1 1 3 1 12*")</f>
        <v>68179431.089999989</v>
      </c>
      <c r="H882" s="31"/>
      <c r="I882" s="31">
        <f t="shared" si="14"/>
        <v>0</v>
      </c>
      <c r="K882" t="s">
        <v>13</v>
      </c>
    </row>
    <row r="883" spans="2:11" ht="13" x14ac:dyDescent="0.15">
      <c r="B883" s="29" t="s">
        <v>1302</v>
      </c>
      <c r="C883" s="29" t="s">
        <v>26</v>
      </c>
      <c r="D883"/>
      <c r="E883" s="31">
        <f>SUMIFS(E884:E3130,K884:K3130,"0",B884:B3130,"2 1 1 3 1 12 31111*")-SUMIFS(D884:D3130,K884:K3130,"0",B884:B3130,"2 1 1 3 1 12 31111*")</f>
        <v>0</v>
      </c>
      <c r="F883" s="31">
        <f>SUMIFS(F884:F3130,K884:K3130,"0",B884:B3130,"2 1 1 3 1 12 31111*")</f>
        <v>68179431.089999989</v>
      </c>
      <c r="G883" s="31">
        <f>SUMIFS(G884:G3130,K884:K3130,"0",B884:B3130,"2 1 1 3 1 12 31111*")</f>
        <v>68179431.089999989</v>
      </c>
      <c r="H883" s="31"/>
      <c r="I883" s="31">
        <f t="shared" si="14"/>
        <v>0</v>
      </c>
      <c r="K883" t="s">
        <v>13</v>
      </c>
    </row>
    <row r="884" spans="2:11" ht="13" x14ac:dyDescent="0.15">
      <c r="B884" s="29" t="s">
        <v>1303</v>
      </c>
      <c r="C884" s="29" t="s">
        <v>28</v>
      </c>
      <c r="D884"/>
      <c r="E884" s="31">
        <f>SUMIFS(E885:E3130,K885:K3130,"0",B885:B3130,"2 1 1 3 1 12 31111 6*")-SUMIFS(D885:D3130,K885:K3130,"0",B885:B3130,"2 1 1 3 1 12 31111 6*")</f>
        <v>0</v>
      </c>
      <c r="F884" s="31">
        <f>SUMIFS(F885:F3130,K885:K3130,"0",B885:B3130,"2 1 1 3 1 12 31111 6*")</f>
        <v>68179431.089999989</v>
      </c>
      <c r="G884" s="31">
        <f>SUMIFS(G885:G3130,K885:K3130,"0",B885:B3130,"2 1 1 3 1 12 31111 6*")</f>
        <v>68179431.089999989</v>
      </c>
      <c r="H884" s="31"/>
      <c r="I884" s="31">
        <f t="shared" si="14"/>
        <v>0</v>
      </c>
      <c r="K884" t="s">
        <v>13</v>
      </c>
    </row>
    <row r="885" spans="2:11" ht="13" x14ac:dyDescent="0.15">
      <c r="B885" s="29" t="s">
        <v>1304</v>
      </c>
      <c r="C885" s="29" t="s">
        <v>30</v>
      </c>
      <c r="D885"/>
      <c r="E885" s="31">
        <f>SUMIFS(E886:E3130,K886:K3130,"0",B886:B3130,"2 1 1 3 1 12 31111 6 M78*")-SUMIFS(D886:D3130,K886:K3130,"0",B886:B3130,"2 1 1 3 1 12 31111 6 M78*")</f>
        <v>0</v>
      </c>
      <c r="F885" s="31">
        <f>SUMIFS(F886:F3130,K886:K3130,"0",B886:B3130,"2 1 1 3 1 12 31111 6 M78*")</f>
        <v>68179431.089999989</v>
      </c>
      <c r="G885" s="31">
        <f>SUMIFS(G886:G3130,K886:K3130,"0",B886:B3130,"2 1 1 3 1 12 31111 6 M78*")</f>
        <v>68179431.089999989</v>
      </c>
      <c r="H885" s="31"/>
      <c r="I885" s="31">
        <f t="shared" si="14"/>
        <v>0</v>
      </c>
      <c r="K885" t="s">
        <v>13</v>
      </c>
    </row>
    <row r="886" spans="2:11" ht="13" x14ac:dyDescent="0.15">
      <c r="B886" s="29" t="s">
        <v>1305</v>
      </c>
      <c r="C886" s="29" t="s">
        <v>1306</v>
      </c>
      <c r="D886"/>
      <c r="E886" s="31">
        <f>SUMIFS(E887:E3130,K887:K3130,"0",B887:B3130,"2 1 1 3 1 12 31111 6 M78 00002*")-SUMIFS(D887:D3130,K887:K3130,"0",B887:B3130,"2 1 1 3 1 12 31111 6 M78 00002*")</f>
        <v>0</v>
      </c>
      <c r="F886" s="31">
        <f>SUMIFS(F887:F3130,K887:K3130,"0",B887:B3130,"2 1 1 3 1 12 31111 6 M78 00002*")</f>
        <v>68179431.089999989</v>
      </c>
      <c r="G886" s="31">
        <f>SUMIFS(G887:G3130,K887:K3130,"0",B887:B3130,"2 1 1 3 1 12 31111 6 M78 00002*")</f>
        <v>68179431.089999989</v>
      </c>
      <c r="H886" s="31"/>
      <c r="I886" s="31">
        <f t="shared" si="14"/>
        <v>0</v>
      </c>
      <c r="K886" t="s">
        <v>13</v>
      </c>
    </row>
    <row r="887" spans="2:11" ht="13" x14ac:dyDescent="0.15">
      <c r="B887" s="27" t="s">
        <v>1307</v>
      </c>
      <c r="C887" s="27" t="s">
        <v>1308</v>
      </c>
      <c r="D887" s="30"/>
      <c r="E887" s="30">
        <v>0</v>
      </c>
      <c r="F887" s="30">
        <v>11204703.15</v>
      </c>
      <c r="G887" s="30">
        <v>11204703.15</v>
      </c>
      <c r="H887" s="30"/>
      <c r="I887" s="30">
        <f t="shared" si="14"/>
        <v>0</v>
      </c>
      <c r="K887" t="s">
        <v>37</v>
      </c>
    </row>
    <row r="888" spans="2:11" ht="13" x14ac:dyDescent="0.15">
      <c r="B888" s="27" t="s">
        <v>1309</v>
      </c>
      <c r="C888" s="27" t="s">
        <v>1310</v>
      </c>
      <c r="D888" s="30"/>
      <c r="E888" s="30">
        <v>0</v>
      </c>
      <c r="F888" s="30">
        <v>18706401.219999999</v>
      </c>
      <c r="G888" s="30">
        <v>18706401.219999999</v>
      </c>
      <c r="H888" s="30"/>
      <c r="I888" s="30">
        <f t="shared" si="14"/>
        <v>0</v>
      </c>
      <c r="K888" t="s">
        <v>37</v>
      </c>
    </row>
    <row r="889" spans="2:11" ht="13" x14ac:dyDescent="0.15">
      <c r="B889" s="27" t="s">
        <v>1311</v>
      </c>
      <c r="C889" s="27" t="s">
        <v>1312</v>
      </c>
      <c r="D889" s="30"/>
      <c r="E889" s="30">
        <v>0</v>
      </c>
      <c r="F889" s="30">
        <v>10070182.869999999</v>
      </c>
      <c r="G889" s="30">
        <v>10070182.869999999</v>
      </c>
      <c r="H889" s="30"/>
      <c r="I889" s="30">
        <f t="shared" si="14"/>
        <v>0</v>
      </c>
      <c r="K889" t="s">
        <v>37</v>
      </c>
    </row>
    <row r="890" spans="2:11" ht="13" x14ac:dyDescent="0.15">
      <c r="B890" s="27" t="s">
        <v>1313</v>
      </c>
      <c r="C890" s="27" t="s">
        <v>1314</v>
      </c>
      <c r="D890" s="30"/>
      <c r="E890" s="30">
        <v>0</v>
      </c>
      <c r="F890" s="30">
        <v>3268890.37</v>
      </c>
      <c r="G890" s="30">
        <v>3268890.37</v>
      </c>
      <c r="H890" s="30"/>
      <c r="I890" s="30">
        <f t="shared" si="14"/>
        <v>0</v>
      </c>
      <c r="K890" t="s">
        <v>37</v>
      </c>
    </row>
    <row r="891" spans="2:11" ht="13" x14ac:dyDescent="0.15">
      <c r="B891" s="27" t="s">
        <v>1315</v>
      </c>
      <c r="C891" s="27" t="s">
        <v>1316</v>
      </c>
      <c r="D891" s="30"/>
      <c r="E891" s="30">
        <v>0</v>
      </c>
      <c r="F891" s="30">
        <v>5497610.2199999997</v>
      </c>
      <c r="G891" s="30">
        <v>5497610.2199999997</v>
      </c>
      <c r="H891" s="30"/>
      <c r="I891" s="30">
        <f t="shared" si="14"/>
        <v>0</v>
      </c>
      <c r="K891" t="s">
        <v>37</v>
      </c>
    </row>
    <row r="892" spans="2:11" ht="13" x14ac:dyDescent="0.15">
      <c r="B892" s="27" t="s">
        <v>1317</v>
      </c>
      <c r="C892" s="27" t="s">
        <v>1318</v>
      </c>
      <c r="D892" s="30"/>
      <c r="E892" s="30">
        <v>0</v>
      </c>
      <c r="F892" s="30">
        <v>7020480.9000000004</v>
      </c>
      <c r="G892" s="30">
        <v>7020480.9000000004</v>
      </c>
      <c r="H892" s="30"/>
      <c r="I892" s="30">
        <f t="shared" si="14"/>
        <v>0</v>
      </c>
      <c r="K892" t="s">
        <v>37</v>
      </c>
    </row>
    <row r="893" spans="2:11" ht="13" x14ac:dyDescent="0.15">
      <c r="B893" s="27" t="s">
        <v>1319</v>
      </c>
      <c r="C893" s="27" t="s">
        <v>1320</v>
      </c>
      <c r="D893" s="30"/>
      <c r="E893" s="30">
        <v>0</v>
      </c>
      <c r="F893" s="30">
        <v>9222616.7699999996</v>
      </c>
      <c r="G893" s="30">
        <v>9222616.7699999996</v>
      </c>
      <c r="H893" s="30"/>
      <c r="I893" s="30">
        <f t="shared" si="14"/>
        <v>0</v>
      </c>
      <c r="K893" t="s">
        <v>37</v>
      </c>
    </row>
    <row r="894" spans="2:11" ht="13" x14ac:dyDescent="0.15">
      <c r="B894" s="27" t="s">
        <v>1321</v>
      </c>
      <c r="C894" s="27" t="s">
        <v>1322</v>
      </c>
      <c r="D894" s="30"/>
      <c r="E894" s="30">
        <v>0</v>
      </c>
      <c r="F894" s="30">
        <v>3188545.59</v>
      </c>
      <c r="G894" s="30">
        <v>3188545.59</v>
      </c>
      <c r="H894" s="30"/>
      <c r="I894" s="30">
        <f t="shared" si="14"/>
        <v>0</v>
      </c>
      <c r="K894" t="s">
        <v>37</v>
      </c>
    </row>
    <row r="895" spans="2:11" ht="13" x14ac:dyDescent="0.15">
      <c r="B895" s="29" t="s">
        <v>1323</v>
      </c>
      <c r="C895" s="29" t="s">
        <v>1324</v>
      </c>
      <c r="D895"/>
      <c r="E895" s="31">
        <f>SUMIFS(E896:E3130,K896:K3130,"0",B896:B3130,"2 1 1 5*")-SUMIFS(D896:D3130,K896:K3130,"0",B896:B3130,"2 1 1 5*")</f>
        <v>0</v>
      </c>
      <c r="F895" s="31">
        <f>SUMIFS(F896:F3130,K896:K3130,"0",B896:B3130,"2 1 1 5*")</f>
        <v>1918174.89</v>
      </c>
      <c r="G895" s="31">
        <f>SUMIFS(G896:G3130,K896:K3130,"0",B896:B3130,"2 1 1 5*")</f>
        <v>1918174.89</v>
      </c>
      <c r="H895" s="31"/>
      <c r="I895" s="31">
        <f t="shared" si="14"/>
        <v>0</v>
      </c>
      <c r="K895" t="s">
        <v>13</v>
      </c>
    </row>
    <row r="896" spans="2:11" ht="13" x14ac:dyDescent="0.15">
      <c r="B896" s="29" t="s">
        <v>1325</v>
      </c>
      <c r="C896" s="29" t="s">
        <v>1326</v>
      </c>
      <c r="D896"/>
      <c r="E896" s="31">
        <f>SUMIFS(E897:E3130,K897:K3130,"0",B897:B3130,"2 1 1 5 6*")-SUMIFS(D897:D3130,K897:K3130,"0",B897:B3130,"2 1 1 5 6*")</f>
        <v>0</v>
      </c>
      <c r="F896" s="31">
        <f>SUMIFS(F897:F3130,K897:K3130,"0",B897:B3130,"2 1 1 5 6*")</f>
        <v>1918174.89</v>
      </c>
      <c r="G896" s="31">
        <f>SUMIFS(G897:G3130,K897:K3130,"0",B897:B3130,"2 1 1 5 6*")</f>
        <v>1918174.89</v>
      </c>
      <c r="H896" s="31"/>
      <c r="I896" s="31">
        <f t="shared" si="14"/>
        <v>0</v>
      </c>
      <c r="K896" t="s">
        <v>13</v>
      </c>
    </row>
    <row r="897" spans="2:11" ht="13" x14ac:dyDescent="0.15">
      <c r="B897" s="29" t="s">
        <v>1327</v>
      </c>
      <c r="C897" s="29" t="s">
        <v>24</v>
      </c>
      <c r="D897"/>
      <c r="E897" s="31">
        <f>SUMIFS(E898:E3130,K898:K3130,"0",B898:B3130,"2 1 1 5 6 12*")-SUMIFS(D898:D3130,K898:K3130,"0",B898:B3130,"2 1 1 5 6 12*")</f>
        <v>0</v>
      </c>
      <c r="F897" s="31">
        <f>SUMIFS(F898:F3130,K898:K3130,"0",B898:B3130,"2 1 1 5 6 12*")</f>
        <v>1918174.89</v>
      </c>
      <c r="G897" s="31">
        <f>SUMIFS(G898:G3130,K898:K3130,"0",B898:B3130,"2 1 1 5 6 12*")</f>
        <v>1918174.89</v>
      </c>
      <c r="H897" s="31"/>
      <c r="I897" s="31">
        <f t="shared" si="14"/>
        <v>0</v>
      </c>
      <c r="K897" t="s">
        <v>13</v>
      </c>
    </row>
    <row r="898" spans="2:11" ht="13" x14ac:dyDescent="0.15">
      <c r="B898" s="29" t="s">
        <v>1328</v>
      </c>
      <c r="C898" s="29" t="s">
        <v>26</v>
      </c>
      <c r="D898"/>
      <c r="E898" s="31">
        <f>SUMIFS(E899:E3130,K899:K3130,"0",B899:B3130,"2 1 1 5 6 12 31111*")-SUMIFS(D899:D3130,K899:K3130,"0",B899:B3130,"2 1 1 5 6 12 31111*")</f>
        <v>0</v>
      </c>
      <c r="F898" s="31">
        <f>SUMIFS(F899:F3130,K899:K3130,"0",B899:B3130,"2 1 1 5 6 12 31111*")</f>
        <v>1918174.89</v>
      </c>
      <c r="G898" s="31">
        <f>SUMIFS(G899:G3130,K899:K3130,"0",B899:B3130,"2 1 1 5 6 12 31111*")</f>
        <v>1918174.89</v>
      </c>
      <c r="H898" s="31"/>
      <c r="I898" s="31">
        <f t="shared" si="14"/>
        <v>0</v>
      </c>
      <c r="K898" t="s">
        <v>13</v>
      </c>
    </row>
    <row r="899" spans="2:11" ht="13" x14ac:dyDescent="0.15">
      <c r="B899" s="29" t="s">
        <v>1329</v>
      </c>
      <c r="C899" s="29" t="s">
        <v>28</v>
      </c>
      <c r="D899"/>
      <c r="E899" s="31">
        <f>SUMIFS(E900:E3130,K900:K3130,"0",B900:B3130,"2 1 1 5 6 12 31111 6*")-SUMIFS(D900:D3130,K900:K3130,"0",B900:B3130,"2 1 1 5 6 12 31111 6*")</f>
        <v>0</v>
      </c>
      <c r="F899" s="31">
        <f>SUMIFS(F900:F3130,K900:K3130,"0",B900:B3130,"2 1 1 5 6 12 31111 6*")</f>
        <v>1918174.89</v>
      </c>
      <c r="G899" s="31">
        <f>SUMIFS(G900:G3130,K900:K3130,"0",B900:B3130,"2 1 1 5 6 12 31111 6*")</f>
        <v>1918174.89</v>
      </c>
      <c r="H899" s="31"/>
      <c r="I899" s="31">
        <f t="shared" si="14"/>
        <v>0</v>
      </c>
      <c r="K899" t="s">
        <v>13</v>
      </c>
    </row>
    <row r="900" spans="2:11" ht="13" x14ac:dyDescent="0.15">
      <c r="B900" s="29" t="s">
        <v>1330</v>
      </c>
      <c r="C900" s="29" t="s">
        <v>30</v>
      </c>
      <c r="D900"/>
      <c r="E900" s="31">
        <f>SUMIFS(E901:E3130,K901:K3130,"0",B901:B3130,"2 1 1 5 6 12 31111 6 M78*")-SUMIFS(D901:D3130,K901:K3130,"0",B901:B3130,"2 1 1 5 6 12 31111 6 M78*")</f>
        <v>0</v>
      </c>
      <c r="F900" s="31">
        <f>SUMIFS(F901:F3130,K901:K3130,"0",B901:B3130,"2 1 1 5 6 12 31111 6 M78*")</f>
        <v>1918174.89</v>
      </c>
      <c r="G900" s="31">
        <f>SUMIFS(G901:G3130,K901:K3130,"0",B901:B3130,"2 1 1 5 6 12 31111 6 M78*")</f>
        <v>1918174.89</v>
      </c>
      <c r="H900" s="31"/>
      <c r="I900" s="31">
        <f t="shared" si="14"/>
        <v>0</v>
      </c>
      <c r="K900" t="s">
        <v>13</v>
      </c>
    </row>
    <row r="901" spans="2:11" ht="13" x14ac:dyDescent="0.15">
      <c r="B901" s="29" t="s">
        <v>1331</v>
      </c>
      <c r="C901" s="29" t="s">
        <v>32</v>
      </c>
      <c r="D901"/>
      <c r="E901" s="31">
        <f>SUMIFS(E902:E3130,K902:K3130,"0",B902:B3130,"2 1 1 5 6 12 31111 6 M78 00001*")-SUMIFS(D902:D3130,K902:K3130,"0",B902:B3130,"2 1 1 5 6 12 31111 6 M78 00001*")</f>
        <v>0</v>
      </c>
      <c r="F901" s="31">
        <f>SUMIFS(F902:F3130,K902:K3130,"0",B902:B3130,"2 1 1 5 6 12 31111 6 M78 00001*")</f>
        <v>1782174.89</v>
      </c>
      <c r="G901" s="31">
        <f>SUMIFS(G902:G3130,K902:K3130,"0",B902:B3130,"2 1 1 5 6 12 31111 6 M78 00001*")</f>
        <v>1782174.89</v>
      </c>
      <c r="H901" s="31"/>
      <c r="I901" s="31">
        <f t="shared" si="14"/>
        <v>0</v>
      </c>
      <c r="K901" t="s">
        <v>13</v>
      </c>
    </row>
    <row r="902" spans="2:11" ht="13" x14ac:dyDescent="0.15">
      <c r="B902" s="27" t="s">
        <v>1332</v>
      </c>
      <c r="C902" s="27" t="s">
        <v>132</v>
      </c>
      <c r="D902" s="30"/>
      <c r="E902" s="30">
        <v>0</v>
      </c>
      <c r="F902" s="30">
        <v>718938.99</v>
      </c>
      <c r="G902" s="30">
        <v>718938.99</v>
      </c>
      <c r="H902" s="30"/>
      <c r="I902" s="30">
        <f t="shared" si="14"/>
        <v>0</v>
      </c>
      <c r="K902" t="s">
        <v>37</v>
      </c>
    </row>
    <row r="903" spans="2:11" ht="13" x14ac:dyDescent="0.15">
      <c r="B903" s="27" t="s">
        <v>1333</v>
      </c>
      <c r="C903" s="27" t="s">
        <v>1334</v>
      </c>
      <c r="D903" s="30"/>
      <c r="E903" s="30">
        <v>0</v>
      </c>
      <c r="F903" s="30">
        <v>30000</v>
      </c>
      <c r="G903" s="30">
        <v>30000</v>
      </c>
      <c r="H903" s="30"/>
      <c r="I903" s="30">
        <f t="shared" si="14"/>
        <v>0</v>
      </c>
      <c r="K903" t="s">
        <v>37</v>
      </c>
    </row>
    <row r="904" spans="2:11" ht="13" x14ac:dyDescent="0.15">
      <c r="B904" s="27" t="s">
        <v>1335</v>
      </c>
      <c r="C904" s="27" t="s">
        <v>1336</v>
      </c>
      <c r="D904" s="30"/>
      <c r="E904" s="30">
        <v>0</v>
      </c>
      <c r="F904" s="30">
        <v>10000</v>
      </c>
      <c r="G904" s="30">
        <v>10000</v>
      </c>
      <c r="H904" s="30"/>
      <c r="I904" s="30">
        <f t="shared" si="14"/>
        <v>0</v>
      </c>
      <c r="K904" t="s">
        <v>37</v>
      </c>
    </row>
    <row r="905" spans="2:11" ht="13" x14ac:dyDescent="0.15">
      <c r="B905" s="27" t="s">
        <v>1337</v>
      </c>
      <c r="C905" s="27" t="s">
        <v>1338</v>
      </c>
      <c r="D905" s="30"/>
      <c r="E905" s="30">
        <v>0</v>
      </c>
      <c r="F905" s="30">
        <v>15000</v>
      </c>
      <c r="G905" s="30">
        <v>15000</v>
      </c>
      <c r="H905" s="30"/>
      <c r="I905" s="30">
        <f t="shared" si="14"/>
        <v>0</v>
      </c>
      <c r="K905" t="s">
        <v>37</v>
      </c>
    </row>
    <row r="906" spans="2:11" ht="13" x14ac:dyDescent="0.15">
      <c r="B906" s="27" t="s">
        <v>1339</v>
      </c>
      <c r="C906" s="27" t="s">
        <v>1340</v>
      </c>
      <c r="D906" s="30"/>
      <c r="E906" s="30">
        <v>0</v>
      </c>
      <c r="F906" s="30">
        <v>10000</v>
      </c>
      <c r="G906" s="30">
        <v>10000</v>
      </c>
      <c r="H906" s="30"/>
      <c r="I906" s="30">
        <f t="shared" si="14"/>
        <v>0</v>
      </c>
      <c r="K906" t="s">
        <v>37</v>
      </c>
    </row>
    <row r="907" spans="2:11" ht="13" x14ac:dyDescent="0.15">
      <c r="B907" s="27" t="s">
        <v>1341</v>
      </c>
      <c r="C907" s="27" t="s">
        <v>1342</v>
      </c>
      <c r="D907" s="30"/>
      <c r="E907" s="30">
        <v>0</v>
      </c>
      <c r="F907" s="30">
        <v>30000</v>
      </c>
      <c r="G907" s="30">
        <v>30000</v>
      </c>
      <c r="H907" s="30"/>
      <c r="I907" s="30">
        <f t="shared" si="14"/>
        <v>0</v>
      </c>
      <c r="K907" t="s">
        <v>37</v>
      </c>
    </row>
    <row r="908" spans="2:11" ht="13" x14ac:dyDescent="0.15">
      <c r="B908" s="27" t="s">
        <v>1343</v>
      </c>
      <c r="C908" s="27" t="s">
        <v>1338</v>
      </c>
      <c r="D908" s="30"/>
      <c r="E908" s="30">
        <v>0</v>
      </c>
      <c r="F908" s="30">
        <v>5000</v>
      </c>
      <c r="G908" s="30">
        <v>5000</v>
      </c>
      <c r="H908" s="30"/>
      <c r="I908" s="30">
        <f t="shared" si="14"/>
        <v>0</v>
      </c>
      <c r="K908" t="s">
        <v>37</v>
      </c>
    </row>
    <row r="909" spans="2:11" ht="13" x14ac:dyDescent="0.15">
      <c r="B909" s="27" t="s">
        <v>1344</v>
      </c>
      <c r="C909" s="27" t="s">
        <v>1345</v>
      </c>
      <c r="D909" s="30"/>
      <c r="E909" s="30">
        <v>0</v>
      </c>
      <c r="F909" s="30">
        <v>22040</v>
      </c>
      <c r="G909" s="30">
        <v>22040</v>
      </c>
      <c r="H909" s="30"/>
      <c r="I909" s="30">
        <f t="shared" si="14"/>
        <v>0</v>
      </c>
      <c r="K909" t="s">
        <v>37</v>
      </c>
    </row>
    <row r="910" spans="2:11" ht="13" x14ac:dyDescent="0.15">
      <c r="B910" s="27" t="s">
        <v>1346</v>
      </c>
      <c r="C910" s="27" t="s">
        <v>1347</v>
      </c>
      <c r="D910" s="30"/>
      <c r="E910" s="30">
        <v>0</v>
      </c>
      <c r="F910" s="30">
        <v>81200</v>
      </c>
      <c r="G910" s="30">
        <v>81200</v>
      </c>
      <c r="H910" s="30"/>
      <c r="I910" s="30">
        <f t="shared" si="14"/>
        <v>0</v>
      </c>
      <c r="K910" t="s">
        <v>37</v>
      </c>
    </row>
    <row r="911" spans="2:11" ht="13" x14ac:dyDescent="0.15">
      <c r="B911" s="27" t="s">
        <v>1348</v>
      </c>
      <c r="C911" s="27" t="s">
        <v>1212</v>
      </c>
      <c r="D911" s="30"/>
      <c r="E911" s="30">
        <v>0</v>
      </c>
      <c r="F911" s="30">
        <v>198429.62</v>
      </c>
      <c r="G911" s="30">
        <v>198429.62</v>
      </c>
      <c r="H911" s="30"/>
      <c r="I911" s="30">
        <f t="shared" si="14"/>
        <v>0</v>
      </c>
      <c r="K911" t="s">
        <v>37</v>
      </c>
    </row>
    <row r="912" spans="2:11" ht="13" x14ac:dyDescent="0.15">
      <c r="B912" s="27" t="s">
        <v>1349</v>
      </c>
      <c r="C912" s="27" t="s">
        <v>1350</v>
      </c>
      <c r="D912" s="30"/>
      <c r="E912" s="30">
        <v>0</v>
      </c>
      <c r="F912" s="30">
        <v>73080</v>
      </c>
      <c r="G912" s="30">
        <v>73080</v>
      </c>
      <c r="H912" s="30"/>
      <c r="I912" s="30">
        <f t="shared" si="14"/>
        <v>0</v>
      </c>
      <c r="K912" t="s">
        <v>37</v>
      </c>
    </row>
    <row r="913" spans="2:11" ht="13" x14ac:dyDescent="0.15">
      <c r="B913" s="27" t="s">
        <v>1351</v>
      </c>
      <c r="C913" s="27" t="s">
        <v>1223</v>
      </c>
      <c r="D913" s="30"/>
      <c r="E913" s="30">
        <v>0</v>
      </c>
      <c r="F913" s="30">
        <v>8100</v>
      </c>
      <c r="G913" s="30">
        <v>8100</v>
      </c>
      <c r="H913" s="30"/>
      <c r="I913" s="30">
        <f t="shared" si="14"/>
        <v>0</v>
      </c>
      <c r="K913" t="s">
        <v>37</v>
      </c>
    </row>
    <row r="914" spans="2:11" ht="13" x14ac:dyDescent="0.15">
      <c r="B914" s="27" t="s">
        <v>1352</v>
      </c>
      <c r="C914" s="27" t="s">
        <v>1239</v>
      </c>
      <c r="D914" s="30"/>
      <c r="E914" s="30">
        <v>0</v>
      </c>
      <c r="F914" s="30">
        <v>58850</v>
      </c>
      <c r="G914" s="30">
        <v>58850</v>
      </c>
      <c r="H914" s="30"/>
      <c r="I914" s="30">
        <f t="shared" si="14"/>
        <v>0</v>
      </c>
      <c r="K914" t="s">
        <v>37</v>
      </c>
    </row>
    <row r="915" spans="2:11" ht="13" x14ac:dyDescent="0.15">
      <c r="B915" s="27" t="s">
        <v>1353</v>
      </c>
      <c r="C915" s="27" t="s">
        <v>1245</v>
      </c>
      <c r="D915" s="30"/>
      <c r="E915" s="30">
        <v>0</v>
      </c>
      <c r="F915" s="30">
        <v>371236.28</v>
      </c>
      <c r="G915" s="30">
        <v>371236.28</v>
      </c>
      <c r="H915" s="30"/>
      <c r="I915" s="30">
        <f t="shared" si="14"/>
        <v>0</v>
      </c>
      <c r="K915" t="s">
        <v>37</v>
      </c>
    </row>
    <row r="916" spans="2:11" ht="13" x14ac:dyDescent="0.15">
      <c r="B916" s="27" t="s">
        <v>1354</v>
      </c>
      <c r="C916" s="27" t="s">
        <v>1355</v>
      </c>
      <c r="D916" s="30"/>
      <c r="E916" s="30">
        <v>0</v>
      </c>
      <c r="F916" s="30">
        <v>150300</v>
      </c>
      <c r="G916" s="30">
        <v>150300</v>
      </c>
      <c r="H916" s="30"/>
      <c r="I916" s="30">
        <f t="shared" si="14"/>
        <v>0</v>
      </c>
      <c r="K916" t="s">
        <v>37</v>
      </c>
    </row>
    <row r="917" spans="2:11" ht="13" x14ac:dyDescent="0.15">
      <c r="B917" s="29" t="s">
        <v>1356</v>
      </c>
      <c r="C917" s="29" t="s">
        <v>1357</v>
      </c>
      <c r="D917"/>
      <c r="E917" s="31">
        <f>SUMIFS(E918:E3130,K918:K3130,"0",B918:B3130,"2 1 1 5 6 12 31111 6 M78 00003*")-SUMIFS(D918:D3130,K918:K3130,"0",B918:B3130,"2 1 1 5 6 12 31111 6 M78 00003*")</f>
        <v>0</v>
      </c>
      <c r="F917" s="31">
        <f>SUMIFS(F918:F3130,K918:K3130,"0",B918:B3130,"2 1 1 5 6 12 31111 6 M78 00003*")</f>
        <v>136000</v>
      </c>
      <c r="G917" s="31">
        <f>SUMIFS(G918:G3130,K918:K3130,"0",B918:B3130,"2 1 1 5 6 12 31111 6 M78 00003*")</f>
        <v>136000</v>
      </c>
      <c r="H917" s="31"/>
      <c r="I917" s="31">
        <f t="shared" si="14"/>
        <v>0</v>
      </c>
      <c r="K917" t="s">
        <v>13</v>
      </c>
    </row>
    <row r="918" spans="2:11" ht="13" x14ac:dyDescent="0.15">
      <c r="B918" s="27" t="s">
        <v>1358</v>
      </c>
      <c r="C918" s="27" t="s">
        <v>1359</v>
      </c>
      <c r="D918" s="30"/>
      <c r="E918" s="30">
        <v>0</v>
      </c>
      <c r="F918" s="30">
        <v>136000</v>
      </c>
      <c r="G918" s="30">
        <v>136000</v>
      </c>
      <c r="H918" s="30"/>
      <c r="I918" s="30">
        <f t="shared" si="14"/>
        <v>0</v>
      </c>
      <c r="K918" t="s">
        <v>37</v>
      </c>
    </row>
    <row r="919" spans="2:11" ht="13" x14ac:dyDescent="0.15">
      <c r="B919" s="29" t="s">
        <v>1360</v>
      </c>
      <c r="C919" s="29" t="s">
        <v>1361</v>
      </c>
      <c r="D919"/>
      <c r="E919" s="31">
        <f>SUMIFS(E920:E3130,K920:K3130,"0",B920:B3130,"2 1 1 7*")-SUMIFS(D920:D3130,K920:K3130,"0",B920:B3130,"2 1 1 7*")</f>
        <v>525120.30999999994</v>
      </c>
      <c r="F919" s="31">
        <f>SUMIFS(F920:F3130,K920:K3130,"0",B920:B3130,"2 1 1 7*")</f>
        <v>3482564.89</v>
      </c>
      <c r="G919" s="31">
        <f>SUMIFS(G920:G3130,K920:K3130,"0",B920:B3130,"2 1 1 7*")</f>
        <v>2966626.4099999997</v>
      </c>
      <c r="H919" s="31"/>
      <c r="I919" s="31">
        <f t="shared" si="14"/>
        <v>9181.8299999996088</v>
      </c>
      <c r="K919" t="s">
        <v>13</v>
      </c>
    </row>
    <row r="920" spans="2:11" ht="13" x14ac:dyDescent="0.15">
      <c r="B920" s="29" t="s">
        <v>1362</v>
      </c>
      <c r="C920" s="29" t="s">
        <v>1363</v>
      </c>
      <c r="D920"/>
      <c r="E920" s="31">
        <f>SUMIFS(E921:E3130,K921:K3130,"0",B921:B3130,"2 1 1 7 1*")-SUMIFS(D921:D3130,K921:K3130,"0",B921:B3130,"2 1 1 7 1*")</f>
        <v>476591.05999999994</v>
      </c>
      <c r="F920" s="31">
        <f>SUMIFS(F921:F3130,K921:K3130,"0",B921:B3130,"2 1 1 7 1*")</f>
        <v>3140423.5900000003</v>
      </c>
      <c r="G920" s="31">
        <f>SUMIFS(G921:G3130,K921:K3130,"0",B921:B3130,"2 1 1 7 1*")</f>
        <v>2669623.09</v>
      </c>
      <c r="H920" s="31"/>
      <c r="I920" s="31">
        <f t="shared" si="14"/>
        <v>5790.5599999995902</v>
      </c>
      <c r="K920" t="s">
        <v>13</v>
      </c>
    </row>
    <row r="921" spans="2:11" ht="13" x14ac:dyDescent="0.15">
      <c r="B921" s="29" t="s">
        <v>1364</v>
      </c>
      <c r="C921" s="29" t="s">
        <v>24</v>
      </c>
      <c r="D921"/>
      <c r="E921" s="31">
        <f>SUMIFS(E922:E3130,K922:K3130,"0",B922:B3130,"2 1 1 7 1 12*")-SUMIFS(D922:D3130,K922:K3130,"0",B922:B3130,"2 1 1 7 1 12*")</f>
        <v>476591.05999999994</v>
      </c>
      <c r="F921" s="31">
        <f>SUMIFS(F922:F3130,K922:K3130,"0",B922:B3130,"2 1 1 7 1 12*")</f>
        <v>3140423.5900000003</v>
      </c>
      <c r="G921" s="31">
        <f>SUMIFS(G922:G3130,K922:K3130,"0",B922:B3130,"2 1 1 7 1 12*")</f>
        <v>2669623.09</v>
      </c>
      <c r="H921" s="31"/>
      <c r="I921" s="31">
        <f t="shared" si="14"/>
        <v>5790.5599999995902</v>
      </c>
      <c r="K921" t="s">
        <v>13</v>
      </c>
    </row>
    <row r="922" spans="2:11" ht="13" x14ac:dyDescent="0.15">
      <c r="B922" s="29" t="s">
        <v>1365</v>
      </c>
      <c r="C922" s="29" t="s">
        <v>26</v>
      </c>
      <c r="D922"/>
      <c r="E922" s="31">
        <f>SUMIFS(E923:E3130,K923:K3130,"0",B923:B3130,"2 1 1 7 1 12 31111*")-SUMIFS(D923:D3130,K923:K3130,"0",B923:B3130,"2 1 1 7 1 12 31111*")</f>
        <v>476591.05999999994</v>
      </c>
      <c r="F922" s="31">
        <f>SUMIFS(F923:F3130,K923:K3130,"0",B923:B3130,"2 1 1 7 1 12 31111*")</f>
        <v>3140423.5900000003</v>
      </c>
      <c r="G922" s="31">
        <f>SUMIFS(G923:G3130,K923:K3130,"0",B923:B3130,"2 1 1 7 1 12 31111*")</f>
        <v>2669623.09</v>
      </c>
      <c r="H922" s="31"/>
      <c r="I922" s="31">
        <f t="shared" si="14"/>
        <v>5790.5599999995902</v>
      </c>
      <c r="K922" t="s">
        <v>13</v>
      </c>
    </row>
    <row r="923" spans="2:11" ht="13" x14ac:dyDescent="0.15">
      <c r="B923" s="29" t="s">
        <v>1366</v>
      </c>
      <c r="C923" s="29" t="s">
        <v>28</v>
      </c>
      <c r="D923"/>
      <c r="E923" s="31">
        <f>SUMIFS(E924:E3130,K924:K3130,"0",B924:B3130,"2 1 1 7 1 12 31111 6*")-SUMIFS(D924:D3130,K924:K3130,"0",B924:B3130,"2 1 1 7 1 12 31111 6*")</f>
        <v>476591.05999999994</v>
      </c>
      <c r="F923" s="31">
        <f>SUMIFS(F924:F3130,K924:K3130,"0",B924:B3130,"2 1 1 7 1 12 31111 6*")</f>
        <v>3140423.5900000003</v>
      </c>
      <c r="G923" s="31">
        <f>SUMIFS(G924:G3130,K924:K3130,"0",B924:B3130,"2 1 1 7 1 12 31111 6*")</f>
        <v>2669623.09</v>
      </c>
      <c r="H923" s="31"/>
      <c r="I923" s="31">
        <f t="shared" ref="I923:I986" si="15">E923 - F923 + G923</f>
        <v>5790.5599999995902</v>
      </c>
      <c r="K923" t="s">
        <v>13</v>
      </c>
    </row>
    <row r="924" spans="2:11" ht="13" x14ac:dyDescent="0.15">
      <c r="B924" s="29" t="s">
        <v>1367</v>
      </c>
      <c r="C924" s="29" t="s">
        <v>30</v>
      </c>
      <c r="D924"/>
      <c r="E924" s="31">
        <f>SUMIFS(E925:E3130,K925:K3130,"0",B925:B3130,"2 1 1 7 1 12 31111 6 M78*")-SUMIFS(D925:D3130,K925:K3130,"0",B925:B3130,"2 1 1 7 1 12 31111 6 M78*")</f>
        <v>476591.05999999994</v>
      </c>
      <c r="F924" s="31">
        <f>SUMIFS(F925:F3130,K925:K3130,"0",B925:B3130,"2 1 1 7 1 12 31111 6 M78*")</f>
        <v>3140423.5900000003</v>
      </c>
      <c r="G924" s="31">
        <f>SUMIFS(G925:G3130,K925:K3130,"0",B925:B3130,"2 1 1 7 1 12 31111 6 M78*")</f>
        <v>2669623.09</v>
      </c>
      <c r="H924" s="31"/>
      <c r="I924" s="31">
        <f t="shared" si="15"/>
        <v>5790.5599999995902</v>
      </c>
      <c r="K924" t="s">
        <v>13</v>
      </c>
    </row>
    <row r="925" spans="2:11" ht="13" x14ac:dyDescent="0.15">
      <c r="B925" s="29" t="s">
        <v>1368</v>
      </c>
      <c r="C925" s="29" t="s">
        <v>32</v>
      </c>
      <c r="D925"/>
      <c r="E925" s="31">
        <f>SUMIFS(E926:E3130,K926:K3130,"0",B926:B3130,"2 1 1 7 1 12 31111 6 M78 00001*")-SUMIFS(D926:D3130,K926:K3130,"0",B926:B3130,"2 1 1 7 1 12 31111 6 M78 00001*")</f>
        <v>283169.46000000002</v>
      </c>
      <c r="F925" s="31">
        <f>SUMIFS(F926:F3130,K926:K3130,"0",B926:B3130,"2 1 1 7 1 12 31111 6 M78 00001*")</f>
        <v>2522971.62</v>
      </c>
      <c r="G925" s="31">
        <f>SUMIFS(G926:G3130,K926:K3130,"0",B926:B3130,"2 1 1 7 1 12 31111 6 M78 00001*")</f>
        <v>2242448.4</v>
      </c>
      <c r="H925" s="31"/>
      <c r="I925" s="31">
        <f t="shared" si="15"/>
        <v>2646.2399999997579</v>
      </c>
      <c r="K925" t="s">
        <v>13</v>
      </c>
    </row>
    <row r="926" spans="2:11" ht="13" x14ac:dyDescent="0.15">
      <c r="B926" s="27" t="s">
        <v>1369</v>
      </c>
      <c r="C926" s="27" t="s">
        <v>1370</v>
      </c>
      <c r="D926" s="30"/>
      <c r="E926" s="30">
        <v>-1.1100000000000001</v>
      </c>
      <c r="F926" s="30">
        <v>0</v>
      </c>
      <c r="G926" s="30">
        <v>1.1100000000000001</v>
      </c>
      <c r="H926" s="30"/>
      <c r="I926" s="30">
        <f t="shared" si="15"/>
        <v>0</v>
      </c>
      <c r="K926" t="s">
        <v>37</v>
      </c>
    </row>
    <row r="927" spans="2:11" ht="13" x14ac:dyDescent="0.15">
      <c r="B927" s="27" t="s">
        <v>1371</v>
      </c>
      <c r="C927" s="27" t="s">
        <v>1372</v>
      </c>
      <c r="D927" s="30"/>
      <c r="E927" s="30">
        <v>-0.27</v>
      </c>
      <c r="F927" s="30">
        <v>0</v>
      </c>
      <c r="G927" s="30">
        <v>0.27</v>
      </c>
      <c r="H927" s="30"/>
      <c r="I927" s="30">
        <f t="shared" si="15"/>
        <v>0</v>
      </c>
      <c r="K927" t="s">
        <v>37</v>
      </c>
    </row>
    <row r="928" spans="2:11" ht="13" x14ac:dyDescent="0.15">
      <c r="B928" s="27" t="s">
        <v>1373</v>
      </c>
      <c r="C928" s="27" t="s">
        <v>1374</v>
      </c>
      <c r="D928" s="30"/>
      <c r="E928" s="30">
        <v>-0.02</v>
      </c>
      <c r="F928" s="30">
        <v>0</v>
      </c>
      <c r="G928" s="30">
        <v>0.02</v>
      </c>
      <c r="H928" s="30"/>
      <c r="I928" s="30">
        <f t="shared" si="15"/>
        <v>0</v>
      </c>
      <c r="K928" t="s">
        <v>37</v>
      </c>
    </row>
    <row r="929" spans="2:11" ht="13" x14ac:dyDescent="0.15">
      <c r="B929" s="27" t="s">
        <v>1375</v>
      </c>
      <c r="C929" s="27" t="s">
        <v>1376</v>
      </c>
      <c r="D929" s="30"/>
      <c r="E929" s="30">
        <v>24863.17</v>
      </c>
      <c r="F929" s="30">
        <v>163113.34</v>
      </c>
      <c r="G929" s="30">
        <v>153136.24</v>
      </c>
      <c r="H929" s="30"/>
      <c r="I929" s="30">
        <f t="shared" si="15"/>
        <v>14886.070000000007</v>
      </c>
      <c r="K929" t="s">
        <v>37</v>
      </c>
    </row>
    <row r="930" spans="2:11" ht="13" x14ac:dyDescent="0.15">
      <c r="B930" s="29" t="s">
        <v>1377</v>
      </c>
      <c r="C930" s="29" t="s">
        <v>1378</v>
      </c>
      <c r="D930"/>
      <c r="E930" s="31">
        <f>SUMIFS(E931:E3130,K931:K3130,"0",B931:B3130,"2 1 1 7 1 12 31111 6 M78 00001 009*")-SUMIFS(D931:D3130,K931:K3130,"0",B931:B3130,"2 1 1 7 1 12 31111 6 M78 00001 009*")</f>
        <v>258307.69</v>
      </c>
      <c r="F930" s="31">
        <f>SUMIFS(F931:F3130,K931:K3130,"0",B931:B3130,"2 1 1 7 1 12 31111 6 M78 00001 009*")</f>
        <v>1933148.7999999998</v>
      </c>
      <c r="G930" s="31">
        <f>SUMIFS(G931:G3130,K931:K3130,"0",B931:B3130,"2 1 1 7 1 12 31111 6 M78 00001 009*")</f>
        <v>1662601.6199999999</v>
      </c>
      <c r="H930" s="31"/>
      <c r="I930" s="31">
        <f t="shared" si="15"/>
        <v>-12239.489999999991</v>
      </c>
      <c r="K930" t="s">
        <v>13</v>
      </c>
    </row>
    <row r="931" spans="2:11" ht="13" x14ac:dyDescent="0.15">
      <c r="B931" s="27" t="s">
        <v>1379</v>
      </c>
      <c r="C931" s="27" t="s">
        <v>1380</v>
      </c>
      <c r="D931" s="30"/>
      <c r="E931" s="30">
        <v>258307.69</v>
      </c>
      <c r="F931" s="30">
        <v>371957.66</v>
      </c>
      <c r="G931" s="30">
        <v>113649.97</v>
      </c>
      <c r="H931" s="30"/>
      <c r="I931" s="30">
        <f t="shared" si="15"/>
        <v>0</v>
      </c>
      <c r="K931" t="s">
        <v>37</v>
      </c>
    </row>
    <row r="932" spans="2:11" ht="13" x14ac:dyDescent="0.15">
      <c r="B932" s="27" t="s">
        <v>1381</v>
      </c>
      <c r="C932" s="27" t="s">
        <v>1382</v>
      </c>
      <c r="D932" s="30"/>
      <c r="E932" s="30">
        <v>0</v>
      </c>
      <c r="F932" s="30">
        <v>1561191.14</v>
      </c>
      <c r="G932" s="30">
        <v>1548951.65</v>
      </c>
      <c r="H932" s="30"/>
      <c r="I932" s="30">
        <f t="shared" si="15"/>
        <v>-12239.489999999991</v>
      </c>
      <c r="K932" t="s">
        <v>37</v>
      </c>
    </row>
    <row r="933" spans="2:11" ht="13" x14ac:dyDescent="0.15">
      <c r="B933" s="27" t="s">
        <v>1383</v>
      </c>
      <c r="C933" s="27" t="s">
        <v>1384</v>
      </c>
      <c r="D933" s="30"/>
      <c r="E933" s="30">
        <v>0</v>
      </c>
      <c r="F933" s="30">
        <v>426709.48</v>
      </c>
      <c r="G933" s="30">
        <v>426709.14</v>
      </c>
      <c r="H933" s="30"/>
      <c r="I933" s="30">
        <f t="shared" si="15"/>
        <v>-0.33999999996740371</v>
      </c>
      <c r="K933" t="s">
        <v>37</v>
      </c>
    </row>
    <row r="934" spans="2:11" ht="13" x14ac:dyDescent="0.15">
      <c r="B934" s="29" t="s">
        <v>1385</v>
      </c>
      <c r="C934" s="29" t="s">
        <v>219</v>
      </c>
      <c r="D934"/>
      <c r="E934" s="31">
        <f>SUMIFS(E935:E3130,K935:K3130,"0",B935:B3130,"2 1 1 7 1 12 31111 6 M78 00003*")-SUMIFS(D935:D3130,K935:K3130,"0",B935:B3130,"2 1 1 7 1 12 31111 6 M78 00003*")</f>
        <v>193421.59999999998</v>
      </c>
      <c r="F934" s="31">
        <f>SUMIFS(F935:F3130,K935:K3130,"0",B935:B3130,"2 1 1 7 1 12 31111 6 M78 00003*")</f>
        <v>617451.97</v>
      </c>
      <c r="G934" s="31">
        <f>SUMIFS(G935:G3130,K935:K3130,"0",B935:B3130,"2 1 1 7 1 12 31111 6 M78 00003*")</f>
        <v>427174.69</v>
      </c>
      <c r="H934" s="31"/>
      <c r="I934" s="31">
        <f t="shared" si="15"/>
        <v>3144.320000000007</v>
      </c>
      <c r="K934" t="s">
        <v>13</v>
      </c>
    </row>
    <row r="935" spans="2:11" ht="13" x14ac:dyDescent="0.15">
      <c r="B935" s="27" t="s">
        <v>1386</v>
      </c>
      <c r="C935" s="27" t="s">
        <v>1387</v>
      </c>
      <c r="D935" s="30"/>
      <c r="E935" s="30">
        <v>-0.02</v>
      </c>
      <c r="F935" s="30">
        <v>0</v>
      </c>
      <c r="G935" s="30">
        <v>0</v>
      </c>
      <c r="H935" s="30"/>
      <c r="I935" s="30">
        <f t="shared" si="15"/>
        <v>-0.02</v>
      </c>
      <c r="K935" t="s">
        <v>37</v>
      </c>
    </row>
    <row r="936" spans="2:11" ht="13" x14ac:dyDescent="0.15">
      <c r="B936" s="27" t="s">
        <v>1388</v>
      </c>
      <c r="C936" s="27" t="s">
        <v>1389</v>
      </c>
      <c r="D936" s="30"/>
      <c r="E936" s="30">
        <v>-465.44</v>
      </c>
      <c r="F936" s="30">
        <v>0</v>
      </c>
      <c r="G936" s="30">
        <v>465.44</v>
      </c>
      <c r="H936" s="30"/>
      <c r="I936" s="30">
        <f t="shared" si="15"/>
        <v>0</v>
      </c>
      <c r="K936" t="s">
        <v>37</v>
      </c>
    </row>
    <row r="937" spans="2:11" ht="13" x14ac:dyDescent="0.15">
      <c r="B937" s="27" t="s">
        <v>1390</v>
      </c>
      <c r="C937" s="27" t="s">
        <v>1391</v>
      </c>
      <c r="D937" s="30"/>
      <c r="E937" s="30">
        <v>30773.599999999999</v>
      </c>
      <c r="F937" s="30">
        <v>30773.599999999999</v>
      </c>
      <c r="G937" s="30">
        <v>0</v>
      </c>
      <c r="H937" s="30"/>
      <c r="I937" s="30">
        <f t="shared" si="15"/>
        <v>0</v>
      </c>
      <c r="K937" t="s">
        <v>37</v>
      </c>
    </row>
    <row r="938" spans="2:11" ht="13" x14ac:dyDescent="0.15">
      <c r="B938" s="27" t="s">
        <v>1392</v>
      </c>
      <c r="C938" s="27" t="s">
        <v>1393</v>
      </c>
      <c r="D938" s="30"/>
      <c r="E938" s="30">
        <v>163113.46</v>
      </c>
      <c r="F938" s="30">
        <v>163113.46</v>
      </c>
      <c r="G938" s="30">
        <v>0</v>
      </c>
      <c r="H938" s="30"/>
      <c r="I938" s="30">
        <f t="shared" si="15"/>
        <v>0</v>
      </c>
      <c r="K938" t="s">
        <v>37</v>
      </c>
    </row>
    <row r="939" spans="2:11" ht="13" x14ac:dyDescent="0.15">
      <c r="B939" s="27" t="s">
        <v>1394</v>
      </c>
      <c r="C939" s="27" t="s">
        <v>1395</v>
      </c>
      <c r="D939" s="30"/>
      <c r="E939" s="30">
        <v>0</v>
      </c>
      <c r="F939" s="30">
        <v>423564.91</v>
      </c>
      <c r="G939" s="30">
        <v>426709.25</v>
      </c>
      <c r="H939" s="30"/>
      <c r="I939" s="30">
        <f t="shared" si="15"/>
        <v>3144.3400000000256</v>
      </c>
      <c r="K939" t="s">
        <v>37</v>
      </c>
    </row>
    <row r="940" spans="2:11" ht="13" x14ac:dyDescent="0.15">
      <c r="B940" s="29" t="s">
        <v>1396</v>
      </c>
      <c r="C940" s="29" t="s">
        <v>1397</v>
      </c>
      <c r="D940"/>
      <c r="E940" s="31">
        <f>SUMIFS(E941:E3130,K941:K3130,"0",B941:B3130,"2 1 1 7 3*")-SUMIFS(D941:D3130,K941:K3130,"0",B941:B3130,"2 1 1 7 3*")</f>
        <v>39014.01</v>
      </c>
      <c r="F940" s="31">
        <f>SUMIFS(F941:F3130,K941:K3130,"0",B941:B3130,"2 1 1 7 3*")</f>
        <v>39014.01</v>
      </c>
      <c r="G940" s="31">
        <f>SUMIFS(G941:G3130,K941:K3130,"0",B941:B3130,"2 1 1 7 3*")</f>
        <v>3032.38</v>
      </c>
      <c r="H940" s="31"/>
      <c r="I940" s="31">
        <f t="shared" si="15"/>
        <v>3032.38</v>
      </c>
      <c r="K940" t="s">
        <v>13</v>
      </c>
    </row>
    <row r="941" spans="2:11" ht="13" x14ac:dyDescent="0.15">
      <c r="B941" s="29" t="s">
        <v>1398</v>
      </c>
      <c r="C941" s="29" t="s">
        <v>24</v>
      </c>
      <c r="D941"/>
      <c r="E941" s="31">
        <f>SUMIFS(E942:E3130,K942:K3130,"0",B942:B3130,"2 1 1 7 3 12*")-SUMIFS(D942:D3130,K942:K3130,"0",B942:B3130,"2 1 1 7 3 12*")</f>
        <v>39014.01</v>
      </c>
      <c r="F941" s="31">
        <f>SUMIFS(F942:F3130,K942:K3130,"0",B942:B3130,"2 1 1 7 3 12*")</f>
        <v>39014.01</v>
      </c>
      <c r="G941" s="31">
        <f>SUMIFS(G942:G3130,K942:K3130,"0",B942:B3130,"2 1 1 7 3 12*")</f>
        <v>3032.38</v>
      </c>
      <c r="H941" s="31"/>
      <c r="I941" s="31">
        <f t="shared" si="15"/>
        <v>3032.38</v>
      </c>
      <c r="K941" t="s">
        <v>13</v>
      </c>
    </row>
    <row r="942" spans="2:11" ht="13" x14ac:dyDescent="0.15">
      <c r="B942" s="29" t="s">
        <v>1399</v>
      </c>
      <c r="C942" s="29" t="s">
        <v>26</v>
      </c>
      <c r="D942"/>
      <c r="E942" s="31">
        <f>SUMIFS(E943:E3130,K943:K3130,"0",B943:B3130,"2 1 1 7 3 12 31111*")-SUMIFS(D943:D3130,K943:K3130,"0",B943:B3130,"2 1 1 7 3 12 31111*")</f>
        <v>39014.01</v>
      </c>
      <c r="F942" s="31">
        <f>SUMIFS(F943:F3130,K943:K3130,"0",B943:B3130,"2 1 1 7 3 12 31111*")</f>
        <v>39014.01</v>
      </c>
      <c r="G942" s="31">
        <f>SUMIFS(G943:G3130,K943:K3130,"0",B943:B3130,"2 1 1 7 3 12 31111*")</f>
        <v>3032.38</v>
      </c>
      <c r="H942" s="31"/>
      <c r="I942" s="31">
        <f t="shared" si="15"/>
        <v>3032.38</v>
      </c>
      <c r="K942" t="s">
        <v>13</v>
      </c>
    </row>
    <row r="943" spans="2:11" ht="13" x14ac:dyDescent="0.15">
      <c r="B943" s="29" t="s">
        <v>1400</v>
      </c>
      <c r="C943" s="29" t="s">
        <v>28</v>
      </c>
      <c r="D943"/>
      <c r="E943" s="31">
        <f>SUMIFS(E944:E3130,K944:K3130,"0",B944:B3130,"2 1 1 7 3 12 31111 6*")-SUMIFS(D944:D3130,K944:K3130,"0",B944:B3130,"2 1 1 7 3 12 31111 6*")</f>
        <v>39014.01</v>
      </c>
      <c r="F943" s="31">
        <f>SUMIFS(F944:F3130,K944:K3130,"0",B944:B3130,"2 1 1 7 3 12 31111 6*")</f>
        <v>39014.01</v>
      </c>
      <c r="G943" s="31">
        <f>SUMIFS(G944:G3130,K944:K3130,"0",B944:B3130,"2 1 1 7 3 12 31111 6*")</f>
        <v>3032.38</v>
      </c>
      <c r="H943" s="31"/>
      <c r="I943" s="31">
        <f t="shared" si="15"/>
        <v>3032.38</v>
      </c>
      <c r="K943" t="s">
        <v>13</v>
      </c>
    </row>
    <row r="944" spans="2:11" ht="13" x14ac:dyDescent="0.15">
      <c r="B944" s="29" t="s">
        <v>1401</v>
      </c>
      <c r="C944" s="29" t="s">
        <v>30</v>
      </c>
      <c r="D944"/>
      <c r="E944" s="31">
        <f>SUMIFS(E945:E3130,K945:K3130,"0",B945:B3130,"2 1 1 7 3 12 31111 6 M78*")-SUMIFS(D945:D3130,K945:K3130,"0",B945:B3130,"2 1 1 7 3 12 31111 6 M78*")</f>
        <v>39014.01</v>
      </c>
      <c r="F944" s="31">
        <f>SUMIFS(F945:F3130,K945:K3130,"0",B945:B3130,"2 1 1 7 3 12 31111 6 M78*")</f>
        <v>39014.01</v>
      </c>
      <c r="G944" s="31">
        <f>SUMIFS(G945:G3130,K945:K3130,"0",B945:B3130,"2 1 1 7 3 12 31111 6 M78*")</f>
        <v>3032.38</v>
      </c>
      <c r="H944" s="31"/>
      <c r="I944" s="31">
        <f t="shared" si="15"/>
        <v>3032.38</v>
      </c>
      <c r="K944" t="s">
        <v>13</v>
      </c>
    </row>
    <row r="945" spans="2:11" ht="13" x14ac:dyDescent="0.15">
      <c r="B945" s="29" t="s">
        <v>1402</v>
      </c>
      <c r="C945" s="29" t="s">
        <v>67</v>
      </c>
      <c r="D945"/>
      <c r="E945" s="31">
        <f>SUMIFS(E946:E3130,K946:K3130,"0",B946:B3130,"2 1 1 7 3 12 31111 6 M78 00005*")-SUMIFS(D946:D3130,K946:K3130,"0",B946:B3130,"2 1 1 7 3 12 31111 6 M78 00005*")</f>
        <v>39014.01</v>
      </c>
      <c r="F945" s="31">
        <f>SUMIFS(F946:F3130,K946:K3130,"0",B946:B3130,"2 1 1 7 3 12 31111 6 M78 00005*")</f>
        <v>39014.01</v>
      </c>
      <c r="G945" s="31">
        <f>SUMIFS(G946:G3130,K946:K3130,"0",B946:B3130,"2 1 1 7 3 12 31111 6 M78 00005*")</f>
        <v>3032.38</v>
      </c>
      <c r="H945" s="31"/>
      <c r="I945" s="31">
        <f t="shared" si="15"/>
        <v>3032.38</v>
      </c>
      <c r="K945" t="s">
        <v>13</v>
      </c>
    </row>
    <row r="946" spans="2:11" ht="13" x14ac:dyDescent="0.15">
      <c r="B946" s="27" t="s">
        <v>1403</v>
      </c>
      <c r="C946" s="27" t="s">
        <v>1404</v>
      </c>
      <c r="D946" s="30"/>
      <c r="E946" s="30">
        <v>25889.75</v>
      </c>
      <c r="F946" s="30">
        <v>25889.75</v>
      </c>
      <c r="G946" s="30">
        <v>3032.38</v>
      </c>
      <c r="H946" s="30"/>
      <c r="I946" s="30">
        <f t="shared" si="15"/>
        <v>3032.38</v>
      </c>
      <c r="K946" t="s">
        <v>37</v>
      </c>
    </row>
    <row r="947" spans="2:11" ht="13" x14ac:dyDescent="0.15">
      <c r="B947" s="27" t="s">
        <v>1405</v>
      </c>
      <c r="C947" s="27" t="s">
        <v>1406</v>
      </c>
      <c r="D947" s="30"/>
      <c r="E947" s="30">
        <v>13124.26</v>
      </c>
      <c r="F947" s="30">
        <v>13124.26</v>
      </c>
      <c r="G947" s="30">
        <v>0</v>
      </c>
      <c r="H947" s="30"/>
      <c r="I947" s="30">
        <f t="shared" si="15"/>
        <v>0</v>
      </c>
      <c r="K947" t="s">
        <v>37</v>
      </c>
    </row>
    <row r="948" spans="2:11" ht="22" x14ac:dyDescent="0.15">
      <c r="B948" s="29" t="s">
        <v>1407</v>
      </c>
      <c r="C948" s="29" t="s">
        <v>1408</v>
      </c>
      <c r="D948"/>
      <c r="E948" s="31">
        <f>SUMIFS(E949:E3130,K949:K3130,"0",B949:B3130,"2 1 1 7 5*")-SUMIFS(D949:D3130,K949:K3130,"0",B949:B3130,"2 1 1 7 5*")</f>
        <v>5557.8399999999992</v>
      </c>
      <c r="F948" s="31">
        <f>SUMIFS(F949:F3130,K949:K3130,"0",B949:B3130,"2 1 1 7 5*")</f>
        <v>299169.89</v>
      </c>
      <c r="G948" s="31">
        <f>SUMIFS(G949:G3130,K949:K3130,"0",B949:B3130,"2 1 1 7 5*")</f>
        <v>293970.94</v>
      </c>
      <c r="H948" s="31"/>
      <c r="I948" s="31">
        <f t="shared" si="15"/>
        <v>358.89000000001397</v>
      </c>
      <c r="K948" t="s">
        <v>13</v>
      </c>
    </row>
    <row r="949" spans="2:11" ht="13" x14ac:dyDescent="0.15">
      <c r="B949" s="29" t="s">
        <v>1409</v>
      </c>
      <c r="C949" s="29" t="s">
        <v>24</v>
      </c>
      <c r="D949"/>
      <c r="E949" s="31">
        <f>SUMIFS(E950:E3130,K950:K3130,"0",B950:B3130,"2 1 1 7 5 12*")-SUMIFS(D950:D3130,K950:K3130,"0",B950:B3130,"2 1 1 7 5 12*")</f>
        <v>5557.8399999999992</v>
      </c>
      <c r="F949" s="31">
        <f>SUMIFS(F950:F3130,K950:K3130,"0",B950:B3130,"2 1 1 7 5 12*")</f>
        <v>299169.89</v>
      </c>
      <c r="G949" s="31">
        <f>SUMIFS(G950:G3130,K950:K3130,"0",B950:B3130,"2 1 1 7 5 12*")</f>
        <v>293970.94</v>
      </c>
      <c r="H949" s="31"/>
      <c r="I949" s="31">
        <f t="shared" si="15"/>
        <v>358.89000000001397</v>
      </c>
      <c r="K949" t="s">
        <v>13</v>
      </c>
    </row>
    <row r="950" spans="2:11" ht="13" x14ac:dyDescent="0.15">
      <c r="B950" s="29" t="s">
        <v>1410</v>
      </c>
      <c r="C950" s="29" t="s">
        <v>26</v>
      </c>
      <c r="D950"/>
      <c r="E950" s="31">
        <f>SUMIFS(E951:E3130,K951:K3130,"0",B951:B3130,"2 1 1 7 5 12 31111*")-SUMIFS(D951:D3130,K951:K3130,"0",B951:B3130,"2 1 1 7 5 12 31111*")</f>
        <v>5557.8399999999992</v>
      </c>
      <c r="F950" s="31">
        <f>SUMIFS(F951:F3130,K951:K3130,"0",B951:B3130,"2 1 1 7 5 12 31111*")</f>
        <v>299169.89</v>
      </c>
      <c r="G950" s="31">
        <f>SUMIFS(G951:G3130,K951:K3130,"0",B951:B3130,"2 1 1 7 5 12 31111*")</f>
        <v>293970.94</v>
      </c>
      <c r="H950" s="31"/>
      <c r="I950" s="31">
        <f t="shared" si="15"/>
        <v>358.89000000001397</v>
      </c>
      <c r="K950" t="s">
        <v>13</v>
      </c>
    </row>
    <row r="951" spans="2:11" ht="13" x14ac:dyDescent="0.15">
      <c r="B951" s="29" t="s">
        <v>1411</v>
      </c>
      <c r="C951" s="29" t="s">
        <v>28</v>
      </c>
      <c r="D951"/>
      <c r="E951" s="31">
        <f>SUMIFS(E952:E3130,K952:K3130,"0",B952:B3130,"2 1 1 7 5 12 31111 6*")-SUMIFS(D952:D3130,K952:K3130,"0",B952:B3130,"2 1 1 7 5 12 31111 6*")</f>
        <v>5557.8399999999992</v>
      </c>
      <c r="F951" s="31">
        <f>SUMIFS(F952:F3130,K952:K3130,"0",B952:B3130,"2 1 1 7 5 12 31111 6*")</f>
        <v>299169.89</v>
      </c>
      <c r="G951" s="31">
        <f>SUMIFS(G952:G3130,K952:K3130,"0",B952:B3130,"2 1 1 7 5 12 31111 6*")</f>
        <v>293970.94</v>
      </c>
      <c r="H951" s="31"/>
      <c r="I951" s="31">
        <f t="shared" si="15"/>
        <v>358.89000000001397</v>
      </c>
      <c r="K951" t="s">
        <v>13</v>
      </c>
    </row>
    <row r="952" spans="2:11" ht="13" x14ac:dyDescent="0.15">
      <c r="B952" s="29" t="s">
        <v>1412</v>
      </c>
      <c r="C952" s="29" t="s">
        <v>30</v>
      </c>
      <c r="D952"/>
      <c r="E952" s="31">
        <f>SUMIFS(E953:E3130,K953:K3130,"0",B953:B3130,"2 1 1 7 5 12 31111 6 M78*")-SUMIFS(D953:D3130,K953:K3130,"0",B953:B3130,"2 1 1 7 5 12 31111 6 M78*")</f>
        <v>5557.8399999999992</v>
      </c>
      <c r="F952" s="31">
        <f>SUMIFS(F953:F3130,K953:K3130,"0",B953:B3130,"2 1 1 7 5 12 31111 6 M78*")</f>
        <v>299169.89</v>
      </c>
      <c r="G952" s="31">
        <f>SUMIFS(G953:G3130,K953:K3130,"0",B953:B3130,"2 1 1 7 5 12 31111 6 M78*")</f>
        <v>293970.94</v>
      </c>
      <c r="H952" s="31"/>
      <c r="I952" s="31">
        <f t="shared" si="15"/>
        <v>358.89000000001397</v>
      </c>
      <c r="K952" t="s">
        <v>13</v>
      </c>
    </row>
    <row r="953" spans="2:11" ht="13" x14ac:dyDescent="0.15">
      <c r="B953" s="29" t="s">
        <v>1413</v>
      </c>
      <c r="C953" s="29" t="s">
        <v>1414</v>
      </c>
      <c r="D953"/>
      <c r="E953" s="31">
        <f>SUMIFS(E954:E3130,K954:K3130,"0",B954:B3130,"2 1 1 7 5 12 31111 6 M78 00002*")-SUMIFS(D954:D3130,K954:K3130,"0",B954:B3130,"2 1 1 7 5 12 31111 6 M78 00002*")</f>
        <v>5557.8399999999992</v>
      </c>
      <c r="F953" s="31">
        <f>SUMIFS(F954:F3130,K954:K3130,"0",B954:B3130,"2 1 1 7 5 12 31111 6 M78 00002*")</f>
        <v>299169.89</v>
      </c>
      <c r="G953" s="31">
        <f>SUMIFS(G954:G3130,K954:K3130,"0",B954:B3130,"2 1 1 7 5 12 31111 6 M78 00002*")</f>
        <v>293970.94</v>
      </c>
      <c r="H953" s="31"/>
      <c r="I953" s="31">
        <f t="shared" si="15"/>
        <v>358.89000000001397</v>
      </c>
      <c r="K953" t="s">
        <v>13</v>
      </c>
    </row>
    <row r="954" spans="2:11" ht="13" x14ac:dyDescent="0.15">
      <c r="B954" s="27" t="s">
        <v>1415</v>
      </c>
      <c r="C954" s="27" t="s">
        <v>1416</v>
      </c>
      <c r="D954" s="30"/>
      <c r="E954" s="30">
        <v>0.55000000000000004</v>
      </c>
      <c r="F954" s="30">
        <v>0.55000000000000004</v>
      </c>
      <c r="G954" s="30">
        <v>0</v>
      </c>
      <c r="H954" s="30"/>
      <c r="I954" s="30">
        <f t="shared" si="15"/>
        <v>0</v>
      </c>
      <c r="K954" t="s">
        <v>37</v>
      </c>
    </row>
    <row r="955" spans="2:11" ht="13" x14ac:dyDescent="0.15">
      <c r="B955" s="27" t="s">
        <v>1417</v>
      </c>
      <c r="C955" s="27" t="s">
        <v>1418</v>
      </c>
      <c r="D955" s="30"/>
      <c r="E955" s="30">
        <v>2510.91</v>
      </c>
      <c r="F955" s="30">
        <v>2510.91</v>
      </c>
      <c r="G955" s="30">
        <v>0</v>
      </c>
      <c r="H955" s="30"/>
      <c r="I955" s="30">
        <f t="shared" si="15"/>
        <v>0</v>
      </c>
      <c r="K955" t="s">
        <v>37</v>
      </c>
    </row>
    <row r="956" spans="2:11" ht="13" x14ac:dyDescent="0.15">
      <c r="B956" s="27" t="s">
        <v>1419</v>
      </c>
      <c r="C956" s="27" t="s">
        <v>1420</v>
      </c>
      <c r="D956" s="30"/>
      <c r="E956" s="30">
        <v>3100.43</v>
      </c>
      <c r="F956" s="30">
        <v>3100.43</v>
      </c>
      <c r="G956" s="30">
        <v>0</v>
      </c>
      <c r="H956" s="30"/>
      <c r="I956" s="30">
        <f t="shared" si="15"/>
        <v>0</v>
      </c>
      <c r="K956" t="s">
        <v>37</v>
      </c>
    </row>
    <row r="957" spans="2:11" ht="13" x14ac:dyDescent="0.15">
      <c r="B957" s="27" t="s">
        <v>1421</v>
      </c>
      <c r="C957" s="27" t="s">
        <v>1422</v>
      </c>
      <c r="D957" s="30"/>
      <c r="E957" s="30">
        <v>-54.05</v>
      </c>
      <c r="F957" s="30">
        <v>0</v>
      </c>
      <c r="G957" s="30">
        <v>54.05</v>
      </c>
      <c r="H957" s="30"/>
      <c r="I957" s="30">
        <f t="shared" si="15"/>
        <v>0</v>
      </c>
      <c r="K957" t="s">
        <v>37</v>
      </c>
    </row>
    <row r="958" spans="2:11" ht="13" x14ac:dyDescent="0.15">
      <c r="B958" s="27" t="s">
        <v>1423</v>
      </c>
      <c r="C958" s="27" t="s">
        <v>1424</v>
      </c>
      <c r="D958" s="30"/>
      <c r="E958" s="30">
        <v>0</v>
      </c>
      <c r="F958" s="30">
        <v>293558</v>
      </c>
      <c r="G958" s="30">
        <v>293916.89</v>
      </c>
      <c r="H958" s="30"/>
      <c r="I958" s="30">
        <f t="shared" si="15"/>
        <v>358.89000000001397</v>
      </c>
      <c r="K958" t="s">
        <v>37</v>
      </c>
    </row>
    <row r="959" spans="2:11" ht="13" x14ac:dyDescent="0.15">
      <c r="B959" s="27" t="s">
        <v>1425</v>
      </c>
      <c r="C959" s="27" t="s">
        <v>1426</v>
      </c>
      <c r="D959" s="30"/>
      <c r="E959" s="30">
        <v>3957.4</v>
      </c>
      <c r="F959" s="30">
        <v>3957.4</v>
      </c>
      <c r="G959" s="30">
        <v>0</v>
      </c>
      <c r="H959" s="30"/>
      <c r="I959" s="30">
        <f t="shared" si="15"/>
        <v>0</v>
      </c>
      <c r="K959" t="s">
        <v>37</v>
      </c>
    </row>
    <row r="960" spans="2:11" ht="13" x14ac:dyDescent="0.15">
      <c r="B960" s="29" t="s">
        <v>1427</v>
      </c>
      <c r="C960" s="29" t="s">
        <v>1428</v>
      </c>
      <c r="D960"/>
      <c r="E960" s="31">
        <f>SUMIFS(E961:E3130,K961:K3130,"0",B961:B3130,"2 1 1 9*")-SUMIFS(D961:D3130,K961:K3130,"0",B961:B3130,"2 1 1 9*")</f>
        <v>233212.32</v>
      </c>
      <c r="F960" s="31">
        <f>SUMIFS(F961:F3130,K961:K3130,"0",B961:B3130,"2 1 1 9*")</f>
        <v>933212.32000000007</v>
      </c>
      <c r="G960" s="31">
        <f>SUMIFS(G961:G3130,K961:K3130,"0",B961:B3130,"2 1 1 9*")</f>
        <v>700000</v>
      </c>
      <c r="H960" s="31"/>
      <c r="I960" s="31">
        <f t="shared" si="15"/>
        <v>0</v>
      </c>
      <c r="K960" t="s">
        <v>13</v>
      </c>
    </row>
    <row r="961" spans="2:11" ht="13" x14ac:dyDescent="0.15">
      <c r="B961" s="29" t="s">
        <v>1429</v>
      </c>
      <c r="C961" s="29" t="s">
        <v>1430</v>
      </c>
      <c r="D961"/>
      <c r="E961" s="31">
        <f>SUMIFS(E962:E3130,K962:K3130,"0",B962:B3130,"2 1 1 9 5*")-SUMIFS(D962:D3130,K962:K3130,"0",B962:B3130,"2 1 1 9 5*")</f>
        <v>20000</v>
      </c>
      <c r="F961" s="31">
        <f>SUMIFS(F962:F3130,K962:K3130,"0",B962:B3130,"2 1 1 9 5*")</f>
        <v>20000</v>
      </c>
      <c r="G961" s="31">
        <f>SUMIFS(G962:G3130,K962:K3130,"0",B962:B3130,"2 1 1 9 5*")</f>
        <v>0</v>
      </c>
      <c r="H961" s="31"/>
      <c r="I961" s="31">
        <f t="shared" si="15"/>
        <v>0</v>
      </c>
      <c r="K961" t="s">
        <v>13</v>
      </c>
    </row>
    <row r="962" spans="2:11" ht="13" x14ac:dyDescent="0.15">
      <c r="B962" s="29" t="s">
        <v>1431</v>
      </c>
      <c r="C962" s="29" t="s">
        <v>24</v>
      </c>
      <c r="D962"/>
      <c r="E962" s="31">
        <f>SUMIFS(E963:E3130,K963:K3130,"0",B963:B3130,"2 1 1 9 5 12*")-SUMIFS(D963:D3130,K963:K3130,"0",B963:B3130,"2 1 1 9 5 12*")</f>
        <v>20000</v>
      </c>
      <c r="F962" s="31">
        <f>SUMIFS(F963:F3130,K963:K3130,"0",B963:B3130,"2 1 1 9 5 12*")</f>
        <v>20000</v>
      </c>
      <c r="G962" s="31">
        <f>SUMIFS(G963:G3130,K963:K3130,"0",B963:B3130,"2 1 1 9 5 12*")</f>
        <v>0</v>
      </c>
      <c r="H962" s="31"/>
      <c r="I962" s="31">
        <f t="shared" si="15"/>
        <v>0</v>
      </c>
      <c r="K962" t="s">
        <v>13</v>
      </c>
    </row>
    <row r="963" spans="2:11" ht="13" x14ac:dyDescent="0.15">
      <c r="B963" s="29" t="s">
        <v>1432</v>
      </c>
      <c r="C963" s="29" t="s">
        <v>26</v>
      </c>
      <c r="D963"/>
      <c r="E963" s="31">
        <f>SUMIFS(E964:E3130,K964:K3130,"0",B964:B3130,"2 1 1 9 5 12 31111*")-SUMIFS(D964:D3130,K964:K3130,"0",B964:B3130,"2 1 1 9 5 12 31111*")</f>
        <v>20000</v>
      </c>
      <c r="F963" s="31">
        <f>SUMIFS(F964:F3130,K964:K3130,"0",B964:B3130,"2 1 1 9 5 12 31111*")</f>
        <v>20000</v>
      </c>
      <c r="G963" s="31">
        <f>SUMIFS(G964:G3130,K964:K3130,"0",B964:B3130,"2 1 1 9 5 12 31111*")</f>
        <v>0</v>
      </c>
      <c r="H963" s="31"/>
      <c r="I963" s="31">
        <f t="shared" si="15"/>
        <v>0</v>
      </c>
      <c r="K963" t="s">
        <v>13</v>
      </c>
    </row>
    <row r="964" spans="2:11" ht="13" x14ac:dyDescent="0.15">
      <c r="B964" s="29" t="s">
        <v>1433</v>
      </c>
      <c r="C964" s="29" t="s">
        <v>28</v>
      </c>
      <c r="D964"/>
      <c r="E964" s="31">
        <f>SUMIFS(E965:E3130,K965:K3130,"0",B965:B3130,"2 1 1 9 5 12 31111 6*")-SUMIFS(D965:D3130,K965:K3130,"0",B965:B3130,"2 1 1 9 5 12 31111 6*")</f>
        <v>20000</v>
      </c>
      <c r="F964" s="31">
        <f>SUMIFS(F965:F3130,K965:K3130,"0",B965:B3130,"2 1 1 9 5 12 31111 6*")</f>
        <v>20000</v>
      </c>
      <c r="G964" s="31">
        <f>SUMIFS(G965:G3130,K965:K3130,"0",B965:B3130,"2 1 1 9 5 12 31111 6*")</f>
        <v>0</v>
      </c>
      <c r="H964" s="31"/>
      <c r="I964" s="31">
        <f t="shared" si="15"/>
        <v>0</v>
      </c>
      <c r="K964" t="s">
        <v>13</v>
      </c>
    </row>
    <row r="965" spans="2:11" ht="13" x14ac:dyDescent="0.15">
      <c r="B965" s="29" t="s">
        <v>1434</v>
      </c>
      <c r="C965" s="29" t="s">
        <v>30</v>
      </c>
      <c r="D965"/>
      <c r="E965" s="31">
        <f>SUMIFS(E966:E3130,K966:K3130,"0",B966:B3130,"2 1 1 9 5 12 31111 6 M78*")-SUMIFS(D966:D3130,K966:K3130,"0",B966:B3130,"2 1 1 9 5 12 31111 6 M78*")</f>
        <v>20000</v>
      </c>
      <c r="F965" s="31">
        <f>SUMIFS(F966:F3130,K966:K3130,"0",B966:B3130,"2 1 1 9 5 12 31111 6 M78*")</f>
        <v>20000</v>
      </c>
      <c r="G965" s="31">
        <f>SUMIFS(G966:G3130,K966:K3130,"0",B966:B3130,"2 1 1 9 5 12 31111 6 M78*")</f>
        <v>0</v>
      </c>
      <c r="H965" s="31"/>
      <c r="I965" s="31">
        <f t="shared" si="15"/>
        <v>0</v>
      </c>
      <c r="K965" t="s">
        <v>13</v>
      </c>
    </row>
    <row r="966" spans="2:11" ht="13" x14ac:dyDescent="0.15">
      <c r="B966" s="27" t="s">
        <v>1435</v>
      </c>
      <c r="C966" s="27" t="s">
        <v>1436</v>
      </c>
      <c r="D966" s="30"/>
      <c r="E966" s="30">
        <v>20000</v>
      </c>
      <c r="F966" s="30">
        <v>20000</v>
      </c>
      <c r="G966" s="30">
        <v>0</v>
      </c>
      <c r="H966" s="30"/>
      <c r="I966" s="30">
        <f t="shared" si="15"/>
        <v>0</v>
      </c>
      <c r="K966" t="s">
        <v>37</v>
      </c>
    </row>
    <row r="967" spans="2:11" ht="13" x14ac:dyDescent="0.15">
      <c r="B967" s="29" t="s">
        <v>1437</v>
      </c>
      <c r="C967" s="29" t="s">
        <v>1438</v>
      </c>
      <c r="D967"/>
      <c r="E967" s="31">
        <f>SUMIFS(E968:E3130,K968:K3130,"0",B968:B3130,"2 1 1 9 9*")-SUMIFS(D968:D3130,K968:K3130,"0",B968:B3130,"2 1 1 9 9*")</f>
        <v>213212.32</v>
      </c>
      <c r="F967" s="31">
        <f>SUMIFS(F968:F3130,K968:K3130,"0",B968:B3130,"2 1 1 9 9*")</f>
        <v>913212.32000000007</v>
      </c>
      <c r="G967" s="31">
        <f>SUMIFS(G968:G3130,K968:K3130,"0",B968:B3130,"2 1 1 9 9*")</f>
        <v>700000</v>
      </c>
      <c r="H967" s="31"/>
      <c r="I967" s="31">
        <f t="shared" si="15"/>
        <v>0</v>
      </c>
      <c r="K967" t="s">
        <v>13</v>
      </c>
    </row>
    <row r="968" spans="2:11" ht="13" x14ac:dyDescent="0.15">
      <c r="B968" s="29" t="s">
        <v>1439</v>
      </c>
      <c r="C968" s="29" t="s">
        <v>24</v>
      </c>
      <c r="D968"/>
      <c r="E968" s="31">
        <f>SUMIFS(E969:E3130,K969:K3130,"0",B969:B3130,"2 1 1 9 9 12*")-SUMIFS(D969:D3130,K969:K3130,"0",B969:B3130,"2 1 1 9 9 12*")</f>
        <v>213212.32</v>
      </c>
      <c r="F968" s="31">
        <f>SUMIFS(F969:F3130,K969:K3130,"0",B969:B3130,"2 1 1 9 9 12*")</f>
        <v>913212.32000000007</v>
      </c>
      <c r="G968" s="31">
        <f>SUMIFS(G969:G3130,K969:K3130,"0",B969:B3130,"2 1 1 9 9 12*")</f>
        <v>700000</v>
      </c>
      <c r="H968" s="31"/>
      <c r="I968" s="31">
        <f t="shared" si="15"/>
        <v>0</v>
      </c>
      <c r="K968" t="s">
        <v>13</v>
      </c>
    </row>
    <row r="969" spans="2:11" ht="13" x14ac:dyDescent="0.15">
      <c r="B969" s="29" t="s">
        <v>1440</v>
      </c>
      <c r="C969" s="29" t="s">
        <v>26</v>
      </c>
      <c r="D969"/>
      <c r="E969" s="31">
        <f>SUMIFS(E970:E3130,K970:K3130,"0",B970:B3130,"2 1 1 9 9 12 31111*")-SUMIFS(D970:D3130,K970:K3130,"0",B970:B3130,"2 1 1 9 9 12 31111*")</f>
        <v>213212.32</v>
      </c>
      <c r="F969" s="31">
        <f>SUMIFS(F970:F3130,K970:K3130,"0",B970:B3130,"2 1 1 9 9 12 31111*")</f>
        <v>913212.32000000007</v>
      </c>
      <c r="G969" s="31">
        <f>SUMIFS(G970:G3130,K970:K3130,"0",B970:B3130,"2 1 1 9 9 12 31111*")</f>
        <v>700000</v>
      </c>
      <c r="H969" s="31"/>
      <c r="I969" s="31">
        <f t="shared" si="15"/>
        <v>0</v>
      </c>
      <c r="K969" t="s">
        <v>13</v>
      </c>
    </row>
    <row r="970" spans="2:11" ht="13" x14ac:dyDescent="0.15">
      <c r="B970" s="29" t="s">
        <v>1441</v>
      </c>
      <c r="C970" s="29" t="s">
        <v>28</v>
      </c>
      <c r="D970"/>
      <c r="E970" s="31">
        <f>SUMIFS(E971:E3130,K971:K3130,"0",B971:B3130,"2 1 1 9 9 12 31111 6*")-SUMIFS(D971:D3130,K971:K3130,"0",B971:B3130,"2 1 1 9 9 12 31111 6*")</f>
        <v>213212.32</v>
      </c>
      <c r="F970" s="31">
        <f>SUMIFS(F971:F3130,K971:K3130,"0",B971:B3130,"2 1 1 9 9 12 31111 6*")</f>
        <v>913212.32000000007</v>
      </c>
      <c r="G970" s="31">
        <f>SUMIFS(G971:G3130,K971:K3130,"0",B971:B3130,"2 1 1 9 9 12 31111 6*")</f>
        <v>700000</v>
      </c>
      <c r="H970" s="31"/>
      <c r="I970" s="31">
        <f t="shared" si="15"/>
        <v>0</v>
      </c>
      <c r="K970" t="s">
        <v>13</v>
      </c>
    </row>
    <row r="971" spans="2:11" ht="13" x14ac:dyDescent="0.15">
      <c r="B971" s="29" t="s">
        <v>1442</v>
      </c>
      <c r="C971" s="29" t="s">
        <v>30</v>
      </c>
      <c r="D971"/>
      <c r="E971" s="31">
        <f>SUMIFS(E972:E3130,K972:K3130,"0",B972:B3130,"2 1 1 9 9 12 31111 6 M78*")-SUMIFS(D972:D3130,K972:K3130,"0",B972:B3130,"2 1 1 9 9 12 31111 6 M78*")</f>
        <v>213212.32</v>
      </c>
      <c r="F971" s="31">
        <f>SUMIFS(F972:F3130,K972:K3130,"0",B972:B3130,"2 1 1 9 9 12 31111 6 M78*")</f>
        <v>913212.32000000007</v>
      </c>
      <c r="G971" s="31">
        <f>SUMIFS(G972:G3130,K972:K3130,"0",B972:B3130,"2 1 1 9 9 12 31111 6 M78*")</f>
        <v>700000</v>
      </c>
      <c r="H971" s="31"/>
      <c r="I971" s="31">
        <f t="shared" si="15"/>
        <v>0</v>
      </c>
      <c r="K971" t="s">
        <v>13</v>
      </c>
    </row>
    <row r="972" spans="2:11" ht="13" x14ac:dyDescent="0.15">
      <c r="B972" s="29" t="s">
        <v>1443</v>
      </c>
      <c r="C972" s="29" t="s">
        <v>32</v>
      </c>
      <c r="D972"/>
      <c r="E972" s="31">
        <f>SUMIFS(E973:E3130,K973:K3130,"0",B973:B3130,"2 1 1 9 9 12 31111 6 M78 00001*")-SUMIFS(D973:D3130,K973:K3130,"0",B973:B3130,"2 1 1 9 9 12 31111 6 M78 00001*")</f>
        <v>198212.32</v>
      </c>
      <c r="F972" s="31">
        <f>SUMIFS(F973:F3130,K973:K3130,"0",B973:B3130,"2 1 1 9 9 12 31111 6 M78 00001*")</f>
        <v>498212.32</v>
      </c>
      <c r="G972" s="31">
        <f>SUMIFS(G973:G3130,K973:K3130,"0",B973:B3130,"2 1 1 9 9 12 31111 6 M78 00001*")</f>
        <v>300000</v>
      </c>
      <c r="H972" s="31"/>
      <c r="I972" s="31">
        <f t="shared" si="15"/>
        <v>0</v>
      </c>
      <c r="K972" t="s">
        <v>13</v>
      </c>
    </row>
    <row r="973" spans="2:11" ht="13" x14ac:dyDescent="0.15">
      <c r="B973" s="29" t="s">
        <v>1444</v>
      </c>
      <c r="C973" s="29" t="s">
        <v>34</v>
      </c>
      <c r="D973"/>
      <c r="E973" s="31">
        <f>SUMIFS(E974:E3130,K974:K3130,"0",B974:B3130,"2 1 1 9 9 12 31111 6 M78 00001 001*")-SUMIFS(D974:D3130,K974:K3130,"0",B974:B3130,"2 1 1 9 9 12 31111 6 M78 00001 001*")</f>
        <v>198212.32</v>
      </c>
      <c r="F973" s="31">
        <f>SUMIFS(F974:F3130,K974:K3130,"0",B974:B3130,"2 1 1 9 9 12 31111 6 M78 00001 001*")</f>
        <v>498212.32</v>
      </c>
      <c r="G973" s="31">
        <f>SUMIFS(G974:G3130,K974:K3130,"0",B974:B3130,"2 1 1 9 9 12 31111 6 M78 00001 001*")</f>
        <v>300000</v>
      </c>
      <c r="H973" s="31"/>
      <c r="I973" s="31">
        <f t="shared" si="15"/>
        <v>0</v>
      </c>
      <c r="K973" t="s">
        <v>13</v>
      </c>
    </row>
    <row r="974" spans="2:11" ht="13" x14ac:dyDescent="0.15">
      <c r="B974" s="27" t="s">
        <v>1445</v>
      </c>
      <c r="C974" s="27" t="s">
        <v>1446</v>
      </c>
      <c r="D974" s="30"/>
      <c r="E974" s="30">
        <v>175000</v>
      </c>
      <c r="F974" s="30">
        <v>435000</v>
      </c>
      <c r="G974" s="30">
        <v>260000</v>
      </c>
      <c r="H974" s="30"/>
      <c r="I974" s="30">
        <f t="shared" si="15"/>
        <v>0</v>
      </c>
      <c r="K974" t="s">
        <v>37</v>
      </c>
    </row>
    <row r="975" spans="2:11" ht="13" x14ac:dyDescent="0.15">
      <c r="B975" s="27" t="s">
        <v>1447</v>
      </c>
      <c r="C975" s="27" t="s">
        <v>1448</v>
      </c>
      <c r="D975" s="30"/>
      <c r="E975" s="30">
        <v>8212.32</v>
      </c>
      <c r="F975" s="30">
        <v>8212.32</v>
      </c>
      <c r="G975" s="30">
        <v>0</v>
      </c>
      <c r="H975" s="30"/>
      <c r="I975" s="30">
        <f t="shared" si="15"/>
        <v>0</v>
      </c>
      <c r="K975" t="s">
        <v>37</v>
      </c>
    </row>
    <row r="976" spans="2:11" ht="13" x14ac:dyDescent="0.15">
      <c r="B976" s="27" t="s">
        <v>1449</v>
      </c>
      <c r="C976" s="27" t="s">
        <v>1450</v>
      </c>
      <c r="D976" s="30"/>
      <c r="E976" s="30">
        <v>15000</v>
      </c>
      <c r="F976" s="30">
        <v>55000</v>
      </c>
      <c r="G976" s="30">
        <v>40000</v>
      </c>
      <c r="H976" s="30"/>
      <c r="I976" s="30">
        <f t="shared" si="15"/>
        <v>0</v>
      </c>
      <c r="K976" t="s">
        <v>37</v>
      </c>
    </row>
    <row r="977" spans="2:11" ht="13" x14ac:dyDescent="0.15">
      <c r="B977" s="29" t="s">
        <v>1451</v>
      </c>
      <c r="C977" s="29" t="s">
        <v>1452</v>
      </c>
      <c r="D977"/>
      <c r="E977" s="31">
        <f>SUMIFS(E978:E3130,K978:K3130,"0",B978:B3130,"2 1 1 9 9 12 31111 6 M78 00003*")-SUMIFS(D978:D3130,K978:K3130,"0",B978:B3130,"2 1 1 9 9 12 31111 6 M78 00003*")</f>
        <v>15000</v>
      </c>
      <c r="F977" s="31">
        <f>SUMIFS(F978:F3130,K978:K3130,"0",B978:B3130,"2 1 1 9 9 12 31111 6 M78 00003*")</f>
        <v>415000</v>
      </c>
      <c r="G977" s="31">
        <f>SUMIFS(G978:G3130,K978:K3130,"0",B978:B3130,"2 1 1 9 9 12 31111 6 M78 00003*")</f>
        <v>400000</v>
      </c>
      <c r="H977" s="31"/>
      <c r="I977" s="31">
        <f t="shared" si="15"/>
        <v>0</v>
      </c>
      <c r="K977" t="s">
        <v>13</v>
      </c>
    </row>
    <row r="978" spans="2:11" ht="13" x14ac:dyDescent="0.15">
      <c r="B978" s="29" t="s">
        <v>1453</v>
      </c>
      <c r="C978" s="29" t="s">
        <v>34</v>
      </c>
      <c r="D978"/>
      <c r="E978" s="31">
        <f>SUMIFS(E979:E3130,K979:K3130,"0",B979:B3130,"2 1 1 9 9 12 31111 6 M78 00003 001*")-SUMIFS(D979:D3130,K979:K3130,"0",B979:B3130,"2 1 1 9 9 12 31111 6 M78 00003 001*")</f>
        <v>15000</v>
      </c>
      <c r="F978" s="31">
        <f>SUMIFS(F979:F3130,K979:K3130,"0",B979:B3130,"2 1 1 9 9 12 31111 6 M78 00003 001*")</f>
        <v>415000</v>
      </c>
      <c r="G978" s="31">
        <f>SUMIFS(G979:G3130,K979:K3130,"0",B979:B3130,"2 1 1 9 9 12 31111 6 M78 00003 001*")</f>
        <v>400000</v>
      </c>
      <c r="H978" s="31"/>
      <c r="I978" s="31">
        <f t="shared" si="15"/>
        <v>0</v>
      </c>
      <c r="K978" t="s">
        <v>13</v>
      </c>
    </row>
    <row r="979" spans="2:11" ht="13" x14ac:dyDescent="0.15">
      <c r="B979" s="27" t="s">
        <v>1454</v>
      </c>
      <c r="C979" s="27" t="s">
        <v>1455</v>
      </c>
      <c r="D979" s="30"/>
      <c r="E979" s="30">
        <v>15000</v>
      </c>
      <c r="F979" s="30">
        <v>15000</v>
      </c>
      <c r="G979" s="30">
        <v>0</v>
      </c>
      <c r="H979" s="30"/>
      <c r="I979" s="30">
        <f t="shared" si="15"/>
        <v>0</v>
      </c>
      <c r="K979" t="s">
        <v>37</v>
      </c>
    </row>
    <row r="980" spans="2:11" ht="13" x14ac:dyDescent="0.15">
      <c r="B980" s="27" t="s">
        <v>1456</v>
      </c>
      <c r="C980" s="27" t="s">
        <v>1457</v>
      </c>
      <c r="D980" s="30"/>
      <c r="E980" s="30">
        <v>0</v>
      </c>
      <c r="F980" s="30">
        <v>400000</v>
      </c>
      <c r="G980" s="30">
        <v>400000</v>
      </c>
      <c r="H980" s="30"/>
      <c r="I980" s="30">
        <f t="shared" si="15"/>
        <v>0</v>
      </c>
      <c r="K980" t="s">
        <v>37</v>
      </c>
    </row>
    <row r="981" spans="2:11" ht="13" x14ac:dyDescent="0.15">
      <c r="B981" s="29" t="s">
        <v>1458</v>
      </c>
      <c r="C981" s="29" t="s">
        <v>1459</v>
      </c>
      <c r="D981"/>
      <c r="E981" s="31">
        <f>SUMIFS(E982:E3130,K982:K3130,"0",B982:B3130,"2 1 2*")-SUMIFS(D982:D3130,K982:K3130,"0",B982:B3130,"2 1 2*")</f>
        <v>0</v>
      </c>
      <c r="F981" s="31">
        <f>SUMIFS(F982:F3130,K982:K3130,"0",B982:B3130,"2 1 2*")</f>
        <v>0</v>
      </c>
      <c r="G981" s="31">
        <f>SUMIFS(G982:G3130,K982:K3130,"0",B982:B3130,"2 1 2*")</f>
        <v>0</v>
      </c>
      <c r="H981" s="31"/>
      <c r="I981" s="31">
        <f t="shared" si="15"/>
        <v>0</v>
      </c>
      <c r="K981" t="s">
        <v>13</v>
      </c>
    </row>
    <row r="982" spans="2:11" ht="13" x14ac:dyDescent="0.15">
      <c r="B982" s="29" t="s">
        <v>1460</v>
      </c>
      <c r="C982" s="29" t="s">
        <v>1461</v>
      </c>
      <c r="D982"/>
      <c r="E982" s="31">
        <f>SUMIFS(E983:E3130,K983:K3130,"0",B983:B3130,"2 1 3*")-SUMIFS(D983:D3130,K983:K3130,"0",B983:B3130,"2 1 3*")</f>
        <v>0</v>
      </c>
      <c r="F982" s="31">
        <f>SUMIFS(F983:F3130,K983:K3130,"0",B983:B3130,"2 1 3*")</f>
        <v>0</v>
      </c>
      <c r="G982" s="31">
        <f>SUMIFS(G983:G3130,K983:K3130,"0",B983:B3130,"2 1 3*")</f>
        <v>0</v>
      </c>
      <c r="H982" s="31"/>
      <c r="I982" s="31">
        <f t="shared" si="15"/>
        <v>0</v>
      </c>
      <c r="K982" t="s">
        <v>13</v>
      </c>
    </row>
    <row r="983" spans="2:11" ht="13" x14ac:dyDescent="0.15">
      <c r="B983" s="29" t="s">
        <v>1462</v>
      </c>
      <c r="C983" s="29" t="s">
        <v>1463</v>
      </c>
      <c r="D983"/>
      <c r="E983" s="31">
        <f>SUMIFS(E984:E3130,K984:K3130,"0",B984:B3130,"2 1 4*")-SUMIFS(D984:D3130,K984:K3130,"0",B984:B3130,"2 1 4*")</f>
        <v>0</v>
      </c>
      <c r="F983" s="31">
        <f>SUMIFS(F984:F3130,K984:K3130,"0",B984:B3130,"2 1 4*")</f>
        <v>0</v>
      </c>
      <c r="G983" s="31">
        <f>SUMIFS(G984:G3130,K984:K3130,"0",B984:B3130,"2 1 4*")</f>
        <v>0</v>
      </c>
      <c r="H983" s="31"/>
      <c r="I983" s="31">
        <f t="shared" si="15"/>
        <v>0</v>
      </c>
      <c r="K983" t="s">
        <v>13</v>
      </c>
    </row>
    <row r="984" spans="2:11" ht="13" x14ac:dyDescent="0.15">
      <c r="B984" s="29" t="s">
        <v>1464</v>
      </c>
      <c r="C984" s="29" t="s">
        <v>1465</v>
      </c>
      <c r="D984"/>
      <c r="E984" s="31">
        <f>SUMIFS(E985:E3130,K985:K3130,"0",B985:B3130,"2 1 5*")-SUMIFS(D985:D3130,K985:K3130,"0",B985:B3130,"2 1 5*")</f>
        <v>0</v>
      </c>
      <c r="F984" s="31">
        <f>SUMIFS(F985:F3130,K985:K3130,"0",B985:B3130,"2 1 5*")</f>
        <v>0</v>
      </c>
      <c r="G984" s="31">
        <f>SUMIFS(G985:G3130,K985:K3130,"0",B985:B3130,"2 1 5*")</f>
        <v>0</v>
      </c>
      <c r="H984" s="31"/>
      <c r="I984" s="31">
        <f t="shared" si="15"/>
        <v>0</v>
      </c>
      <c r="K984" t="s">
        <v>13</v>
      </c>
    </row>
    <row r="985" spans="2:11" ht="22" x14ac:dyDescent="0.15">
      <c r="B985" s="29" t="s">
        <v>1466</v>
      </c>
      <c r="C985" s="29" t="s">
        <v>1467</v>
      </c>
      <c r="D985"/>
      <c r="E985" s="31">
        <f>SUMIFS(E986:E3130,K986:K3130,"0",B986:B3130,"2 1 6*")-SUMIFS(D986:D3130,K986:K3130,"0",B986:B3130,"2 1 6*")</f>
        <v>0</v>
      </c>
      <c r="F985" s="31">
        <f>SUMIFS(F986:F3130,K986:K3130,"0",B986:B3130,"2 1 6*")</f>
        <v>0</v>
      </c>
      <c r="G985" s="31">
        <f>SUMIFS(G986:G3130,K986:K3130,"0",B986:B3130,"2 1 6*")</f>
        <v>0</v>
      </c>
      <c r="H985" s="31"/>
      <c r="I985" s="31">
        <f t="shared" si="15"/>
        <v>0</v>
      </c>
      <c r="K985" t="s">
        <v>13</v>
      </c>
    </row>
    <row r="986" spans="2:11" ht="13" x14ac:dyDescent="0.15">
      <c r="B986" s="29" t="s">
        <v>1468</v>
      </c>
      <c r="C986" s="29" t="s">
        <v>1469</v>
      </c>
      <c r="D986"/>
      <c r="E986" s="31">
        <f>SUMIFS(E987:E3130,K987:K3130,"0",B987:B3130,"2 1 7*")-SUMIFS(D987:D3130,K987:K3130,"0",B987:B3130,"2 1 7*")</f>
        <v>0</v>
      </c>
      <c r="F986" s="31">
        <f>SUMIFS(F987:F3130,K987:K3130,"0",B987:B3130,"2 1 7*")</f>
        <v>0</v>
      </c>
      <c r="G986" s="31">
        <f>SUMIFS(G987:G3130,K987:K3130,"0",B987:B3130,"2 1 7*")</f>
        <v>0</v>
      </c>
      <c r="H986" s="31"/>
      <c r="I986" s="31">
        <f t="shared" si="15"/>
        <v>0</v>
      </c>
      <c r="K986" t="s">
        <v>13</v>
      </c>
    </row>
    <row r="987" spans="2:11" ht="13" x14ac:dyDescent="0.15">
      <c r="B987" s="29" t="s">
        <v>1470</v>
      </c>
      <c r="C987" s="29" t="s">
        <v>1471</v>
      </c>
      <c r="D987"/>
      <c r="E987" s="31">
        <f>SUMIFS(E988:E3130,K988:K3130,"0",B988:B3130,"2 1 9*")-SUMIFS(D988:D3130,K988:K3130,"0",B988:B3130,"2 1 9*")</f>
        <v>0</v>
      </c>
      <c r="F987" s="31">
        <f>SUMIFS(F988:F3130,K988:K3130,"0",B988:B3130,"2 1 9*")</f>
        <v>2046513.66</v>
      </c>
      <c r="G987" s="31">
        <f>SUMIFS(G988:G3130,K988:K3130,"0",B988:B3130,"2 1 9*")</f>
        <v>2046513.66</v>
      </c>
      <c r="H987" s="31"/>
      <c r="I987" s="31">
        <f t="shared" ref="I987:I1050" si="16">E987 - F987 + G987</f>
        <v>0</v>
      </c>
      <c r="K987" t="s">
        <v>13</v>
      </c>
    </row>
    <row r="988" spans="2:11" ht="13" x14ac:dyDescent="0.15">
      <c r="B988" s="29" t="s">
        <v>1472</v>
      </c>
      <c r="C988" s="29" t="s">
        <v>1473</v>
      </c>
      <c r="D988"/>
      <c r="E988" s="31">
        <f>SUMIFS(E989:E3130,K989:K3130,"0",B989:B3130,"2 1 9 2*")-SUMIFS(D989:D3130,K989:K3130,"0",B989:B3130,"2 1 9 2*")</f>
        <v>0</v>
      </c>
      <c r="F988" s="31">
        <f>SUMIFS(F989:F3130,K989:K3130,"0",B989:B3130,"2 1 9 2*")</f>
        <v>2046513.66</v>
      </c>
      <c r="G988" s="31">
        <f>SUMIFS(G989:G3130,K989:K3130,"0",B989:B3130,"2 1 9 2*")</f>
        <v>2046513.66</v>
      </c>
      <c r="H988" s="31"/>
      <c r="I988" s="31">
        <f t="shared" si="16"/>
        <v>0</v>
      </c>
      <c r="K988" t="s">
        <v>13</v>
      </c>
    </row>
    <row r="989" spans="2:11" ht="13" x14ac:dyDescent="0.15">
      <c r="B989" s="29" t="s">
        <v>1474</v>
      </c>
      <c r="C989" s="29" t="s">
        <v>1475</v>
      </c>
      <c r="D989"/>
      <c r="E989" s="31">
        <f>SUMIFS(E990:E3130,K990:K3130,"0",B990:B3130,"2 1 9 2 1*")-SUMIFS(D990:D3130,K990:K3130,"0",B990:B3130,"2 1 9 2 1*")</f>
        <v>0</v>
      </c>
      <c r="F989" s="31">
        <f>SUMIFS(F990:F3130,K990:K3130,"0",B990:B3130,"2 1 9 2 1*")</f>
        <v>2046513.66</v>
      </c>
      <c r="G989" s="31">
        <f>SUMIFS(G990:G3130,K990:K3130,"0",B990:B3130,"2 1 9 2 1*")</f>
        <v>2046513.66</v>
      </c>
      <c r="H989" s="31"/>
      <c r="I989" s="31">
        <f t="shared" si="16"/>
        <v>0</v>
      </c>
      <c r="K989" t="s">
        <v>13</v>
      </c>
    </row>
    <row r="990" spans="2:11" ht="13" x14ac:dyDescent="0.15">
      <c r="B990" s="29" t="s">
        <v>1476</v>
      </c>
      <c r="C990" s="29" t="s">
        <v>24</v>
      </c>
      <c r="D990"/>
      <c r="E990" s="31">
        <f>SUMIFS(E991:E3130,K991:K3130,"0",B991:B3130,"2 1 9 2 1 12*")-SUMIFS(D991:D3130,K991:K3130,"0",B991:B3130,"2 1 9 2 1 12*")</f>
        <v>0</v>
      </c>
      <c r="F990" s="31">
        <f>SUMIFS(F991:F3130,K991:K3130,"0",B991:B3130,"2 1 9 2 1 12*")</f>
        <v>2046513.66</v>
      </c>
      <c r="G990" s="31">
        <f>SUMIFS(G991:G3130,K991:K3130,"0",B991:B3130,"2 1 9 2 1 12*")</f>
        <v>2046513.66</v>
      </c>
      <c r="H990" s="31"/>
      <c r="I990" s="31">
        <f t="shared" si="16"/>
        <v>0</v>
      </c>
      <c r="K990" t="s">
        <v>13</v>
      </c>
    </row>
    <row r="991" spans="2:11" ht="13" x14ac:dyDescent="0.15">
      <c r="B991" s="29" t="s">
        <v>1477</v>
      </c>
      <c r="C991" s="29" t="s">
        <v>26</v>
      </c>
      <c r="D991"/>
      <c r="E991" s="31">
        <f>SUMIFS(E992:E3130,K992:K3130,"0",B992:B3130,"2 1 9 2 1 12 31111*")-SUMIFS(D992:D3130,K992:K3130,"0",B992:B3130,"2 1 9 2 1 12 31111*")</f>
        <v>0</v>
      </c>
      <c r="F991" s="31">
        <f>SUMIFS(F992:F3130,K992:K3130,"0",B992:B3130,"2 1 9 2 1 12 31111*")</f>
        <v>2046513.66</v>
      </c>
      <c r="G991" s="31">
        <f>SUMIFS(G992:G3130,K992:K3130,"0",B992:B3130,"2 1 9 2 1 12 31111*")</f>
        <v>2046513.66</v>
      </c>
      <c r="H991" s="31"/>
      <c r="I991" s="31">
        <f t="shared" si="16"/>
        <v>0</v>
      </c>
      <c r="K991" t="s">
        <v>13</v>
      </c>
    </row>
    <row r="992" spans="2:11" ht="13" x14ac:dyDescent="0.15">
      <c r="B992" s="29" t="s">
        <v>1478</v>
      </c>
      <c r="C992" s="29" t="s">
        <v>28</v>
      </c>
      <c r="D992"/>
      <c r="E992" s="31">
        <f>SUMIFS(E993:E3130,K993:K3130,"0",B993:B3130,"2 1 9 2 1 12 31111 6*")-SUMIFS(D993:D3130,K993:K3130,"0",B993:B3130,"2 1 9 2 1 12 31111 6*")</f>
        <v>0</v>
      </c>
      <c r="F992" s="31">
        <f>SUMIFS(F993:F3130,K993:K3130,"0",B993:B3130,"2 1 9 2 1 12 31111 6*")</f>
        <v>2046513.66</v>
      </c>
      <c r="G992" s="31">
        <f>SUMIFS(G993:G3130,K993:K3130,"0",B993:B3130,"2 1 9 2 1 12 31111 6*")</f>
        <v>2046513.66</v>
      </c>
      <c r="H992" s="31"/>
      <c r="I992" s="31">
        <f t="shared" si="16"/>
        <v>0</v>
      </c>
      <c r="K992" t="s">
        <v>13</v>
      </c>
    </row>
    <row r="993" spans="2:11" ht="13" x14ac:dyDescent="0.15">
      <c r="B993" s="29" t="s">
        <v>1479</v>
      </c>
      <c r="C993" s="29" t="s">
        <v>30</v>
      </c>
      <c r="D993"/>
      <c r="E993" s="31">
        <f>SUMIFS(E994:E3130,K994:K3130,"0",B994:B3130,"2 1 9 2 1 12 31111 6 M78*")-SUMIFS(D994:D3130,K994:K3130,"0",B994:B3130,"2 1 9 2 1 12 31111 6 M78*")</f>
        <v>0</v>
      </c>
      <c r="F993" s="31">
        <f>SUMIFS(F994:F3130,K994:K3130,"0",B994:B3130,"2 1 9 2 1 12 31111 6 M78*")</f>
        <v>2046513.66</v>
      </c>
      <c r="G993" s="31">
        <f>SUMIFS(G994:G3130,K994:K3130,"0",B994:B3130,"2 1 9 2 1 12 31111 6 M78*")</f>
        <v>2046513.66</v>
      </c>
      <c r="H993" s="31"/>
      <c r="I993" s="31">
        <f t="shared" si="16"/>
        <v>0</v>
      </c>
      <c r="K993" t="s">
        <v>13</v>
      </c>
    </row>
    <row r="994" spans="2:11" ht="13" x14ac:dyDescent="0.15">
      <c r="B994" s="29" t="s">
        <v>1480</v>
      </c>
      <c r="C994" s="29" t="s">
        <v>32</v>
      </c>
      <c r="D994"/>
      <c r="E994" s="31">
        <f>SUMIFS(E995:E3130,K995:K3130,"0",B995:B3130,"2 1 9 2 1 12 31111 6 M78 00001*")-SUMIFS(D995:D3130,K995:K3130,"0",B995:B3130,"2 1 9 2 1 12 31111 6 M78 00001*")</f>
        <v>0</v>
      </c>
      <c r="F994" s="31">
        <f>SUMIFS(F995:F3130,K995:K3130,"0",B995:B3130,"2 1 9 2 1 12 31111 6 M78 00001*")</f>
        <v>2046513.66</v>
      </c>
      <c r="G994" s="31">
        <f>SUMIFS(G995:G3130,K995:K3130,"0",B995:B3130,"2 1 9 2 1 12 31111 6 M78 00001*")</f>
        <v>2046513.66</v>
      </c>
      <c r="H994" s="31"/>
      <c r="I994" s="31">
        <f t="shared" si="16"/>
        <v>0</v>
      </c>
      <c r="K994" t="s">
        <v>13</v>
      </c>
    </row>
    <row r="995" spans="2:11" ht="13" x14ac:dyDescent="0.15">
      <c r="B995" s="29" t="s">
        <v>1481</v>
      </c>
      <c r="C995" s="29" t="s">
        <v>34</v>
      </c>
      <c r="D995"/>
      <c r="E995" s="31">
        <f>SUMIFS(E996:E3130,K996:K3130,"0",B996:B3130,"2 1 9 2 1 12 31111 6 M78 00001 002*")-SUMIFS(D996:D3130,K996:K3130,"0",B996:B3130,"2 1 9 2 1 12 31111 6 M78 00001 002*")</f>
        <v>0</v>
      </c>
      <c r="F995" s="31">
        <f>SUMIFS(F996:F3130,K996:K3130,"0",B996:B3130,"2 1 9 2 1 12 31111 6 M78 00001 002*")</f>
        <v>2046513.66</v>
      </c>
      <c r="G995" s="31">
        <f>SUMIFS(G996:G3130,K996:K3130,"0",B996:B3130,"2 1 9 2 1 12 31111 6 M78 00001 002*")</f>
        <v>2046513.66</v>
      </c>
      <c r="H995" s="31"/>
      <c r="I995" s="31">
        <f t="shared" si="16"/>
        <v>0</v>
      </c>
      <c r="K995" t="s">
        <v>13</v>
      </c>
    </row>
    <row r="996" spans="2:11" ht="13" x14ac:dyDescent="0.15">
      <c r="B996" s="27" t="s">
        <v>1482</v>
      </c>
      <c r="C996" s="27" t="s">
        <v>1483</v>
      </c>
      <c r="D996" s="30"/>
      <c r="E996" s="30">
        <v>0</v>
      </c>
      <c r="F996" s="30">
        <v>2046513.66</v>
      </c>
      <c r="G996" s="30">
        <v>2046513.66</v>
      </c>
      <c r="H996" s="30"/>
      <c r="I996" s="30">
        <f t="shared" si="16"/>
        <v>0</v>
      </c>
      <c r="K996" t="s">
        <v>37</v>
      </c>
    </row>
    <row r="997" spans="2:11" ht="13" x14ac:dyDescent="0.15">
      <c r="B997" s="29" t="s">
        <v>1484</v>
      </c>
      <c r="C997" s="29" t="s">
        <v>1485</v>
      </c>
      <c r="D997"/>
      <c r="E997" s="31">
        <f>SUMIFS(E998:E3130,K998:K3130,"0",B998:B3130,"2 2*")-SUMIFS(D998:D3130,K998:K3130,"0",B998:B3130,"2 2*")</f>
        <v>0</v>
      </c>
      <c r="F997" s="31">
        <f>SUMIFS(F998:F3130,K998:K3130,"0",B998:B3130,"2 2*")</f>
        <v>0</v>
      </c>
      <c r="G997" s="31">
        <f>SUMIFS(G998:G3130,K998:K3130,"0",B998:B3130,"2 2*")</f>
        <v>0</v>
      </c>
      <c r="H997" s="31"/>
      <c r="I997" s="31">
        <f t="shared" si="16"/>
        <v>0</v>
      </c>
      <c r="K997" t="s">
        <v>13</v>
      </c>
    </row>
    <row r="998" spans="2:11" ht="13" x14ac:dyDescent="0.15">
      <c r="B998" s="29" t="s">
        <v>1486</v>
      </c>
      <c r="C998" s="29" t="s">
        <v>1487</v>
      </c>
      <c r="D998"/>
      <c r="E998" s="31">
        <f>SUMIFS(E999:E3130,K999:K3130,"0",B999:B3130,"2 2 1*")-SUMIFS(D999:D3130,K999:K3130,"0",B999:B3130,"2 2 1*")</f>
        <v>0</v>
      </c>
      <c r="F998" s="31">
        <f>SUMIFS(F999:F3130,K999:K3130,"0",B999:B3130,"2 2 1*")</f>
        <v>0</v>
      </c>
      <c r="G998" s="31">
        <f>SUMIFS(G999:G3130,K999:K3130,"0",B999:B3130,"2 2 1*")</f>
        <v>0</v>
      </c>
      <c r="H998" s="31"/>
      <c r="I998" s="31">
        <f t="shared" si="16"/>
        <v>0</v>
      </c>
      <c r="K998" t="s">
        <v>13</v>
      </c>
    </row>
    <row r="999" spans="2:11" ht="13" x14ac:dyDescent="0.15">
      <c r="B999" s="29" t="s">
        <v>1488</v>
      </c>
      <c r="C999" s="29" t="s">
        <v>1489</v>
      </c>
      <c r="D999"/>
      <c r="E999" s="31">
        <f>SUMIFS(E1000:E3130,K1000:K3130,"0",B1000:B3130,"2 2 2*")-SUMIFS(D1000:D3130,K1000:K3130,"0",B1000:B3130,"2 2 2*")</f>
        <v>0</v>
      </c>
      <c r="F999" s="31">
        <f>SUMIFS(F1000:F3130,K1000:K3130,"0",B1000:B3130,"2 2 2*")</f>
        <v>0</v>
      </c>
      <c r="G999" s="31">
        <f>SUMIFS(G1000:G3130,K1000:K3130,"0",B1000:B3130,"2 2 2*")</f>
        <v>0</v>
      </c>
      <c r="H999" s="31"/>
      <c r="I999" s="31">
        <f t="shared" si="16"/>
        <v>0</v>
      </c>
      <c r="K999" t="s">
        <v>13</v>
      </c>
    </row>
    <row r="1000" spans="2:11" ht="13" x14ac:dyDescent="0.15">
      <c r="B1000" s="29" t="s">
        <v>1490</v>
      </c>
      <c r="C1000" s="29" t="s">
        <v>1491</v>
      </c>
      <c r="D1000"/>
      <c r="E1000" s="31">
        <f>SUMIFS(E1001:E3130,K1001:K3130,"0",B1001:B3130,"2 2 3*")-SUMIFS(D1001:D3130,K1001:K3130,"0",B1001:B3130,"2 2 3*")</f>
        <v>0</v>
      </c>
      <c r="F1000" s="31">
        <f>SUMIFS(F1001:F3130,K1001:K3130,"0",B1001:B3130,"2 2 3*")</f>
        <v>0</v>
      </c>
      <c r="G1000" s="31">
        <f>SUMIFS(G1001:G3130,K1001:K3130,"0",B1001:B3130,"2 2 3*")</f>
        <v>0</v>
      </c>
      <c r="H1000" s="31"/>
      <c r="I1000" s="31">
        <f t="shared" si="16"/>
        <v>0</v>
      </c>
      <c r="K1000" t="s">
        <v>13</v>
      </c>
    </row>
    <row r="1001" spans="2:11" ht="13" x14ac:dyDescent="0.15">
      <c r="B1001" s="29" t="s">
        <v>1492</v>
      </c>
      <c r="C1001" s="29" t="s">
        <v>1493</v>
      </c>
      <c r="D1001"/>
      <c r="E1001" s="31">
        <f>SUMIFS(E1002:E3130,K1002:K3130,"0",B1002:B3130,"2 2 4*")-SUMIFS(D1002:D3130,K1002:K3130,"0",B1002:B3130,"2 2 4*")</f>
        <v>0</v>
      </c>
      <c r="F1001" s="31">
        <f>SUMIFS(F1002:F3130,K1002:K3130,"0",B1002:B3130,"2 2 4*")</f>
        <v>0</v>
      </c>
      <c r="G1001" s="31">
        <f>SUMIFS(G1002:G3130,K1002:K3130,"0",B1002:B3130,"2 2 4*")</f>
        <v>0</v>
      </c>
      <c r="H1001" s="31"/>
      <c r="I1001" s="31">
        <f t="shared" si="16"/>
        <v>0</v>
      </c>
      <c r="K1001" t="s">
        <v>13</v>
      </c>
    </row>
    <row r="1002" spans="2:11" ht="22" x14ac:dyDescent="0.15">
      <c r="B1002" s="29" t="s">
        <v>1494</v>
      </c>
      <c r="C1002" s="29" t="s">
        <v>1495</v>
      </c>
      <c r="D1002"/>
      <c r="E1002" s="31">
        <f>SUMIFS(E1003:E3130,K1003:K3130,"0",B1003:B3130,"2 2 5*")-SUMIFS(D1003:D3130,K1003:K3130,"0",B1003:B3130,"2 2 5*")</f>
        <v>0</v>
      </c>
      <c r="F1002" s="31">
        <f>SUMIFS(F1003:F3130,K1003:K3130,"0",B1003:B3130,"2 2 5*")</f>
        <v>0</v>
      </c>
      <c r="G1002" s="31">
        <f>SUMIFS(G1003:G3130,K1003:K3130,"0",B1003:B3130,"2 2 5*")</f>
        <v>0</v>
      </c>
      <c r="H1002" s="31"/>
      <c r="I1002" s="31">
        <f t="shared" si="16"/>
        <v>0</v>
      </c>
      <c r="K1002" t="s">
        <v>13</v>
      </c>
    </row>
    <row r="1003" spans="2:11" ht="13" x14ac:dyDescent="0.15">
      <c r="B1003" s="29" t="s">
        <v>1496</v>
      </c>
      <c r="C1003" s="29" t="s">
        <v>1497</v>
      </c>
      <c r="D1003"/>
      <c r="E1003" s="31">
        <f>SUMIFS(E1004:E3130,K1004:K3130,"0",B1004:B3130,"2 2 6*")-SUMIFS(D1004:D3130,K1004:K3130,"0",B1004:B3130,"2 2 6*")</f>
        <v>0</v>
      </c>
      <c r="F1003" s="31">
        <f>SUMIFS(F1004:F3130,K1004:K3130,"0",B1004:B3130,"2 2 6*")</f>
        <v>0</v>
      </c>
      <c r="G1003" s="31">
        <f>SUMIFS(G1004:G3130,K1004:K3130,"0",B1004:B3130,"2 2 6*")</f>
        <v>0</v>
      </c>
      <c r="H1003" s="31"/>
      <c r="I1003" s="31">
        <f t="shared" si="16"/>
        <v>0</v>
      </c>
      <c r="K1003" t="s">
        <v>13</v>
      </c>
    </row>
    <row r="1004" spans="2:11" ht="13" x14ac:dyDescent="0.15">
      <c r="B1004" s="29" t="s">
        <v>1498</v>
      </c>
      <c r="C1004" s="29" t="s">
        <v>1499</v>
      </c>
      <c r="D1004"/>
      <c r="E1004" s="31">
        <f>SUMIFS(E1005:E3130,K1005:K3130,"0",B1005:B3130,"3*")-SUMIFS(D1005:D3130,K1005:K3130,"0",B1005:B3130,"3*")</f>
        <v>5783448.3300000001</v>
      </c>
      <c r="F1004" s="31">
        <f>SUMIFS(F1005:F3130,K1005:K3130,"0",B1005:B3130,"3*")</f>
        <v>1876630.61</v>
      </c>
      <c r="G1004" s="31">
        <f>SUMIFS(G1005:G3130,K1005:K3130,"0",B1005:B3130,"3*")</f>
        <v>299223.3</v>
      </c>
      <c r="H1004" s="31"/>
      <c r="I1004" s="31">
        <f t="shared" si="16"/>
        <v>4206041.0199999996</v>
      </c>
      <c r="K1004" t="s">
        <v>13</v>
      </c>
    </row>
    <row r="1005" spans="2:11" ht="13" x14ac:dyDescent="0.15">
      <c r="B1005" s="29" t="s">
        <v>1500</v>
      </c>
      <c r="C1005" s="29" t="s">
        <v>1501</v>
      </c>
      <c r="D1005"/>
      <c r="E1005" s="31">
        <f>SUMIFS(E1006:E3130,K1006:K3130,"0",B1006:B3130,"3 1*")-SUMIFS(D1006:D3130,K1006:K3130,"0",B1006:B3130,"3 1*")</f>
        <v>3502530.7199999997</v>
      </c>
      <c r="F1005" s="31">
        <f>SUMIFS(F1006:F3130,K1006:K3130,"0",B1006:B3130,"3 1*")</f>
        <v>190000</v>
      </c>
      <c r="G1005" s="31">
        <f>SUMIFS(G1006:G3130,K1006:K3130,"0",B1006:B3130,"3 1*")</f>
        <v>0</v>
      </c>
      <c r="H1005" s="31"/>
      <c r="I1005" s="31">
        <f t="shared" si="16"/>
        <v>3312530.7199999997</v>
      </c>
      <c r="K1005" t="s">
        <v>13</v>
      </c>
    </row>
    <row r="1006" spans="2:11" ht="13" x14ac:dyDescent="0.15">
      <c r="B1006" s="29" t="s">
        <v>1502</v>
      </c>
      <c r="C1006" s="29" t="s">
        <v>1503</v>
      </c>
      <c r="D1006"/>
      <c r="E1006" s="31">
        <f>SUMIFS(E1007:E3130,K1007:K3130,"0",B1007:B3130,"3 1 1*")-SUMIFS(D1007:D3130,K1007:K3130,"0",B1007:B3130,"3 1 1*")</f>
        <v>3502530.7199999997</v>
      </c>
      <c r="F1006" s="31">
        <f>SUMIFS(F1007:F3130,K1007:K3130,"0",B1007:B3130,"3 1 1*")</f>
        <v>190000</v>
      </c>
      <c r="G1006" s="31">
        <f>SUMIFS(G1007:G3130,K1007:K3130,"0",B1007:B3130,"3 1 1*")</f>
        <v>0</v>
      </c>
      <c r="H1006" s="31"/>
      <c r="I1006" s="31">
        <f t="shared" si="16"/>
        <v>3312530.7199999997</v>
      </c>
      <c r="K1006" t="s">
        <v>13</v>
      </c>
    </row>
    <row r="1007" spans="2:11" ht="13" x14ac:dyDescent="0.15">
      <c r="B1007" s="29" t="s">
        <v>1504</v>
      </c>
      <c r="C1007" s="29" t="s">
        <v>1503</v>
      </c>
      <c r="D1007"/>
      <c r="E1007" s="31">
        <f>SUMIFS(E1008:E3130,K1008:K3130,"0",B1008:B3130,"3 1 1 1*")-SUMIFS(D1008:D3130,K1008:K3130,"0",B1008:B3130,"3 1 1 1*")</f>
        <v>3502530.7199999997</v>
      </c>
      <c r="F1007" s="31">
        <f>SUMIFS(F1008:F3130,K1008:K3130,"0",B1008:B3130,"3 1 1 1*")</f>
        <v>190000</v>
      </c>
      <c r="G1007" s="31">
        <f>SUMIFS(G1008:G3130,K1008:K3130,"0",B1008:B3130,"3 1 1 1*")</f>
        <v>0</v>
      </c>
      <c r="H1007" s="31"/>
      <c r="I1007" s="31">
        <f t="shared" si="16"/>
        <v>3312530.7199999997</v>
      </c>
      <c r="K1007" t="s">
        <v>13</v>
      </c>
    </row>
    <row r="1008" spans="2:11" ht="13" x14ac:dyDescent="0.15">
      <c r="B1008" s="29" t="s">
        <v>1505</v>
      </c>
      <c r="C1008" s="29" t="s">
        <v>1503</v>
      </c>
      <c r="D1008"/>
      <c r="E1008" s="31">
        <f>SUMIFS(E1009:E3130,K1009:K3130,"0",B1009:B3130,"3 1 1 1 1*")-SUMIFS(D1009:D3130,K1009:K3130,"0",B1009:B3130,"3 1 1 1 1*")</f>
        <v>3502530.7199999997</v>
      </c>
      <c r="F1008" s="31">
        <f>SUMIFS(F1009:F3130,K1009:K3130,"0",B1009:B3130,"3 1 1 1 1*")</f>
        <v>190000</v>
      </c>
      <c r="G1008" s="31">
        <f>SUMIFS(G1009:G3130,K1009:K3130,"0",B1009:B3130,"3 1 1 1 1*")</f>
        <v>0</v>
      </c>
      <c r="H1008" s="31"/>
      <c r="I1008" s="31">
        <f t="shared" si="16"/>
        <v>3312530.7199999997</v>
      </c>
      <c r="K1008" t="s">
        <v>13</v>
      </c>
    </row>
    <row r="1009" spans="2:11" ht="13" x14ac:dyDescent="0.15">
      <c r="B1009" s="29" t="s">
        <v>1506</v>
      </c>
      <c r="C1009" s="29" t="s">
        <v>24</v>
      </c>
      <c r="D1009"/>
      <c r="E1009" s="31">
        <f>SUMIFS(E1010:E3130,K1010:K3130,"0",B1010:B3130,"3 1 1 1 1 12*")-SUMIFS(D1010:D3130,K1010:K3130,"0",B1010:B3130,"3 1 1 1 1 12*")</f>
        <v>3502530.7199999997</v>
      </c>
      <c r="F1009" s="31">
        <f>SUMIFS(F1010:F3130,K1010:K3130,"0",B1010:B3130,"3 1 1 1 1 12*")</f>
        <v>190000</v>
      </c>
      <c r="G1009" s="31">
        <f>SUMIFS(G1010:G3130,K1010:K3130,"0",B1010:B3130,"3 1 1 1 1 12*")</f>
        <v>0</v>
      </c>
      <c r="H1009" s="31"/>
      <c r="I1009" s="31">
        <f t="shared" si="16"/>
        <v>3312530.7199999997</v>
      </c>
      <c r="K1009" t="s">
        <v>13</v>
      </c>
    </row>
    <row r="1010" spans="2:11" ht="13" x14ac:dyDescent="0.15">
      <c r="B1010" s="29" t="s">
        <v>1507</v>
      </c>
      <c r="C1010" s="29" t="s">
        <v>26</v>
      </c>
      <c r="D1010"/>
      <c r="E1010" s="31">
        <f>SUMIFS(E1011:E3130,K1011:K3130,"0",B1011:B3130,"3 1 1 1 1 12 31111*")-SUMIFS(D1011:D3130,K1011:K3130,"0",B1011:B3130,"3 1 1 1 1 12 31111*")</f>
        <v>3502530.7199999997</v>
      </c>
      <c r="F1010" s="31">
        <f>SUMIFS(F1011:F3130,K1011:K3130,"0",B1011:B3130,"3 1 1 1 1 12 31111*")</f>
        <v>190000</v>
      </c>
      <c r="G1010" s="31">
        <f>SUMIFS(G1011:G3130,K1011:K3130,"0",B1011:B3130,"3 1 1 1 1 12 31111*")</f>
        <v>0</v>
      </c>
      <c r="H1010" s="31"/>
      <c r="I1010" s="31">
        <f t="shared" si="16"/>
        <v>3312530.7199999997</v>
      </c>
      <c r="K1010" t="s">
        <v>13</v>
      </c>
    </row>
    <row r="1011" spans="2:11" ht="13" x14ac:dyDescent="0.15">
      <c r="B1011" s="29" t="s">
        <v>1508</v>
      </c>
      <c r="C1011" s="29" t="s">
        <v>28</v>
      </c>
      <c r="D1011"/>
      <c r="E1011" s="31">
        <f>SUMIFS(E1012:E3130,K1012:K3130,"0",B1012:B3130,"3 1 1 1 1 12 31111 6*")-SUMIFS(D1012:D3130,K1012:K3130,"0",B1012:B3130,"3 1 1 1 1 12 31111 6*")</f>
        <v>3502530.7199999997</v>
      </c>
      <c r="F1011" s="31">
        <f>SUMIFS(F1012:F3130,K1012:K3130,"0",B1012:B3130,"3 1 1 1 1 12 31111 6*")</f>
        <v>190000</v>
      </c>
      <c r="G1011" s="31">
        <f>SUMIFS(G1012:G3130,K1012:K3130,"0",B1012:B3130,"3 1 1 1 1 12 31111 6*")</f>
        <v>0</v>
      </c>
      <c r="H1011" s="31"/>
      <c r="I1011" s="31">
        <f t="shared" si="16"/>
        <v>3312530.7199999997</v>
      </c>
      <c r="K1011" t="s">
        <v>13</v>
      </c>
    </row>
    <row r="1012" spans="2:11" ht="13" x14ac:dyDescent="0.15">
      <c r="B1012" s="29" t="s">
        <v>1509</v>
      </c>
      <c r="C1012" s="29" t="s">
        <v>30</v>
      </c>
      <c r="D1012"/>
      <c r="E1012" s="31">
        <f>SUMIFS(E1013:E3130,K1013:K3130,"0",B1013:B3130,"3 1 1 1 1 12 31111 6 M78*")-SUMIFS(D1013:D3130,K1013:K3130,"0",B1013:B3130,"3 1 1 1 1 12 31111 6 M78*")</f>
        <v>3502530.7199999997</v>
      </c>
      <c r="F1012" s="31">
        <f>SUMIFS(F1013:F3130,K1013:K3130,"0",B1013:B3130,"3 1 1 1 1 12 31111 6 M78*")</f>
        <v>190000</v>
      </c>
      <c r="G1012" s="31">
        <f>SUMIFS(G1013:G3130,K1013:K3130,"0",B1013:B3130,"3 1 1 1 1 12 31111 6 M78*")</f>
        <v>0</v>
      </c>
      <c r="H1012" s="31"/>
      <c r="I1012" s="31">
        <f t="shared" si="16"/>
        <v>3312530.7199999997</v>
      </c>
      <c r="K1012" t="s">
        <v>13</v>
      </c>
    </row>
    <row r="1013" spans="2:11" ht="13" x14ac:dyDescent="0.15">
      <c r="B1013" s="27" t="s">
        <v>1510</v>
      </c>
      <c r="C1013" s="27" t="s">
        <v>32</v>
      </c>
      <c r="D1013" s="30"/>
      <c r="E1013" s="30">
        <v>386127.38</v>
      </c>
      <c r="F1013" s="30">
        <v>40000</v>
      </c>
      <c r="G1013" s="30">
        <v>0</v>
      </c>
      <c r="H1013" s="30"/>
      <c r="I1013" s="30">
        <f t="shared" si="16"/>
        <v>346127.38</v>
      </c>
      <c r="K1013" t="s">
        <v>37</v>
      </c>
    </row>
    <row r="1014" spans="2:11" ht="13" x14ac:dyDescent="0.15">
      <c r="B1014" s="27" t="s">
        <v>1511</v>
      </c>
      <c r="C1014" s="27" t="s">
        <v>101</v>
      </c>
      <c r="D1014" s="30"/>
      <c r="E1014" s="30">
        <v>1637059.87</v>
      </c>
      <c r="F1014" s="30">
        <v>150000</v>
      </c>
      <c r="G1014" s="30">
        <v>0</v>
      </c>
      <c r="H1014" s="30"/>
      <c r="I1014" s="30">
        <f t="shared" si="16"/>
        <v>1487059.87</v>
      </c>
      <c r="K1014" t="s">
        <v>37</v>
      </c>
    </row>
    <row r="1015" spans="2:11" ht="13" x14ac:dyDescent="0.15">
      <c r="B1015" s="27" t="s">
        <v>1512</v>
      </c>
      <c r="C1015" s="27" t="s">
        <v>219</v>
      </c>
      <c r="D1015" s="30"/>
      <c r="E1015" s="30">
        <v>1479343.47</v>
      </c>
      <c r="F1015" s="30">
        <v>0</v>
      </c>
      <c r="G1015" s="30">
        <v>0</v>
      </c>
      <c r="H1015" s="30"/>
      <c r="I1015" s="30">
        <f t="shared" si="16"/>
        <v>1479343.47</v>
      </c>
      <c r="K1015" t="s">
        <v>37</v>
      </c>
    </row>
    <row r="1016" spans="2:11" ht="13" x14ac:dyDescent="0.15">
      <c r="B1016" s="29" t="s">
        <v>1513</v>
      </c>
      <c r="C1016" s="29" t="s">
        <v>1514</v>
      </c>
      <c r="D1016"/>
      <c r="E1016" s="31">
        <f>SUMIFS(E1017:E3130,K1017:K3130,"0",B1017:B3130,"3 1 2*")-SUMIFS(D1017:D3130,K1017:K3130,"0",B1017:B3130,"3 1 2*")</f>
        <v>0</v>
      </c>
      <c r="F1016" s="31">
        <f>SUMIFS(F1017:F3130,K1017:K3130,"0",B1017:B3130,"3 1 2*")</f>
        <v>0</v>
      </c>
      <c r="G1016" s="31">
        <f>SUMIFS(G1017:G3130,K1017:K3130,"0",B1017:B3130,"3 1 2*")</f>
        <v>0</v>
      </c>
      <c r="H1016" s="31"/>
      <c r="I1016" s="31">
        <f t="shared" si="16"/>
        <v>0</v>
      </c>
      <c r="K1016" t="s">
        <v>13</v>
      </c>
    </row>
    <row r="1017" spans="2:11" ht="13" x14ac:dyDescent="0.15">
      <c r="B1017" s="29" t="s">
        <v>1515</v>
      </c>
      <c r="C1017" s="29" t="s">
        <v>1516</v>
      </c>
      <c r="D1017"/>
      <c r="E1017" s="31">
        <f>SUMIFS(E1018:E3130,K1018:K3130,"0",B1018:B3130,"3 1 3*")-SUMIFS(D1018:D3130,K1018:K3130,"0",B1018:B3130,"3 1 3*")</f>
        <v>0</v>
      </c>
      <c r="F1017" s="31">
        <f>SUMIFS(F1018:F3130,K1018:K3130,"0",B1018:B3130,"3 1 3*")</f>
        <v>0</v>
      </c>
      <c r="G1017" s="31">
        <f>SUMIFS(G1018:G3130,K1018:K3130,"0",B1018:B3130,"3 1 3*")</f>
        <v>0</v>
      </c>
      <c r="H1017" s="31"/>
      <c r="I1017" s="31">
        <f t="shared" si="16"/>
        <v>0</v>
      </c>
      <c r="K1017" t="s">
        <v>13</v>
      </c>
    </row>
    <row r="1018" spans="2:11" ht="13" x14ac:dyDescent="0.15">
      <c r="B1018" s="29" t="s">
        <v>1517</v>
      </c>
      <c r="C1018" s="29" t="s">
        <v>1518</v>
      </c>
      <c r="D1018"/>
      <c r="E1018" s="31">
        <f>SUMIFS(E1019:E3130,K1019:K3130,"0",B1019:B3130,"3 2*")-SUMIFS(D1019:D3130,K1019:K3130,"0",B1019:B3130,"3 2*")</f>
        <v>2280917.61</v>
      </c>
      <c r="F1018" s="31">
        <f>SUMIFS(F1019:F3130,K1019:K3130,"0",B1019:B3130,"3 2*")</f>
        <v>1686630.61</v>
      </c>
      <c r="G1018" s="31">
        <f>SUMIFS(G1019:G3130,K1019:K3130,"0",B1019:B3130,"3 2*")</f>
        <v>299223.3</v>
      </c>
      <c r="H1018" s="31"/>
      <c r="I1018" s="31">
        <f t="shared" si="16"/>
        <v>893510.29999999981</v>
      </c>
      <c r="K1018" t="s">
        <v>13</v>
      </c>
    </row>
    <row r="1019" spans="2:11" ht="13" x14ac:dyDescent="0.15">
      <c r="B1019" s="29" t="s">
        <v>1519</v>
      </c>
      <c r="C1019" s="29" t="s">
        <v>1520</v>
      </c>
      <c r="D1019"/>
      <c r="E1019" s="31">
        <f>SUMIFS(E1020:E3130,K1020:K3130,"0",B1020:B3130,"3 2 1*")-SUMIFS(D1020:D3130,K1020:K3130,"0",B1020:B3130,"3 2 1*")</f>
        <v>0</v>
      </c>
      <c r="F1019" s="31">
        <f>SUMIFS(F1020:F3130,K1020:K3130,"0",B1020:B3130,"3 2 1*")</f>
        <v>0</v>
      </c>
      <c r="G1019" s="31">
        <f>SUMIFS(G1020:G3130,K1020:K3130,"0",B1020:B3130,"3 2 1*")</f>
        <v>0</v>
      </c>
      <c r="H1019" s="31"/>
      <c r="I1019" s="31">
        <f t="shared" si="16"/>
        <v>0</v>
      </c>
      <c r="K1019" t="s">
        <v>13</v>
      </c>
    </row>
    <row r="1020" spans="2:11" ht="13" x14ac:dyDescent="0.15">
      <c r="B1020" s="29" t="s">
        <v>1521</v>
      </c>
      <c r="C1020" s="29" t="s">
        <v>1522</v>
      </c>
      <c r="D1020"/>
      <c r="E1020" s="31">
        <f>SUMIFS(E1021:E3130,K1021:K3130,"0",B1021:B3130,"3 2 2*")-SUMIFS(D1021:D3130,K1021:K3130,"0",B1021:B3130,"3 2 2*")</f>
        <v>2280917.61</v>
      </c>
      <c r="F1020" s="31">
        <f>SUMIFS(F1021:F3130,K1021:K3130,"0",B1021:B3130,"3 2 2*")</f>
        <v>1686630.61</v>
      </c>
      <c r="G1020" s="31">
        <f>SUMIFS(G1021:G3130,K1021:K3130,"0",B1021:B3130,"3 2 2*")</f>
        <v>299223.3</v>
      </c>
      <c r="H1020" s="31"/>
      <c r="I1020" s="31">
        <f t="shared" si="16"/>
        <v>893510.29999999981</v>
      </c>
      <c r="K1020" t="s">
        <v>13</v>
      </c>
    </row>
    <row r="1021" spans="2:11" ht="13" x14ac:dyDescent="0.15">
      <c r="B1021" s="29" t="s">
        <v>1523</v>
      </c>
      <c r="C1021" s="29" t="s">
        <v>1522</v>
      </c>
      <c r="D1021"/>
      <c r="E1021" s="31">
        <f>SUMIFS(E1022:E3130,K1022:K3130,"0",B1022:B3130,"3 2 2 1*")-SUMIFS(D1022:D3130,K1022:K3130,"0",B1022:B3130,"3 2 2 1*")</f>
        <v>2280917.61</v>
      </c>
      <c r="F1021" s="31">
        <f>SUMIFS(F1022:F3130,K1022:K3130,"0",B1022:B3130,"3 2 2 1*")</f>
        <v>1686630.61</v>
      </c>
      <c r="G1021" s="31">
        <f>SUMIFS(G1022:G3130,K1022:K3130,"0",B1022:B3130,"3 2 2 1*")</f>
        <v>299223.3</v>
      </c>
      <c r="H1021" s="31"/>
      <c r="I1021" s="31">
        <f t="shared" si="16"/>
        <v>893510.29999999981</v>
      </c>
      <c r="K1021" t="s">
        <v>13</v>
      </c>
    </row>
    <row r="1022" spans="2:11" ht="13" x14ac:dyDescent="0.15">
      <c r="B1022" s="29" t="s">
        <v>1524</v>
      </c>
      <c r="C1022" s="29" t="s">
        <v>1525</v>
      </c>
      <c r="D1022"/>
      <c r="E1022" s="31">
        <f>SUMIFS(E1023:E3130,K1023:K3130,"0",B1023:B3130,"3 2 2 1 1*")-SUMIFS(D1023:D3130,K1023:K3130,"0",B1023:B3130,"3 2 2 1 1*")</f>
        <v>2280917.61</v>
      </c>
      <c r="F1022" s="31">
        <f>SUMIFS(F1023:F3130,K1023:K3130,"0",B1023:B3130,"3 2 2 1 1*")</f>
        <v>1686630.61</v>
      </c>
      <c r="G1022" s="31">
        <f>SUMIFS(G1023:G3130,K1023:K3130,"0",B1023:B3130,"3 2 2 1 1*")</f>
        <v>299223.3</v>
      </c>
      <c r="H1022" s="31"/>
      <c r="I1022" s="31">
        <f t="shared" si="16"/>
        <v>893510.29999999981</v>
      </c>
      <c r="K1022" t="s">
        <v>13</v>
      </c>
    </row>
    <row r="1023" spans="2:11" ht="13" x14ac:dyDescent="0.15">
      <c r="B1023" s="29" t="s">
        <v>1526</v>
      </c>
      <c r="C1023" s="29" t="s">
        <v>24</v>
      </c>
      <c r="D1023"/>
      <c r="E1023" s="31">
        <f>SUMIFS(E1024:E3130,K1024:K3130,"0",B1024:B3130,"3 2 2 1 1 12*")-SUMIFS(D1024:D3130,K1024:K3130,"0",B1024:B3130,"3 2 2 1 1 12*")</f>
        <v>2280917.61</v>
      </c>
      <c r="F1023" s="31">
        <f>SUMIFS(F1024:F3130,K1024:K3130,"0",B1024:B3130,"3 2 2 1 1 12*")</f>
        <v>1686630.61</v>
      </c>
      <c r="G1023" s="31">
        <f>SUMIFS(G1024:G3130,K1024:K3130,"0",B1024:B3130,"3 2 2 1 1 12*")</f>
        <v>299223.3</v>
      </c>
      <c r="H1023" s="31"/>
      <c r="I1023" s="31">
        <f t="shared" si="16"/>
        <v>893510.29999999981</v>
      </c>
      <c r="K1023" t="s">
        <v>13</v>
      </c>
    </row>
    <row r="1024" spans="2:11" ht="13" x14ac:dyDescent="0.15">
      <c r="B1024" s="29" t="s">
        <v>1527</v>
      </c>
      <c r="C1024" s="29" t="s">
        <v>26</v>
      </c>
      <c r="D1024"/>
      <c r="E1024" s="31">
        <f>SUMIFS(E1025:E3130,K1025:K3130,"0",B1025:B3130,"3 2 2 1 1 12 31111*")-SUMIFS(D1025:D3130,K1025:K3130,"0",B1025:B3130,"3 2 2 1 1 12 31111*")</f>
        <v>2280917.61</v>
      </c>
      <c r="F1024" s="31">
        <f>SUMIFS(F1025:F3130,K1025:K3130,"0",B1025:B3130,"3 2 2 1 1 12 31111*")</f>
        <v>1686630.61</v>
      </c>
      <c r="G1024" s="31">
        <f>SUMIFS(G1025:G3130,K1025:K3130,"0",B1025:B3130,"3 2 2 1 1 12 31111*")</f>
        <v>299223.3</v>
      </c>
      <c r="H1024" s="31"/>
      <c r="I1024" s="31">
        <f t="shared" si="16"/>
        <v>893510.29999999981</v>
      </c>
      <c r="K1024" t="s">
        <v>13</v>
      </c>
    </row>
    <row r="1025" spans="2:11" ht="13" x14ac:dyDescent="0.15">
      <c r="B1025" s="29" t="s">
        <v>1528</v>
      </c>
      <c r="C1025" s="29" t="s">
        <v>28</v>
      </c>
      <c r="D1025"/>
      <c r="E1025" s="31">
        <f>SUMIFS(E1026:E3130,K1026:K3130,"0",B1026:B3130,"3 2 2 1 1 12 31111 6*")-SUMIFS(D1026:D3130,K1026:K3130,"0",B1026:B3130,"3 2 2 1 1 12 31111 6*")</f>
        <v>2280917.61</v>
      </c>
      <c r="F1025" s="31">
        <f>SUMIFS(F1026:F3130,K1026:K3130,"0",B1026:B3130,"3 2 2 1 1 12 31111 6*")</f>
        <v>1686630.61</v>
      </c>
      <c r="G1025" s="31">
        <f>SUMIFS(G1026:G3130,K1026:K3130,"0",B1026:B3130,"3 2 2 1 1 12 31111 6*")</f>
        <v>299223.3</v>
      </c>
      <c r="H1025" s="31"/>
      <c r="I1025" s="31">
        <f t="shared" si="16"/>
        <v>893510.29999999981</v>
      </c>
      <c r="K1025" t="s">
        <v>13</v>
      </c>
    </row>
    <row r="1026" spans="2:11" ht="13" x14ac:dyDescent="0.15">
      <c r="B1026" s="29" t="s">
        <v>1529</v>
      </c>
      <c r="C1026" s="29" t="s">
        <v>30</v>
      </c>
      <c r="D1026"/>
      <c r="E1026" s="31">
        <f>SUMIFS(E1027:E3130,K1027:K3130,"0",B1027:B3130,"3 2 2 1 1 12 31111 6 M78*")-SUMIFS(D1027:D3130,K1027:K3130,"0",B1027:B3130,"3 2 2 1 1 12 31111 6 M78*")</f>
        <v>2280917.61</v>
      </c>
      <c r="F1026" s="31">
        <f>SUMIFS(F1027:F3130,K1027:K3130,"0",B1027:B3130,"3 2 2 1 1 12 31111 6 M78*")</f>
        <v>1686630.61</v>
      </c>
      <c r="G1026" s="31">
        <f>SUMIFS(G1027:G3130,K1027:K3130,"0",B1027:B3130,"3 2 2 1 1 12 31111 6 M78*")</f>
        <v>299223.3</v>
      </c>
      <c r="H1026" s="31"/>
      <c r="I1026" s="31">
        <f t="shared" si="16"/>
        <v>893510.29999999981</v>
      </c>
      <c r="K1026" t="s">
        <v>13</v>
      </c>
    </row>
    <row r="1027" spans="2:11" ht="13" x14ac:dyDescent="0.15">
      <c r="B1027" s="29" t="s">
        <v>1530</v>
      </c>
      <c r="C1027" s="29" t="s">
        <v>277</v>
      </c>
      <c r="D1027"/>
      <c r="E1027" s="31">
        <f>SUMIFS(E1028:E3130,K1028:K3130,"0",B1028:B3130,"3 2 2 1 1 12 31111 6 M78 00000*")-SUMIFS(D1028:D3130,K1028:K3130,"0",B1028:B3130,"3 2 2 1 1 12 31111 6 M78 00000*")</f>
        <v>945661.30999999994</v>
      </c>
      <c r="F1027" s="31">
        <f>SUMIFS(F1028:F3130,K1028:K3130,"0",B1028:B3130,"3 2 2 1 1 12 31111 6 M78 00000*")</f>
        <v>425108.89</v>
      </c>
      <c r="G1027" s="31">
        <f>SUMIFS(G1028:G3130,K1028:K3130,"0",B1028:B3130,"3 2 2 1 1 12 31111 6 M78 00000*")</f>
        <v>48540.91</v>
      </c>
      <c r="H1027" s="31"/>
      <c r="I1027" s="31">
        <f t="shared" si="16"/>
        <v>569093.32999999996</v>
      </c>
      <c r="K1027" t="s">
        <v>13</v>
      </c>
    </row>
    <row r="1028" spans="2:11" ht="13" x14ac:dyDescent="0.15">
      <c r="B1028" s="27" t="s">
        <v>1531</v>
      </c>
      <c r="C1028" s="27" t="s">
        <v>32</v>
      </c>
      <c r="D1028" s="30"/>
      <c r="E1028" s="30">
        <v>927990.87</v>
      </c>
      <c r="F1028" s="30">
        <v>420808.89</v>
      </c>
      <c r="G1028" s="30">
        <v>0</v>
      </c>
      <c r="H1028" s="30"/>
      <c r="I1028" s="30">
        <f t="shared" si="16"/>
        <v>507181.98</v>
      </c>
      <c r="K1028" t="s">
        <v>37</v>
      </c>
    </row>
    <row r="1029" spans="2:11" ht="13" x14ac:dyDescent="0.15">
      <c r="B1029" s="27" t="s">
        <v>1532</v>
      </c>
      <c r="C1029" s="27" t="s">
        <v>67</v>
      </c>
      <c r="D1029" s="30"/>
      <c r="E1029" s="30">
        <v>17670.439999999999</v>
      </c>
      <c r="F1029" s="30">
        <v>4300</v>
      </c>
      <c r="G1029" s="30">
        <v>48540.91</v>
      </c>
      <c r="H1029" s="30"/>
      <c r="I1029" s="30">
        <f t="shared" si="16"/>
        <v>61911.350000000006</v>
      </c>
      <c r="K1029" t="s">
        <v>37</v>
      </c>
    </row>
    <row r="1030" spans="2:11" ht="13" x14ac:dyDescent="0.15">
      <c r="B1030" s="27" t="s">
        <v>1533</v>
      </c>
      <c r="C1030" s="27" t="s">
        <v>101</v>
      </c>
      <c r="D1030" s="30"/>
      <c r="E1030" s="30">
        <v>13325.46</v>
      </c>
      <c r="F1030" s="30">
        <v>332956.2</v>
      </c>
      <c r="G1030" s="30">
        <v>32142.39</v>
      </c>
      <c r="H1030" s="30"/>
      <c r="I1030" s="30">
        <f t="shared" si="16"/>
        <v>-287488.34999999998</v>
      </c>
      <c r="K1030" t="s">
        <v>37</v>
      </c>
    </row>
    <row r="1031" spans="2:11" ht="13" x14ac:dyDescent="0.15">
      <c r="B1031" s="27" t="s">
        <v>1534</v>
      </c>
      <c r="C1031" s="27" t="s">
        <v>219</v>
      </c>
      <c r="D1031" s="30"/>
      <c r="E1031" s="30">
        <v>1321930.8400000001</v>
      </c>
      <c r="F1031" s="30">
        <v>928565.52</v>
      </c>
      <c r="G1031" s="30">
        <v>218540</v>
      </c>
      <c r="H1031" s="30"/>
      <c r="I1031" s="30">
        <f t="shared" si="16"/>
        <v>611905.32000000007</v>
      </c>
      <c r="K1031" t="s">
        <v>37</v>
      </c>
    </row>
    <row r="1032" spans="2:11" ht="13" x14ac:dyDescent="0.15">
      <c r="B1032" s="29" t="s">
        <v>1535</v>
      </c>
      <c r="C1032" s="29" t="s">
        <v>1536</v>
      </c>
      <c r="D1032"/>
      <c r="E1032" s="31">
        <f>SUMIFS(E1033:E3130,K1033:K3130,"0",B1033:B3130,"3 2 3*")-SUMIFS(D1033:D3130,K1033:K3130,"0",B1033:B3130,"3 2 3*")</f>
        <v>0</v>
      </c>
      <c r="F1032" s="31">
        <f>SUMIFS(F1033:F3130,K1033:K3130,"0",B1033:B3130,"3 2 3*")</f>
        <v>0</v>
      </c>
      <c r="G1032" s="31">
        <f>SUMIFS(G1033:G3130,K1033:K3130,"0",B1033:B3130,"3 2 3*")</f>
        <v>0</v>
      </c>
      <c r="H1032" s="31"/>
      <c r="I1032" s="31">
        <f t="shared" si="16"/>
        <v>0</v>
      </c>
      <c r="K1032" t="s">
        <v>13</v>
      </c>
    </row>
    <row r="1033" spans="2:11" ht="13" x14ac:dyDescent="0.15">
      <c r="B1033" s="29" t="s">
        <v>1537</v>
      </c>
      <c r="C1033" s="29" t="s">
        <v>1538</v>
      </c>
      <c r="D1033"/>
      <c r="E1033" s="31">
        <f>SUMIFS(E1034:E3130,K1034:K3130,"0",B1034:B3130,"3 2 4*")-SUMIFS(D1034:D3130,K1034:K3130,"0",B1034:B3130,"3 2 4*")</f>
        <v>0</v>
      </c>
      <c r="F1033" s="31">
        <f>SUMIFS(F1034:F3130,K1034:K3130,"0",B1034:B3130,"3 2 4*")</f>
        <v>0</v>
      </c>
      <c r="G1033" s="31">
        <f>SUMIFS(G1034:G3130,K1034:K3130,"0",B1034:B3130,"3 2 4*")</f>
        <v>0</v>
      </c>
      <c r="H1033" s="31"/>
      <c r="I1033" s="31">
        <f t="shared" si="16"/>
        <v>0</v>
      </c>
      <c r="K1033" t="s">
        <v>13</v>
      </c>
    </row>
    <row r="1034" spans="2:11" ht="13" x14ac:dyDescent="0.15">
      <c r="B1034" s="29" t="s">
        <v>1539</v>
      </c>
      <c r="C1034" s="29" t="s">
        <v>1540</v>
      </c>
      <c r="D1034"/>
      <c r="E1034" s="31">
        <f>SUMIFS(E1035:E3130,K1035:K3130,"0",B1035:B3130,"3 2 5*")-SUMIFS(D1035:D3130,K1035:K3130,"0",B1035:B3130,"3 2 5*")</f>
        <v>0</v>
      </c>
      <c r="F1034" s="31">
        <f>SUMIFS(F1035:F3130,K1035:K3130,"0",B1035:B3130,"3 2 5*")</f>
        <v>0</v>
      </c>
      <c r="G1034" s="31">
        <f>SUMIFS(G1035:G3130,K1035:K3130,"0",B1035:B3130,"3 2 5*")</f>
        <v>0</v>
      </c>
      <c r="H1034" s="31"/>
      <c r="I1034" s="31">
        <f t="shared" si="16"/>
        <v>0</v>
      </c>
      <c r="K1034" t="s">
        <v>13</v>
      </c>
    </row>
    <row r="1035" spans="2:11" ht="13" x14ac:dyDescent="0.15">
      <c r="B1035" s="29" t="s">
        <v>1541</v>
      </c>
      <c r="C1035" s="29" t="s">
        <v>1542</v>
      </c>
      <c r="D1035"/>
      <c r="E1035" s="31">
        <f>SUMIFS(E1036:E3130,K1036:K3130,"0",B1036:B3130,"3 3*")-SUMIFS(D1036:D3130,K1036:K3130,"0",B1036:B3130,"3 3*")</f>
        <v>0</v>
      </c>
      <c r="F1035" s="31">
        <f>SUMIFS(F1036:F3130,K1036:K3130,"0",B1036:B3130,"3 3*")</f>
        <v>0</v>
      </c>
      <c r="G1035" s="31">
        <f>SUMIFS(G1036:G3130,K1036:K3130,"0",B1036:B3130,"3 3*")</f>
        <v>0</v>
      </c>
      <c r="H1035" s="31"/>
      <c r="I1035" s="31">
        <f t="shared" si="16"/>
        <v>0</v>
      </c>
      <c r="K1035" t="s">
        <v>13</v>
      </c>
    </row>
    <row r="1036" spans="2:11" ht="13" x14ac:dyDescent="0.15">
      <c r="B1036" s="29" t="s">
        <v>1543</v>
      </c>
      <c r="C1036" s="29" t="s">
        <v>1544</v>
      </c>
      <c r="D1036"/>
      <c r="E1036" s="31">
        <f>SUMIFS(E1037:E3130,K1037:K3130,"0",B1037:B3130,"3 3 1*")-SUMIFS(D1037:D3130,K1037:K3130,"0",B1037:B3130,"3 3 1*")</f>
        <v>0</v>
      </c>
      <c r="F1036" s="31">
        <f>SUMIFS(F1037:F3130,K1037:K3130,"0",B1037:B3130,"3 3 1*")</f>
        <v>0</v>
      </c>
      <c r="G1036" s="31">
        <f>SUMIFS(G1037:G3130,K1037:K3130,"0",B1037:B3130,"3 3 1*")</f>
        <v>0</v>
      </c>
      <c r="H1036" s="31"/>
      <c r="I1036" s="31">
        <f t="shared" si="16"/>
        <v>0</v>
      </c>
      <c r="K1036" t="s">
        <v>13</v>
      </c>
    </row>
    <row r="1037" spans="2:11" ht="13" x14ac:dyDescent="0.15">
      <c r="B1037" s="29" t="s">
        <v>1545</v>
      </c>
      <c r="C1037" s="29" t="s">
        <v>1546</v>
      </c>
      <c r="D1037"/>
      <c r="E1037" s="31">
        <f>SUMIFS(E1038:E3130,K1038:K3130,"0",B1038:B3130,"3 3 2*")-SUMIFS(D1038:D3130,K1038:K3130,"0",B1038:B3130,"3 3 2*")</f>
        <v>0</v>
      </c>
      <c r="F1037" s="31">
        <f>SUMIFS(F1038:F3130,K1038:K3130,"0",B1038:B3130,"3 3 2*")</f>
        <v>0</v>
      </c>
      <c r="G1037" s="31">
        <f>SUMIFS(G1038:G3130,K1038:K3130,"0",B1038:B3130,"3 3 2*")</f>
        <v>0</v>
      </c>
      <c r="H1037" s="31"/>
      <c r="I1037" s="31">
        <f t="shared" si="16"/>
        <v>0</v>
      </c>
      <c r="K1037" t="s">
        <v>13</v>
      </c>
    </row>
    <row r="1038" spans="2:11" ht="13" x14ac:dyDescent="0.15">
      <c r="B1038" s="29" t="s">
        <v>1547</v>
      </c>
      <c r="C1038" s="29" t="s">
        <v>1548</v>
      </c>
      <c r="D1038"/>
      <c r="E1038" s="31">
        <f>SUMIFS(E1039:E3130,K1039:K3130,"0",B1039:B3130,"4*")-SUMIFS(D1039:D3130,K1039:K3130,"0",B1039:B3130,"4*")</f>
        <v>0</v>
      </c>
      <c r="F1038" s="31">
        <f>SUMIFS(F1039:F3130,K1039:K3130,"0",B1039:B3130,"4*")</f>
        <v>0</v>
      </c>
      <c r="G1038" s="31">
        <f>SUMIFS(G1039:G3130,K1039:K3130,"0",B1039:B3130,"4*")</f>
        <v>104268011.53999999</v>
      </c>
      <c r="H1038" s="31"/>
      <c r="I1038" s="31">
        <f t="shared" si="16"/>
        <v>104268011.53999999</v>
      </c>
      <c r="K1038" t="s">
        <v>13</v>
      </c>
    </row>
    <row r="1039" spans="2:11" ht="13" x14ac:dyDescent="0.15">
      <c r="B1039" s="29" t="s">
        <v>1549</v>
      </c>
      <c r="C1039" s="29" t="s">
        <v>1550</v>
      </c>
      <c r="D1039"/>
      <c r="E1039" s="31">
        <f>SUMIFS(E1040:E3130,K1040:K3130,"0",B1040:B3130,"4 1*")-SUMIFS(D1040:D3130,K1040:K3130,"0",B1040:B3130,"4 1*")</f>
        <v>0</v>
      </c>
      <c r="F1039" s="31">
        <f>SUMIFS(F1040:F3130,K1040:K3130,"0",B1040:B3130,"4 1*")</f>
        <v>0</v>
      </c>
      <c r="G1039" s="31">
        <f>SUMIFS(G1040:G3130,K1040:K3130,"0",B1040:B3130,"4 1*")</f>
        <v>649937.56999999995</v>
      </c>
      <c r="H1039" s="31"/>
      <c r="I1039" s="31">
        <f t="shared" si="16"/>
        <v>649937.56999999995</v>
      </c>
      <c r="K1039" t="s">
        <v>13</v>
      </c>
    </row>
    <row r="1040" spans="2:11" ht="13" x14ac:dyDescent="0.15">
      <c r="B1040" s="29" t="s">
        <v>1551</v>
      </c>
      <c r="C1040" s="29" t="s">
        <v>1552</v>
      </c>
      <c r="D1040"/>
      <c r="E1040" s="31">
        <f>SUMIFS(E1041:E3130,K1041:K3130,"0",B1041:B3130,"4 1 1*")-SUMIFS(D1041:D3130,K1041:K3130,"0",B1041:B3130,"4 1 1*")</f>
        <v>0</v>
      </c>
      <c r="F1040" s="31">
        <f>SUMIFS(F1041:F3130,K1041:K3130,"0",B1041:B3130,"4 1 1*")</f>
        <v>0</v>
      </c>
      <c r="G1040" s="31">
        <f>SUMIFS(G1041:G3130,K1041:K3130,"0",B1041:B3130,"4 1 1*")</f>
        <v>0</v>
      </c>
      <c r="H1040" s="31"/>
      <c r="I1040" s="31">
        <f t="shared" si="16"/>
        <v>0</v>
      </c>
      <c r="K1040" t="s">
        <v>13</v>
      </c>
    </row>
    <row r="1041" spans="2:11" ht="13" x14ac:dyDescent="0.15">
      <c r="B1041" s="29" t="s">
        <v>1553</v>
      </c>
      <c r="C1041" s="29" t="s">
        <v>1554</v>
      </c>
      <c r="D1041"/>
      <c r="E1041" s="31">
        <f>SUMIFS(E1042:E3130,K1042:K3130,"0",B1042:B3130,"4 1 2*")-SUMIFS(D1042:D3130,K1042:K3130,"0",B1042:B3130,"4 1 2*")</f>
        <v>0</v>
      </c>
      <c r="F1041" s="31">
        <f>SUMIFS(F1042:F3130,K1042:K3130,"0",B1042:B3130,"4 1 2*")</f>
        <v>0</v>
      </c>
      <c r="G1041" s="31">
        <f>SUMIFS(G1042:G3130,K1042:K3130,"0",B1042:B3130,"4 1 2*")</f>
        <v>0</v>
      </c>
      <c r="H1041" s="31"/>
      <c r="I1041" s="31">
        <f t="shared" si="16"/>
        <v>0</v>
      </c>
      <c r="K1041" t="s">
        <v>13</v>
      </c>
    </row>
    <row r="1042" spans="2:11" ht="13" x14ac:dyDescent="0.15">
      <c r="B1042" s="29" t="s">
        <v>1555</v>
      </c>
      <c r="C1042" s="29" t="s">
        <v>1556</v>
      </c>
      <c r="D1042"/>
      <c r="E1042" s="31">
        <f>SUMIFS(E1043:E3130,K1043:K3130,"0",B1043:B3130,"4 1 3*")-SUMIFS(D1043:D3130,K1043:K3130,"0",B1043:B3130,"4 1 3*")</f>
        <v>0</v>
      </c>
      <c r="F1042" s="31">
        <f>SUMIFS(F1043:F3130,K1043:K3130,"0",B1043:B3130,"4 1 3*")</f>
        <v>0</v>
      </c>
      <c r="G1042" s="31">
        <f>SUMIFS(G1043:G3130,K1043:K3130,"0",B1043:B3130,"4 1 3*")</f>
        <v>0</v>
      </c>
      <c r="H1042" s="31"/>
      <c r="I1042" s="31">
        <f t="shared" si="16"/>
        <v>0</v>
      </c>
      <c r="K1042" t="s">
        <v>13</v>
      </c>
    </row>
    <row r="1043" spans="2:11" ht="13" x14ac:dyDescent="0.15">
      <c r="B1043" s="29" t="s">
        <v>1557</v>
      </c>
      <c r="C1043" s="29" t="s">
        <v>1558</v>
      </c>
      <c r="D1043"/>
      <c r="E1043" s="31">
        <f>SUMIFS(E1044:E3130,K1044:K3130,"0",B1044:B3130,"4 1 4*")-SUMIFS(D1044:D3130,K1044:K3130,"0",B1044:B3130,"4 1 4*")</f>
        <v>0</v>
      </c>
      <c r="F1043" s="31">
        <f>SUMIFS(F1044:F3130,K1044:K3130,"0",B1044:B3130,"4 1 4*")</f>
        <v>0</v>
      </c>
      <c r="G1043" s="31">
        <f>SUMIFS(G1044:G3130,K1044:K3130,"0",B1044:B3130,"4 1 4*")</f>
        <v>79226.58</v>
      </c>
      <c r="H1043" s="31"/>
      <c r="I1043" s="31">
        <f t="shared" si="16"/>
        <v>79226.58</v>
      </c>
      <c r="K1043" t="s">
        <v>13</v>
      </c>
    </row>
    <row r="1044" spans="2:11" ht="13" x14ac:dyDescent="0.15">
      <c r="B1044" s="29" t="s">
        <v>1559</v>
      </c>
      <c r="C1044" s="29" t="s">
        <v>1560</v>
      </c>
      <c r="D1044"/>
      <c r="E1044" s="31">
        <f>SUMIFS(E1045:E3130,K1045:K3130,"0",B1045:B3130,"4 1 4 3*")-SUMIFS(D1045:D3130,K1045:K3130,"0",B1045:B3130,"4 1 4 3*")</f>
        <v>0</v>
      </c>
      <c r="F1044" s="31">
        <f>SUMIFS(F1045:F3130,K1045:K3130,"0",B1045:B3130,"4 1 4 3*")</f>
        <v>0</v>
      </c>
      <c r="G1044" s="31">
        <f>SUMIFS(G1045:G3130,K1045:K3130,"0",B1045:B3130,"4 1 4 3*")</f>
        <v>79226.58</v>
      </c>
      <c r="H1044" s="31"/>
      <c r="I1044" s="31">
        <f t="shared" si="16"/>
        <v>79226.58</v>
      </c>
      <c r="K1044" t="s">
        <v>13</v>
      </c>
    </row>
    <row r="1045" spans="2:11" ht="13" x14ac:dyDescent="0.15">
      <c r="B1045" s="29" t="s">
        <v>1561</v>
      </c>
      <c r="C1045" s="29" t="s">
        <v>1562</v>
      </c>
      <c r="D1045"/>
      <c r="E1045" s="31">
        <f>SUMIFS(E1046:E3130,K1046:K3130,"0",B1046:B3130,"4 1 4 3 1*")-SUMIFS(D1046:D3130,K1046:K3130,"0",B1046:B3130,"4 1 4 3 1*")</f>
        <v>0</v>
      </c>
      <c r="F1045" s="31">
        <f>SUMIFS(F1046:F3130,K1046:K3130,"0",B1046:B3130,"4 1 4 3 1*")</f>
        <v>0</v>
      </c>
      <c r="G1045" s="31">
        <f>SUMIFS(G1046:G3130,K1046:K3130,"0",B1046:B3130,"4 1 4 3 1*")</f>
        <v>79226.58</v>
      </c>
      <c r="H1045" s="31"/>
      <c r="I1045" s="31">
        <f t="shared" si="16"/>
        <v>79226.58</v>
      </c>
      <c r="K1045" t="s">
        <v>13</v>
      </c>
    </row>
    <row r="1046" spans="2:11" ht="13" x14ac:dyDescent="0.15">
      <c r="B1046" s="29" t="s">
        <v>1563</v>
      </c>
      <c r="C1046" s="29" t="s">
        <v>24</v>
      </c>
      <c r="D1046"/>
      <c r="E1046" s="31">
        <f>SUMIFS(E1047:E3130,K1047:K3130,"0",B1047:B3130,"4 1 4 3 1 12*")-SUMIFS(D1047:D3130,K1047:K3130,"0",B1047:B3130,"4 1 4 3 1 12*")</f>
        <v>0</v>
      </c>
      <c r="F1046" s="31">
        <f>SUMIFS(F1047:F3130,K1047:K3130,"0",B1047:B3130,"4 1 4 3 1 12*")</f>
        <v>0</v>
      </c>
      <c r="G1046" s="31">
        <f>SUMIFS(G1047:G3130,K1047:K3130,"0",B1047:B3130,"4 1 4 3 1 12*")</f>
        <v>79226.58</v>
      </c>
      <c r="H1046" s="31"/>
      <c r="I1046" s="31">
        <f t="shared" si="16"/>
        <v>79226.58</v>
      </c>
      <c r="K1046" t="s">
        <v>13</v>
      </c>
    </row>
    <row r="1047" spans="2:11" ht="13" x14ac:dyDescent="0.15">
      <c r="B1047" s="29" t="s">
        <v>1564</v>
      </c>
      <c r="C1047" s="29" t="s">
        <v>26</v>
      </c>
      <c r="D1047"/>
      <c r="E1047" s="31">
        <f>SUMIFS(E1048:E3130,K1048:K3130,"0",B1048:B3130,"4 1 4 3 1 12 31111*")-SUMIFS(D1048:D3130,K1048:K3130,"0",B1048:B3130,"4 1 4 3 1 12 31111*")</f>
        <v>0</v>
      </c>
      <c r="F1047" s="31">
        <f>SUMIFS(F1048:F3130,K1048:K3130,"0",B1048:B3130,"4 1 4 3 1 12 31111*")</f>
        <v>0</v>
      </c>
      <c r="G1047" s="31">
        <f>SUMIFS(G1048:G3130,K1048:K3130,"0",B1048:B3130,"4 1 4 3 1 12 31111*")</f>
        <v>79226.58</v>
      </c>
      <c r="H1047" s="31"/>
      <c r="I1047" s="31">
        <f t="shared" si="16"/>
        <v>79226.58</v>
      </c>
      <c r="K1047" t="s">
        <v>13</v>
      </c>
    </row>
    <row r="1048" spans="2:11" ht="13" x14ac:dyDescent="0.15">
      <c r="B1048" s="29" t="s">
        <v>1565</v>
      </c>
      <c r="C1048" s="29" t="s">
        <v>28</v>
      </c>
      <c r="D1048"/>
      <c r="E1048" s="31">
        <f>SUMIFS(E1049:E3130,K1049:K3130,"0",B1049:B3130,"4 1 4 3 1 12 31111 6*")-SUMIFS(D1049:D3130,K1049:K3130,"0",B1049:B3130,"4 1 4 3 1 12 31111 6*")</f>
        <v>0</v>
      </c>
      <c r="F1048" s="31">
        <f>SUMIFS(F1049:F3130,K1049:K3130,"0",B1049:B3130,"4 1 4 3 1 12 31111 6*")</f>
        <v>0</v>
      </c>
      <c r="G1048" s="31">
        <f>SUMIFS(G1049:G3130,K1049:K3130,"0",B1049:B3130,"4 1 4 3 1 12 31111 6*")</f>
        <v>79226.58</v>
      </c>
      <c r="H1048" s="31"/>
      <c r="I1048" s="31">
        <f t="shared" si="16"/>
        <v>79226.58</v>
      </c>
      <c r="K1048" t="s">
        <v>13</v>
      </c>
    </row>
    <row r="1049" spans="2:11" ht="13" x14ac:dyDescent="0.15">
      <c r="B1049" s="29" t="s">
        <v>1566</v>
      </c>
      <c r="C1049" s="29" t="s">
        <v>1567</v>
      </c>
      <c r="D1049"/>
      <c r="E1049" s="31">
        <f>SUMIFS(E1050:E3130,K1050:K3130,"0",B1050:B3130,"4 1 4 3 1 12 31111 6 M78*")-SUMIFS(D1050:D3130,K1050:K3130,"0",B1050:B3130,"4 1 4 3 1 12 31111 6 M78*")</f>
        <v>0</v>
      </c>
      <c r="F1049" s="31">
        <f>SUMIFS(F1050:F3130,K1050:K3130,"0",B1050:B3130,"4 1 4 3 1 12 31111 6 M78*")</f>
        <v>0</v>
      </c>
      <c r="G1049" s="31">
        <f>SUMIFS(G1050:G3130,K1050:K3130,"0",B1050:B3130,"4 1 4 3 1 12 31111 6 M78*")</f>
        <v>79226.58</v>
      </c>
      <c r="H1049" s="31"/>
      <c r="I1049" s="31">
        <f t="shared" si="16"/>
        <v>79226.58</v>
      </c>
      <c r="K1049" t="s">
        <v>13</v>
      </c>
    </row>
    <row r="1050" spans="2:11" ht="13" x14ac:dyDescent="0.15">
      <c r="B1050" s="29" t="s">
        <v>1568</v>
      </c>
      <c r="C1050" s="29" t="s">
        <v>951</v>
      </c>
      <c r="D1050"/>
      <c r="E1050" s="31">
        <f>SUMIFS(E1051:E3130,K1051:K3130,"0",B1051:B3130,"4 1 4 3 1 12 31111 6 M78 07000*")-SUMIFS(D1051:D3130,K1051:K3130,"0",B1051:B3130,"4 1 4 3 1 12 31111 6 M78 07000*")</f>
        <v>0</v>
      </c>
      <c r="F1050" s="31">
        <f>SUMIFS(F1051:F3130,K1051:K3130,"0",B1051:B3130,"4 1 4 3 1 12 31111 6 M78 07000*")</f>
        <v>0</v>
      </c>
      <c r="G1050" s="31">
        <f>SUMIFS(G1051:G3130,K1051:K3130,"0",B1051:B3130,"4 1 4 3 1 12 31111 6 M78 07000*")</f>
        <v>79226.58</v>
      </c>
      <c r="H1050" s="31"/>
      <c r="I1050" s="31">
        <f t="shared" si="16"/>
        <v>79226.58</v>
      </c>
      <c r="K1050" t="s">
        <v>13</v>
      </c>
    </row>
    <row r="1051" spans="2:11" ht="13" x14ac:dyDescent="0.15">
      <c r="B1051" s="29" t="s">
        <v>1569</v>
      </c>
      <c r="C1051" s="29" t="s">
        <v>588</v>
      </c>
      <c r="D1051"/>
      <c r="E1051" s="31">
        <f>SUMIFS(E1052:E3130,K1052:K3130,"0",B1052:B3130,"4 1 4 3 1 12 31111 6 M78 07000 151*")-SUMIFS(D1052:D3130,K1052:K3130,"0",B1052:B3130,"4 1 4 3 1 12 31111 6 M78 07000 151*")</f>
        <v>0</v>
      </c>
      <c r="F1051" s="31">
        <f>SUMIFS(F1052:F3130,K1052:K3130,"0",B1052:B3130,"4 1 4 3 1 12 31111 6 M78 07000 151*")</f>
        <v>0</v>
      </c>
      <c r="G1051" s="31">
        <f>SUMIFS(G1052:G3130,K1052:K3130,"0",B1052:B3130,"4 1 4 3 1 12 31111 6 M78 07000 151*")</f>
        <v>79226.58</v>
      </c>
      <c r="H1051" s="31"/>
      <c r="I1051" s="31">
        <f t="shared" ref="I1051:I1114" si="17">E1051 - F1051 + G1051</f>
        <v>79226.58</v>
      </c>
      <c r="K1051" t="s">
        <v>13</v>
      </c>
    </row>
    <row r="1052" spans="2:11" ht="13" x14ac:dyDescent="0.15">
      <c r="B1052" s="29" t="s">
        <v>1570</v>
      </c>
      <c r="C1052" s="29" t="s">
        <v>812</v>
      </c>
      <c r="D1052"/>
      <c r="E1052" s="31">
        <f>SUMIFS(E1053:E3130,K1053:K3130,"0",B1053:B3130,"4 1 4 3 1 12 31111 6 M78 07000 151 00E*")-SUMIFS(D1053:D3130,K1053:K3130,"0",B1053:B3130,"4 1 4 3 1 12 31111 6 M78 07000 151 00E*")</f>
        <v>0</v>
      </c>
      <c r="F1052" s="31">
        <f>SUMIFS(F1053:F3130,K1053:K3130,"0",B1053:B3130,"4 1 4 3 1 12 31111 6 M78 07000 151 00E*")</f>
        <v>0</v>
      </c>
      <c r="G1052" s="31">
        <f>SUMIFS(G1053:G3130,K1053:K3130,"0",B1053:B3130,"4 1 4 3 1 12 31111 6 M78 07000 151 00E*")</f>
        <v>79226.58</v>
      </c>
      <c r="H1052" s="31"/>
      <c r="I1052" s="31">
        <f t="shared" si="17"/>
        <v>79226.58</v>
      </c>
      <c r="K1052" t="s">
        <v>13</v>
      </c>
    </row>
    <row r="1053" spans="2:11" ht="13" x14ac:dyDescent="0.15">
      <c r="B1053" s="29" t="s">
        <v>1571</v>
      </c>
      <c r="C1053" s="29" t="s">
        <v>32</v>
      </c>
      <c r="D1053"/>
      <c r="E1053" s="31">
        <f>SUMIFS(E1054:E3130,K1054:K3130,"0",B1054:B3130,"4 1 4 3 1 12 31111 6 M78 07000 151 00E 001*")-SUMIFS(D1054:D3130,K1054:K3130,"0",B1054:B3130,"4 1 4 3 1 12 31111 6 M78 07000 151 00E 001*")</f>
        <v>0</v>
      </c>
      <c r="F1053" s="31">
        <f>SUMIFS(F1054:F3130,K1054:K3130,"0",B1054:B3130,"4 1 4 3 1 12 31111 6 M78 07000 151 00E 001*")</f>
        <v>0</v>
      </c>
      <c r="G1053" s="31">
        <f>SUMIFS(G1054:G3130,K1054:K3130,"0",B1054:B3130,"4 1 4 3 1 12 31111 6 M78 07000 151 00E 001*")</f>
        <v>79226.58</v>
      </c>
      <c r="H1053" s="31"/>
      <c r="I1053" s="31">
        <f t="shared" si="17"/>
        <v>79226.58</v>
      </c>
      <c r="K1053" t="s">
        <v>13</v>
      </c>
    </row>
    <row r="1054" spans="2:11" ht="13" x14ac:dyDescent="0.15">
      <c r="B1054" s="29" t="s">
        <v>1572</v>
      </c>
      <c r="C1054" s="29" t="s">
        <v>1560</v>
      </c>
      <c r="D1054"/>
      <c r="E1054" s="31">
        <f>SUMIFS(E1055:E3130,K1055:K3130,"0",B1055:B3130,"4 1 4 3 1 12 31111 6 M78 07000 151 00E 001 00043*")-SUMIFS(D1055:D3130,K1055:K3130,"0",B1055:B3130,"4 1 4 3 1 12 31111 6 M78 07000 151 00E 001 00043*")</f>
        <v>0</v>
      </c>
      <c r="F1054" s="31">
        <f>SUMIFS(F1055:F3130,K1055:K3130,"0",B1055:B3130,"4 1 4 3 1 12 31111 6 M78 07000 151 00E 001 00043*")</f>
        <v>0</v>
      </c>
      <c r="G1054" s="31">
        <f>SUMIFS(G1055:G3130,K1055:K3130,"0",B1055:B3130,"4 1 4 3 1 12 31111 6 M78 07000 151 00E 001 00043*")</f>
        <v>79226.58</v>
      </c>
      <c r="H1054" s="31"/>
      <c r="I1054" s="31">
        <f t="shared" si="17"/>
        <v>79226.58</v>
      </c>
      <c r="K1054" t="s">
        <v>13</v>
      </c>
    </row>
    <row r="1055" spans="2:11" ht="22" x14ac:dyDescent="0.15">
      <c r="B1055" s="29" t="s">
        <v>1573</v>
      </c>
      <c r="C1055" s="29" t="s">
        <v>816</v>
      </c>
      <c r="D1055"/>
      <c r="E1055" s="31">
        <f>SUMIFS(E1056:E3130,K1056:K3130,"0",B1056:B3130,"4 1 4 3 1 12 31111 6 M78 07000 151 00E 001 00043 011*")-SUMIFS(D1056:D3130,K1056:K3130,"0",B1056:B3130,"4 1 4 3 1 12 31111 6 M78 07000 151 00E 001 00043 011*")</f>
        <v>0</v>
      </c>
      <c r="F1055" s="31">
        <f>SUMIFS(F1056:F3130,K1056:K3130,"0",B1056:B3130,"4 1 4 3 1 12 31111 6 M78 07000 151 00E 001 00043 011*")</f>
        <v>0</v>
      </c>
      <c r="G1055" s="31">
        <f>SUMIFS(G1056:G3130,K1056:K3130,"0",B1056:B3130,"4 1 4 3 1 12 31111 6 M78 07000 151 00E 001 00043 011*")</f>
        <v>79226.58</v>
      </c>
      <c r="H1055" s="31"/>
      <c r="I1055" s="31">
        <f t="shared" si="17"/>
        <v>79226.58</v>
      </c>
      <c r="K1055" t="s">
        <v>13</v>
      </c>
    </row>
    <row r="1056" spans="2:11" ht="22" x14ac:dyDescent="0.15">
      <c r="B1056" s="29" t="s">
        <v>1574</v>
      </c>
      <c r="C1056" s="29" t="s">
        <v>1575</v>
      </c>
      <c r="D1056"/>
      <c r="E1056" s="31">
        <f>SUMIFS(E1057:E3130,K1057:K3130,"0",B1057:B3130,"4 1 4 3 1 12 31111 6 M78 07000 151 00E 001 00043 011 1141000*")-SUMIFS(D1057:D3130,K1057:K3130,"0",B1057:B3130,"4 1 4 3 1 12 31111 6 M78 07000 151 00E 001 00043 011 1141000*")</f>
        <v>0</v>
      </c>
      <c r="F1056" s="31">
        <f>SUMIFS(F1057:F3130,K1057:K3130,"0",B1057:B3130,"4 1 4 3 1 12 31111 6 M78 07000 151 00E 001 00043 011 1141000*")</f>
        <v>0</v>
      </c>
      <c r="G1056" s="31">
        <f>SUMIFS(G1057:G3130,K1057:K3130,"0",B1057:B3130,"4 1 4 3 1 12 31111 6 M78 07000 151 00E 001 00043 011 1141000*")</f>
        <v>79226.58</v>
      </c>
      <c r="H1056" s="31"/>
      <c r="I1056" s="31">
        <f t="shared" si="17"/>
        <v>79226.58</v>
      </c>
      <c r="K1056" t="s">
        <v>13</v>
      </c>
    </row>
    <row r="1057" spans="2:11" ht="22" x14ac:dyDescent="0.15">
      <c r="B1057" s="29" t="s">
        <v>1576</v>
      </c>
      <c r="C1057" s="29" t="s">
        <v>275</v>
      </c>
      <c r="D1057"/>
      <c r="E1057" s="31">
        <f>SUMIFS(E1058:E3130,K1058:K3130,"0",B1058:B3130,"4 1 4 3 1 12 31111 6 M78 07000 151 00E 001 00043 011 1141000 2024*")-SUMIFS(D1058:D3130,K1058:K3130,"0",B1058:B3130,"4 1 4 3 1 12 31111 6 M78 07000 151 00E 001 00043 011 1141000 2024*")</f>
        <v>0</v>
      </c>
      <c r="F1057" s="31">
        <f>SUMIFS(F1058:F3130,K1058:K3130,"0",B1058:B3130,"4 1 4 3 1 12 31111 6 M78 07000 151 00E 001 00043 011 1141000 2024*")</f>
        <v>0</v>
      </c>
      <c r="G1057" s="31">
        <f>SUMIFS(G1058:G3130,K1058:K3130,"0",B1058:B3130,"4 1 4 3 1 12 31111 6 M78 07000 151 00E 001 00043 011 1141000 2024*")</f>
        <v>79226.58</v>
      </c>
      <c r="H1057" s="31"/>
      <c r="I1057" s="31">
        <f t="shared" si="17"/>
        <v>79226.58</v>
      </c>
      <c r="K1057" t="s">
        <v>13</v>
      </c>
    </row>
    <row r="1058" spans="2:11" ht="22" x14ac:dyDescent="0.15">
      <c r="B1058" s="29" t="s">
        <v>1577</v>
      </c>
      <c r="C1058" s="29" t="s">
        <v>961</v>
      </c>
      <c r="D1058"/>
      <c r="E1058" s="31">
        <f>SUMIFS(E1059:E3130,K1059:K3130,"0",B1059:B3130,"4 1 4 3 1 12 31111 6 M78 07000 151 00E 001 00043 011 1141000 2024 00000000*")-SUMIFS(D1059:D3130,K1059:K3130,"0",B1059:B3130,"4 1 4 3 1 12 31111 6 M78 07000 151 00E 001 00043 011 1141000 2024 00000000*")</f>
        <v>0</v>
      </c>
      <c r="F1058" s="31">
        <f>SUMIFS(F1059:F3130,K1059:K3130,"0",B1059:B3130,"4 1 4 3 1 12 31111 6 M78 07000 151 00E 001 00043 011 1141000 2024 00000000*")</f>
        <v>0</v>
      </c>
      <c r="G1058" s="31">
        <f>SUMIFS(G1059:G3130,K1059:K3130,"0",B1059:B3130,"4 1 4 3 1 12 31111 6 M78 07000 151 00E 001 00043 011 1141000 2024 00000000*")</f>
        <v>79226.58</v>
      </c>
      <c r="H1058" s="31"/>
      <c r="I1058" s="31">
        <f t="shared" si="17"/>
        <v>79226.58</v>
      </c>
      <c r="K1058" t="s">
        <v>13</v>
      </c>
    </row>
    <row r="1059" spans="2:11" ht="22" x14ac:dyDescent="0.15">
      <c r="B1059" s="29" t="s">
        <v>1578</v>
      </c>
      <c r="C1059" s="29" t="s">
        <v>1579</v>
      </c>
      <c r="D1059"/>
      <c r="E1059" s="31">
        <f>SUMIFS(E1060:E3130,K1060:K3130,"0",B1060:B3130,"4 1 4 3 1 12 31111 6 M78 07000 151 00E 001 00043 011 1141000 2024 00000000 005*")-SUMIFS(D1060:D3130,K1060:K3130,"0",B1060:B3130,"4 1 4 3 1 12 31111 6 M78 07000 151 00E 001 00043 011 1141000 2024 00000000 005*")</f>
        <v>0</v>
      </c>
      <c r="F1059" s="31">
        <f>SUMIFS(F1060:F3130,K1060:K3130,"0",B1060:B3130,"4 1 4 3 1 12 31111 6 M78 07000 151 00E 001 00043 011 1141000 2024 00000000 005*")</f>
        <v>0</v>
      </c>
      <c r="G1059" s="31">
        <f>SUMIFS(G1060:G3130,K1060:K3130,"0",B1060:B3130,"4 1 4 3 1 12 31111 6 M78 07000 151 00E 001 00043 011 1141000 2024 00000000 005*")</f>
        <v>79226.58</v>
      </c>
      <c r="H1059" s="31"/>
      <c r="I1059" s="31">
        <f t="shared" si="17"/>
        <v>79226.58</v>
      </c>
      <c r="K1059" t="s">
        <v>13</v>
      </c>
    </row>
    <row r="1060" spans="2:11" ht="22" x14ac:dyDescent="0.15">
      <c r="B1060" s="27" t="s">
        <v>1580</v>
      </c>
      <c r="C1060" s="27" t="s">
        <v>1581</v>
      </c>
      <c r="D1060" s="30"/>
      <c r="E1060" s="30">
        <v>0</v>
      </c>
      <c r="F1060" s="30">
        <v>0</v>
      </c>
      <c r="G1060" s="30">
        <v>500</v>
      </c>
      <c r="H1060" s="30"/>
      <c r="I1060" s="30">
        <f t="shared" si="17"/>
        <v>500</v>
      </c>
      <c r="K1060" t="s">
        <v>37</v>
      </c>
    </row>
    <row r="1061" spans="2:11" ht="22" x14ac:dyDescent="0.15">
      <c r="B1061" s="27" t="s">
        <v>1582</v>
      </c>
      <c r="C1061" s="27" t="s">
        <v>1583</v>
      </c>
      <c r="D1061" s="30"/>
      <c r="E1061" s="30">
        <v>0</v>
      </c>
      <c r="F1061" s="30">
        <v>0</v>
      </c>
      <c r="G1061" s="30">
        <v>2500</v>
      </c>
      <c r="H1061" s="30"/>
      <c r="I1061" s="30">
        <f t="shared" si="17"/>
        <v>2500</v>
      </c>
      <c r="K1061" t="s">
        <v>37</v>
      </c>
    </row>
    <row r="1062" spans="2:11" ht="22" x14ac:dyDescent="0.15">
      <c r="B1062" s="27" t="s">
        <v>1584</v>
      </c>
      <c r="C1062" s="27" t="s">
        <v>1585</v>
      </c>
      <c r="D1062" s="30"/>
      <c r="E1062" s="30">
        <v>0</v>
      </c>
      <c r="F1062" s="30">
        <v>0</v>
      </c>
      <c r="G1062" s="30">
        <v>8750</v>
      </c>
      <c r="H1062" s="30"/>
      <c r="I1062" s="30">
        <f t="shared" si="17"/>
        <v>8750</v>
      </c>
      <c r="K1062" t="s">
        <v>37</v>
      </c>
    </row>
    <row r="1063" spans="2:11" ht="22" x14ac:dyDescent="0.15">
      <c r="B1063" s="27" t="s">
        <v>1586</v>
      </c>
      <c r="C1063" s="27" t="s">
        <v>1587</v>
      </c>
      <c r="D1063" s="30"/>
      <c r="E1063" s="30">
        <v>0</v>
      </c>
      <c r="F1063" s="30">
        <v>0</v>
      </c>
      <c r="G1063" s="30">
        <v>4000</v>
      </c>
      <c r="H1063" s="30"/>
      <c r="I1063" s="30">
        <f t="shared" si="17"/>
        <v>4000</v>
      </c>
      <c r="K1063" t="s">
        <v>37</v>
      </c>
    </row>
    <row r="1064" spans="2:11" ht="22" x14ac:dyDescent="0.15">
      <c r="B1064" s="27" t="s">
        <v>1588</v>
      </c>
      <c r="C1064" s="27" t="s">
        <v>1589</v>
      </c>
      <c r="D1064" s="30"/>
      <c r="E1064" s="30">
        <v>0</v>
      </c>
      <c r="F1064" s="30">
        <v>0</v>
      </c>
      <c r="G1064" s="30">
        <v>2000</v>
      </c>
      <c r="H1064" s="30"/>
      <c r="I1064" s="30">
        <f t="shared" si="17"/>
        <v>2000</v>
      </c>
      <c r="K1064" t="s">
        <v>37</v>
      </c>
    </row>
    <row r="1065" spans="2:11" ht="22" x14ac:dyDescent="0.15">
      <c r="B1065" s="27" t="s">
        <v>1590</v>
      </c>
      <c r="C1065" s="27" t="s">
        <v>1591</v>
      </c>
      <c r="D1065" s="30"/>
      <c r="E1065" s="30">
        <v>0</v>
      </c>
      <c r="F1065" s="30">
        <v>0</v>
      </c>
      <c r="G1065" s="30">
        <v>61476.58</v>
      </c>
      <c r="H1065" s="30"/>
      <c r="I1065" s="30">
        <f t="shared" si="17"/>
        <v>61476.58</v>
      </c>
      <c r="K1065" t="s">
        <v>37</v>
      </c>
    </row>
    <row r="1066" spans="2:11" ht="13" x14ac:dyDescent="0.15">
      <c r="B1066" s="29" t="s">
        <v>1592</v>
      </c>
      <c r="C1066" s="29" t="s">
        <v>198</v>
      </c>
      <c r="D1066"/>
      <c r="E1066" s="31">
        <f>SUMIFS(E1067:E3130,K1067:K3130,"0",B1067:B3130,"4 1 5*")-SUMIFS(D1067:D3130,K1067:K3130,"0",B1067:B3130,"4 1 5*")</f>
        <v>0</v>
      </c>
      <c r="F1066" s="31">
        <f>SUMIFS(F1067:F3130,K1067:K3130,"0",B1067:B3130,"4 1 5*")</f>
        <v>0</v>
      </c>
      <c r="G1066" s="31">
        <f>SUMIFS(G1067:G3130,K1067:K3130,"0",B1067:B3130,"4 1 5*")</f>
        <v>570617.42000000004</v>
      </c>
      <c r="H1066" s="31"/>
      <c r="I1066" s="31">
        <f t="shared" si="17"/>
        <v>570617.42000000004</v>
      </c>
      <c r="K1066" t="s">
        <v>13</v>
      </c>
    </row>
    <row r="1067" spans="2:11" ht="13" x14ac:dyDescent="0.15">
      <c r="B1067" s="29" t="s">
        <v>1593</v>
      </c>
      <c r="C1067" s="29" t="s">
        <v>198</v>
      </c>
      <c r="D1067"/>
      <c r="E1067" s="31">
        <f>SUMIFS(E1068:E3130,K1068:K3130,"0",B1068:B3130,"4 1 5 1*")-SUMIFS(D1068:D3130,K1068:K3130,"0",B1068:B3130,"4 1 5 1*")</f>
        <v>0</v>
      </c>
      <c r="F1067" s="31">
        <f>SUMIFS(F1068:F3130,K1068:K3130,"0",B1068:B3130,"4 1 5 1*")</f>
        <v>0</v>
      </c>
      <c r="G1067" s="31">
        <f>SUMIFS(G1068:G3130,K1068:K3130,"0",B1068:B3130,"4 1 5 1*")</f>
        <v>570617.42000000004</v>
      </c>
      <c r="H1067" s="31"/>
      <c r="I1067" s="31">
        <f t="shared" si="17"/>
        <v>570617.42000000004</v>
      </c>
      <c r="K1067" t="s">
        <v>13</v>
      </c>
    </row>
    <row r="1068" spans="2:11" ht="22" x14ac:dyDescent="0.15">
      <c r="B1068" s="29" t="s">
        <v>1594</v>
      </c>
      <c r="C1068" s="29" t="s">
        <v>1595</v>
      </c>
      <c r="D1068"/>
      <c r="E1068" s="31">
        <f>SUMIFS(E1069:E3130,K1069:K3130,"0",B1069:B3130,"4 1 5 1 1*")-SUMIFS(D1069:D3130,K1069:K3130,"0",B1069:B3130,"4 1 5 1 1*")</f>
        <v>0</v>
      </c>
      <c r="F1068" s="31">
        <f>SUMIFS(F1069:F3130,K1069:K3130,"0",B1069:B3130,"4 1 5 1 1*")</f>
        <v>0</v>
      </c>
      <c r="G1068" s="31">
        <f>SUMIFS(G1069:G3130,K1069:K3130,"0",B1069:B3130,"4 1 5 1 1*")</f>
        <v>570617.42000000004</v>
      </c>
      <c r="H1068" s="31"/>
      <c r="I1068" s="31">
        <f t="shared" si="17"/>
        <v>570617.42000000004</v>
      </c>
      <c r="K1068" t="s">
        <v>13</v>
      </c>
    </row>
    <row r="1069" spans="2:11" ht="13" x14ac:dyDescent="0.15">
      <c r="B1069" s="29" t="s">
        <v>1596</v>
      </c>
      <c r="C1069" s="29" t="s">
        <v>24</v>
      </c>
      <c r="D1069"/>
      <c r="E1069" s="31">
        <f>SUMIFS(E1070:E3130,K1070:K3130,"0",B1070:B3130,"4 1 5 1 1 12*")-SUMIFS(D1070:D3130,K1070:K3130,"0",B1070:B3130,"4 1 5 1 1 12*")</f>
        <v>0</v>
      </c>
      <c r="F1069" s="31">
        <f>SUMIFS(F1070:F3130,K1070:K3130,"0",B1070:B3130,"4 1 5 1 1 12*")</f>
        <v>0</v>
      </c>
      <c r="G1069" s="31">
        <f>SUMIFS(G1070:G3130,K1070:K3130,"0",B1070:B3130,"4 1 5 1 1 12*")</f>
        <v>570617.42000000004</v>
      </c>
      <c r="H1069" s="31"/>
      <c r="I1069" s="31">
        <f t="shared" si="17"/>
        <v>570617.42000000004</v>
      </c>
      <c r="K1069" t="s">
        <v>13</v>
      </c>
    </row>
    <row r="1070" spans="2:11" ht="13" x14ac:dyDescent="0.15">
      <c r="B1070" s="29" t="s">
        <v>1597</v>
      </c>
      <c r="C1070" s="29" t="s">
        <v>26</v>
      </c>
      <c r="D1070"/>
      <c r="E1070" s="31">
        <f>SUMIFS(E1071:E3130,K1071:K3130,"0",B1071:B3130,"4 1 5 1 1 12 31111*")-SUMIFS(D1071:D3130,K1071:K3130,"0",B1071:B3130,"4 1 5 1 1 12 31111*")</f>
        <v>0</v>
      </c>
      <c r="F1070" s="31">
        <f>SUMIFS(F1071:F3130,K1071:K3130,"0",B1071:B3130,"4 1 5 1 1 12 31111*")</f>
        <v>0</v>
      </c>
      <c r="G1070" s="31">
        <f>SUMIFS(G1071:G3130,K1071:K3130,"0",B1071:B3130,"4 1 5 1 1 12 31111*")</f>
        <v>570617.42000000004</v>
      </c>
      <c r="H1070" s="31"/>
      <c r="I1070" s="31">
        <f t="shared" si="17"/>
        <v>570617.42000000004</v>
      </c>
      <c r="K1070" t="s">
        <v>13</v>
      </c>
    </row>
    <row r="1071" spans="2:11" ht="13" x14ac:dyDescent="0.15">
      <c r="B1071" s="29" t="s">
        <v>1598</v>
      </c>
      <c r="C1071" s="29" t="s">
        <v>28</v>
      </c>
      <c r="D1071"/>
      <c r="E1071" s="31">
        <f>SUMIFS(E1072:E3130,K1072:K3130,"0",B1072:B3130,"4 1 5 1 1 12 31111 6*")-SUMIFS(D1072:D3130,K1072:K3130,"0",B1072:B3130,"4 1 5 1 1 12 31111 6*")</f>
        <v>0</v>
      </c>
      <c r="F1071" s="31">
        <f>SUMIFS(F1072:F3130,K1072:K3130,"0",B1072:B3130,"4 1 5 1 1 12 31111 6*")</f>
        <v>0</v>
      </c>
      <c r="G1071" s="31">
        <f>SUMIFS(G1072:G3130,K1072:K3130,"0",B1072:B3130,"4 1 5 1 1 12 31111 6*")</f>
        <v>570617.42000000004</v>
      </c>
      <c r="H1071" s="31"/>
      <c r="I1071" s="31">
        <f t="shared" si="17"/>
        <v>570617.42000000004</v>
      </c>
      <c r="K1071" t="s">
        <v>13</v>
      </c>
    </row>
    <row r="1072" spans="2:11" ht="13" x14ac:dyDescent="0.15">
      <c r="B1072" s="29" t="s">
        <v>1599</v>
      </c>
      <c r="C1072" s="29" t="s">
        <v>217</v>
      </c>
      <c r="D1072"/>
      <c r="E1072" s="31">
        <f>SUMIFS(E1073:E3130,K1073:K3130,"0",B1073:B3130,"4 1 5 1 1 12 31111 6 M78*")-SUMIFS(D1073:D3130,K1073:K3130,"0",B1073:B3130,"4 1 5 1 1 12 31111 6 M78*")</f>
        <v>0</v>
      </c>
      <c r="F1072" s="31">
        <f>SUMIFS(F1073:F3130,K1073:K3130,"0",B1073:B3130,"4 1 5 1 1 12 31111 6 M78*")</f>
        <v>0</v>
      </c>
      <c r="G1072" s="31">
        <f>SUMIFS(G1073:G3130,K1073:K3130,"0",B1073:B3130,"4 1 5 1 1 12 31111 6 M78*")</f>
        <v>570617.42000000004</v>
      </c>
      <c r="H1072" s="31"/>
      <c r="I1072" s="31">
        <f t="shared" si="17"/>
        <v>570617.42000000004</v>
      </c>
      <c r="K1072" t="s">
        <v>13</v>
      </c>
    </row>
    <row r="1073" spans="2:11" ht="13" x14ac:dyDescent="0.15">
      <c r="B1073" s="29" t="s">
        <v>1600</v>
      </c>
      <c r="C1073" s="29" t="s">
        <v>8</v>
      </c>
      <c r="D1073"/>
      <c r="E1073" s="31">
        <f>SUMIFS(E1074:E3130,K1074:K3130,"0",B1074:B3130,"4 1 5 1 1 12 31111 6 M78 07000*")-SUMIFS(D1074:D3130,K1074:K3130,"0",B1074:B3130,"4 1 5 1 1 12 31111 6 M78 07000*")</f>
        <v>0</v>
      </c>
      <c r="F1073" s="31">
        <f>SUMIFS(F1074:F3130,K1074:K3130,"0",B1074:B3130,"4 1 5 1 1 12 31111 6 M78 07000*")</f>
        <v>0</v>
      </c>
      <c r="G1073" s="31">
        <f>SUMIFS(G1074:G3130,K1074:K3130,"0",B1074:B3130,"4 1 5 1 1 12 31111 6 M78 07000*")</f>
        <v>27896.910000000003</v>
      </c>
      <c r="H1073" s="31"/>
      <c r="I1073" s="31">
        <f t="shared" si="17"/>
        <v>27896.910000000003</v>
      </c>
      <c r="K1073" t="s">
        <v>13</v>
      </c>
    </row>
    <row r="1074" spans="2:11" ht="13" x14ac:dyDescent="0.15">
      <c r="B1074" s="29" t="s">
        <v>1601</v>
      </c>
      <c r="C1074" s="29" t="s">
        <v>588</v>
      </c>
      <c r="D1074"/>
      <c r="E1074" s="31">
        <f>SUMIFS(E1075:E3130,K1075:K3130,"0",B1075:B3130,"4 1 5 1 1 12 31111 6 M78 07000 151*")-SUMIFS(D1075:D3130,K1075:K3130,"0",B1075:B3130,"4 1 5 1 1 12 31111 6 M78 07000 151*")</f>
        <v>0</v>
      </c>
      <c r="F1074" s="31">
        <f>SUMIFS(F1075:F3130,K1075:K3130,"0",B1075:B3130,"4 1 5 1 1 12 31111 6 M78 07000 151*")</f>
        <v>0</v>
      </c>
      <c r="G1074" s="31">
        <f>SUMIFS(G1075:G3130,K1075:K3130,"0",B1075:B3130,"4 1 5 1 1 12 31111 6 M78 07000 151*")</f>
        <v>27896.910000000003</v>
      </c>
      <c r="H1074" s="31"/>
      <c r="I1074" s="31">
        <f t="shared" si="17"/>
        <v>27896.910000000003</v>
      </c>
      <c r="K1074" t="s">
        <v>13</v>
      </c>
    </row>
    <row r="1075" spans="2:11" ht="13" x14ac:dyDescent="0.15">
      <c r="B1075" s="29" t="s">
        <v>1602</v>
      </c>
      <c r="C1075" s="29" t="s">
        <v>265</v>
      </c>
      <c r="D1075"/>
      <c r="E1075" s="31">
        <f>SUMIFS(E1076:E3130,K1076:K3130,"0",B1076:B3130,"4 1 5 1 1 12 31111 6 M78 07000 151 00C*")-SUMIFS(D1076:D3130,K1076:K3130,"0",B1076:B3130,"4 1 5 1 1 12 31111 6 M78 07000 151 00C*")</f>
        <v>0</v>
      </c>
      <c r="F1075" s="31">
        <f>SUMIFS(F1076:F3130,K1076:K3130,"0",B1076:B3130,"4 1 5 1 1 12 31111 6 M78 07000 151 00C*")</f>
        <v>0</v>
      </c>
      <c r="G1075" s="31">
        <f>SUMIFS(G1076:G3130,K1076:K3130,"0",B1076:B3130,"4 1 5 1 1 12 31111 6 M78 07000 151 00C*")</f>
        <v>9818.8700000000008</v>
      </c>
      <c r="H1075" s="31"/>
      <c r="I1075" s="31">
        <f t="shared" si="17"/>
        <v>9818.8700000000008</v>
      </c>
      <c r="K1075" t="s">
        <v>13</v>
      </c>
    </row>
    <row r="1076" spans="2:11" ht="13" x14ac:dyDescent="0.15">
      <c r="B1076" s="29" t="s">
        <v>1603</v>
      </c>
      <c r="C1076" s="29" t="s">
        <v>32</v>
      </c>
      <c r="D1076"/>
      <c r="E1076" s="31">
        <f>SUMIFS(E1077:E3130,K1077:K3130,"0",B1077:B3130,"4 1 5 1 1 12 31111 6 M78 07000 151 00C 001*")-SUMIFS(D1077:D3130,K1077:K3130,"0",B1077:B3130,"4 1 5 1 1 12 31111 6 M78 07000 151 00C 001*")</f>
        <v>0</v>
      </c>
      <c r="F1076" s="31">
        <f>SUMIFS(F1077:F3130,K1077:K3130,"0",B1077:B3130,"4 1 5 1 1 12 31111 6 M78 07000 151 00C 001*")</f>
        <v>0</v>
      </c>
      <c r="G1076" s="31">
        <f>SUMIFS(G1077:G3130,K1077:K3130,"0",B1077:B3130,"4 1 5 1 1 12 31111 6 M78 07000 151 00C 001*")</f>
        <v>9818.8700000000008</v>
      </c>
      <c r="H1076" s="31"/>
      <c r="I1076" s="31">
        <f t="shared" si="17"/>
        <v>9818.8700000000008</v>
      </c>
      <c r="K1076" t="s">
        <v>13</v>
      </c>
    </row>
    <row r="1077" spans="2:11" ht="13" x14ac:dyDescent="0.15">
      <c r="B1077" s="29" t="s">
        <v>1604</v>
      </c>
      <c r="C1077" s="29" t="s">
        <v>198</v>
      </c>
      <c r="D1077"/>
      <c r="E1077" s="31">
        <f>SUMIFS(E1078:E3130,K1078:K3130,"0",B1078:B3130,"4 1 5 1 1 12 31111 6 M78 07000 151 00C 001 00051*")-SUMIFS(D1078:D3130,K1078:K3130,"0",B1078:B3130,"4 1 5 1 1 12 31111 6 M78 07000 151 00C 001 00051*")</f>
        <v>0</v>
      </c>
      <c r="F1077" s="31">
        <f>SUMIFS(F1078:F3130,K1078:K3130,"0",B1078:B3130,"4 1 5 1 1 12 31111 6 M78 07000 151 00C 001 00051*")</f>
        <v>0</v>
      </c>
      <c r="G1077" s="31">
        <f>SUMIFS(G1078:G3130,K1078:K3130,"0",B1078:B3130,"4 1 5 1 1 12 31111 6 M78 07000 151 00C 001 00051*")</f>
        <v>9818.8700000000008</v>
      </c>
      <c r="H1077" s="31"/>
      <c r="I1077" s="31">
        <f t="shared" si="17"/>
        <v>9818.8700000000008</v>
      </c>
      <c r="K1077" t="s">
        <v>13</v>
      </c>
    </row>
    <row r="1078" spans="2:11" ht="22" x14ac:dyDescent="0.15">
      <c r="B1078" s="29" t="s">
        <v>1605</v>
      </c>
      <c r="C1078" s="29" t="s">
        <v>271</v>
      </c>
      <c r="D1078"/>
      <c r="E1078" s="31">
        <f>SUMIFS(E1079:E3130,K1079:K3130,"0",B1079:B3130,"4 1 5 1 1 12 31111 6 M78 07000 151 00C 001 00051 015*")-SUMIFS(D1079:D3130,K1079:K3130,"0",B1079:B3130,"4 1 5 1 1 12 31111 6 M78 07000 151 00C 001 00051 015*")</f>
        <v>0</v>
      </c>
      <c r="F1078" s="31">
        <f>SUMIFS(F1079:F3130,K1079:K3130,"0",B1079:B3130,"4 1 5 1 1 12 31111 6 M78 07000 151 00C 001 00051 015*")</f>
        <v>0</v>
      </c>
      <c r="G1078" s="31">
        <f>SUMIFS(G1079:G3130,K1079:K3130,"0",B1079:B3130,"4 1 5 1 1 12 31111 6 M78 07000 151 00C 001 00051 015*")</f>
        <v>9818.8700000000008</v>
      </c>
      <c r="H1078" s="31"/>
      <c r="I1078" s="31">
        <f t="shared" si="17"/>
        <v>9818.8700000000008</v>
      </c>
      <c r="K1078" t="s">
        <v>13</v>
      </c>
    </row>
    <row r="1079" spans="2:11" ht="22" x14ac:dyDescent="0.15">
      <c r="B1079" s="29" t="s">
        <v>1606</v>
      </c>
      <c r="C1079" s="29" t="s">
        <v>1607</v>
      </c>
      <c r="D1079"/>
      <c r="E1079" s="31">
        <f>SUMIFS(E1080:E3130,K1080:K3130,"0",B1080:B3130,"4 1 5 1 1 12 31111 6 M78 07000 151 00C 001 00051 015 1151100*")-SUMIFS(D1080:D3130,K1080:K3130,"0",B1080:B3130,"4 1 5 1 1 12 31111 6 M78 07000 151 00C 001 00051 015 1151100*")</f>
        <v>0</v>
      </c>
      <c r="F1079" s="31">
        <f>SUMIFS(F1080:F3130,K1080:K3130,"0",B1080:B3130,"4 1 5 1 1 12 31111 6 M78 07000 151 00C 001 00051 015 1151100*")</f>
        <v>0</v>
      </c>
      <c r="G1079" s="31">
        <f>SUMIFS(G1080:G3130,K1080:K3130,"0",B1080:B3130,"4 1 5 1 1 12 31111 6 M78 07000 151 00C 001 00051 015 1151100*")</f>
        <v>9818.8700000000008</v>
      </c>
      <c r="H1079" s="31"/>
      <c r="I1079" s="31">
        <f t="shared" si="17"/>
        <v>9818.8700000000008</v>
      </c>
      <c r="K1079" t="s">
        <v>13</v>
      </c>
    </row>
    <row r="1080" spans="2:11" ht="22" x14ac:dyDescent="0.15">
      <c r="B1080" s="29" t="s">
        <v>1608</v>
      </c>
      <c r="C1080" s="29" t="s">
        <v>275</v>
      </c>
      <c r="D1080"/>
      <c r="E1080" s="31">
        <f>SUMIFS(E1081:E3130,K1081:K3130,"0",B1081:B3130,"4 1 5 1 1 12 31111 6 M78 07000 151 00C 001 00051 015 1151100 2024*")-SUMIFS(D1081:D3130,K1081:K3130,"0",B1081:B3130,"4 1 5 1 1 12 31111 6 M78 07000 151 00C 001 00051 015 1151100 2024*")</f>
        <v>0</v>
      </c>
      <c r="F1080" s="31">
        <f>SUMIFS(F1081:F3130,K1081:K3130,"0",B1081:B3130,"4 1 5 1 1 12 31111 6 M78 07000 151 00C 001 00051 015 1151100 2024*")</f>
        <v>0</v>
      </c>
      <c r="G1080" s="31">
        <f>SUMIFS(G1081:G3130,K1081:K3130,"0",B1081:B3130,"4 1 5 1 1 12 31111 6 M78 07000 151 00C 001 00051 015 1151100 2024*")</f>
        <v>9818.8700000000008</v>
      </c>
      <c r="H1080" s="31"/>
      <c r="I1080" s="31">
        <f t="shared" si="17"/>
        <v>9818.8700000000008</v>
      </c>
      <c r="K1080" t="s">
        <v>13</v>
      </c>
    </row>
    <row r="1081" spans="2:11" ht="22" x14ac:dyDescent="0.15">
      <c r="B1081" s="29" t="s">
        <v>1609</v>
      </c>
      <c r="C1081" s="29" t="s">
        <v>277</v>
      </c>
      <c r="D1081"/>
      <c r="E1081" s="31">
        <f>SUMIFS(E1082:E3130,K1082:K3130,"0",B1082:B3130,"4 1 5 1 1 12 31111 6 M78 07000 151 00C 001 00051 015 1151100 2024 00000000*")-SUMIFS(D1082:D3130,K1082:K3130,"0",B1082:B3130,"4 1 5 1 1 12 31111 6 M78 07000 151 00C 001 00051 015 1151100 2024 00000000*")</f>
        <v>0</v>
      </c>
      <c r="F1081" s="31">
        <f>SUMIFS(F1082:F3130,K1082:K3130,"0",B1082:B3130,"4 1 5 1 1 12 31111 6 M78 07000 151 00C 001 00051 015 1151100 2024 00000000*")</f>
        <v>0</v>
      </c>
      <c r="G1081" s="31">
        <f>SUMIFS(G1082:G3130,K1082:K3130,"0",B1082:B3130,"4 1 5 1 1 12 31111 6 M78 07000 151 00C 001 00051 015 1151100 2024 00000000*")</f>
        <v>9818.8700000000008</v>
      </c>
      <c r="H1081" s="31"/>
      <c r="I1081" s="31">
        <f t="shared" si="17"/>
        <v>9818.8700000000008</v>
      </c>
      <c r="K1081" t="s">
        <v>13</v>
      </c>
    </row>
    <row r="1082" spans="2:11" ht="22" x14ac:dyDescent="0.15">
      <c r="B1082" s="29" t="s">
        <v>1610</v>
      </c>
      <c r="C1082" s="29" t="s">
        <v>32</v>
      </c>
      <c r="D1082"/>
      <c r="E1082" s="31">
        <f>SUMIFS(E1083:E3130,K1083:K3130,"0",B1083:B3130,"4 1 5 1 1 12 31111 6 M78 07000 151 00C 001 00051 015 1151100 2024 00000000 001*")-SUMIFS(D1083:D3130,K1083:K3130,"0",B1083:B3130,"4 1 5 1 1 12 31111 6 M78 07000 151 00C 001 00051 015 1151100 2024 00000000 001*")</f>
        <v>0</v>
      </c>
      <c r="F1082" s="31">
        <f>SUMIFS(F1083:F3130,K1083:K3130,"0",B1083:B3130,"4 1 5 1 1 12 31111 6 M78 07000 151 00C 001 00051 015 1151100 2024 00000000 001*")</f>
        <v>0</v>
      </c>
      <c r="G1082" s="31">
        <f>SUMIFS(G1083:G3130,K1083:K3130,"0",B1083:B3130,"4 1 5 1 1 12 31111 6 M78 07000 151 00C 001 00051 015 1151100 2024 00000000 001*")</f>
        <v>9818.8700000000008</v>
      </c>
      <c r="H1082" s="31"/>
      <c r="I1082" s="31">
        <f t="shared" si="17"/>
        <v>9818.8700000000008</v>
      </c>
      <c r="K1082" t="s">
        <v>13</v>
      </c>
    </row>
    <row r="1083" spans="2:11" ht="22" x14ac:dyDescent="0.15">
      <c r="B1083" s="27" t="s">
        <v>1611</v>
      </c>
      <c r="C1083" s="27" t="s">
        <v>1612</v>
      </c>
      <c r="D1083" s="30"/>
      <c r="E1083" s="30">
        <v>0</v>
      </c>
      <c r="F1083" s="30">
        <v>0</v>
      </c>
      <c r="G1083" s="30">
        <v>9818.8700000000008</v>
      </c>
      <c r="H1083" s="30"/>
      <c r="I1083" s="30">
        <f t="shared" si="17"/>
        <v>9818.8700000000008</v>
      </c>
      <c r="K1083" t="s">
        <v>37</v>
      </c>
    </row>
    <row r="1084" spans="2:11" ht="13" x14ac:dyDescent="0.15">
      <c r="B1084" s="29" t="s">
        <v>1613</v>
      </c>
      <c r="C1084" s="29" t="s">
        <v>812</v>
      </c>
      <c r="D1084"/>
      <c r="E1084" s="31">
        <f>SUMIFS(E1085:E3130,K1085:K3130,"0",B1085:B3130,"4 1 5 1 1 12 31111 6 M78 07000 151 00E*")-SUMIFS(D1085:D3130,K1085:K3130,"0",B1085:B3130,"4 1 5 1 1 12 31111 6 M78 07000 151 00E*")</f>
        <v>0</v>
      </c>
      <c r="F1084" s="31">
        <f>SUMIFS(F1085:F3130,K1085:K3130,"0",B1085:B3130,"4 1 5 1 1 12 31111 6 M78 07000 151 00E*")</f>
        <v>0</v>
      </c>
      <c r="G1084" s="31">
        <f>SUMIFS(G1085:G3130,K1085:K3130,"0",B1085:B3130,"4 1 5 1 1 12 31111 6 M78 07000 151 00E*")</f>
        <v>18078.04</v>
      </c>
      <c r="H1084" s="31"/>
      <c r="I1084" s="31">
        <f t="shared" si="17"/>
        <v>18078.04</v>
      </c>
      <c r="K1084" t="s">
        <v>13</v>
      </c>
    </row>
    <row r="1085" spans="2:11" ht="13" x14ac:dyDescent="0.15">
      <c r="B1085" s="29" t="s">
        <v>1614</v>
      </c>
      <c r="C1085" s="29" t="s">
        <v>32</v>
      </c>
      <c r="D1085"/>
      <c r="E1085" s="31">
        <f>SUMIFS(E1086:E3130,K1086:K3130,"0",B1086:B3130,"4 1 5 1 1 12 31111 6 M78 07000 151 00E 001*")-SUMIFS(D1086:D3130,K1086:K3130,"0",B1086:B3130,"4 1 5 1 1 12 31111 6 M78 07000 151 00E 001*")</f>
        <v>0</v>
      </c>
      <c r="F1085" s="31">
        <f>SUMIFS(F1086:F3130,K1086:K3130,"0",B1086:B3130,"4 1 5 1 1 12 31111 6 M78 07000 151 00E 001*")</f>
        <v>0</v>
      </c>
      <c r="G1085" s="31">
        <f>SUMIFS(G1086:G3130,K1086:K3130,"0",B1086:B3130,"4 1 5 1 1 12 31111 6 M78 07000 151 00E 001*")</f>
        <v>18078.04</v>
      </c>
      <c r="H1085" s="31"/>
      <c r="I1085" s="31">
        <f t="shared" si="17"/>
        <v>18078.04</v>
      </c>
      <c r="K1085" t="s">
        <v>13</v>
      </c>
    </row>
    <row r="1086" spans="2:11" ht="13" x14ac:dyDescent="0.15">
      <c r="B1086" s="29" t="s">
        <v>1615</v>
      </c>
      <c r="C1086" s="29" t="s">
        <v>198</v>
      </c>
      <c r="D1086"/>
      <c r="E1086" s="31">
        <f>SUMIFS(E1087:E3130,K1087:K3130,"0",B1087:B3130,"4 1 5 1 1 12 31111 6 M78 07000 151 00E 001 00051*")-SUMIFS(D1087:D3130,K1087:K3130,"0",B1087:B3130,"4 1 5 1 1 12 31111 6 M78 07000 151 00E 001 00051*")</f>
        <v>0</v>
      </c>
      <c r="F1086" s="31">
        <f>SUMIFS(F1087:F3130,K1087:K3130,"0",B1087:B3130,"4 1 5 1 1 12 31111 6 M78 07000 151 00E 001 00051*")</f>
        <v>0</v>
      </c>
      <c r="G1086" s="31">
        <f>SUMIFS(G1087:G3130,K1087:K3130,"0",B1087:B3130,"4 1 5 1 1 12 31111 6 M78 07000 151 00E 001 00051*")</f>
        <v>18078.04</v>
      </c>
      <c r="H1086" s="31"/>
      <c r="I1086" s="31">
        <f t="shared" si="17"/>
        <v>18078.04</v>
      </c>
      <c r="K1086" t="s">
        <v>13</v>
      </c>
    </row>
    <row r="1087" spans="2:11" ht="22" x14ac:dyDescent="0.15">
      <c r="B1087" s="29" t="s">
        <v>1616</v>
      </c>
      <c r="C1087" s="29" t="s">
        <v>816</v>
      </c>
      <c r="D1087"/>
      <c r="E1087" s="31">
        <f>SUMIFS(E1088:E3130,K1088:K3130,"0",B1088:B3130,"4 1 5 1 1 12 31111 6 M78 07000 151 00E 001 00051 011*")-SUMIFS(D1088:D3130,K1088:K3130,"0",B1088:B3130,"4 1 5 1 1 12 31111 6 M78 07000 151 00E 001 00051 011*")</f>
        <v>0</v>
      </c>
      <c r="F1087" s="31">
        <f>SUMIFS(F1088:F3130,K1088:K3130,"0",B1088:B3130,"4 1 5 1 1 12 31111 6 M78 07000 151 00E 001 00051 011*")</f>
        <v>0</v>
      </c>
      <c r="G1087" s="31">
        <f>SUMIFS(G1088:G3130,K1088:K3130,"0",B1088:B3130,"4 1 5 1 1 12 31111 6 M78 07000 151 00E 001 00051 011*")</f>
        <v>18078.04</v>
      </c>
      <c r="H1087" s="31"/>
      <c r="I1087" s="31">
        <f t="shared" si="17"/>
        <v>18078.04</v>
      </c>
      <c r="K1087" t="s">
        <v>13</v>
      </c>
    </row>
    <row r="1088" spans="2:11" ht="22" x14ac:dyDescent="0.15">
      <c r="B1088" s="29" t="s">
        <v>1617</v>
      </c>
      <c r="C1088" s="29" t="s">
        <v>1618</v>
      </c>
      <c r="D1088"/>
      <c r="E1088" s="31">
        <f>SUMIFS(E1089:E3130,K1089:K3130,"0",B1089:B3130,"4 1 5 1 1 12 31111 6 M78 07000 151 00E 001 00051 011 1142000*")-SUMIFS(D1089:D3130,K1089:K3130,"0",B1089:B3130,"4 1 5 1 1 12 31111 6 M78 07000 151 00E 001 00051 011 1142000*")</f>
        <v>0</v>
      </c>
      <c r="F1088" s="31">
        <f>SUMIFS(F1089:F3130,K1089:K3130,"0",B1089:B3130,"4 1 5 1 1 12 31111 6 M78 07000 151 00E 001 00051 011 1142000*")</f>
        <v>0</v>
      </c>
      <c r="G1088" s="31">
        <f>SUMIFS(G1089:G3130,K1089:K3130,"0",B1089:B3130,"4 1 5 1 1 12 31111 6 M78 07000 151 00E 001 00051 011 1142000*")</f>
        <v>18078.04</v>
      </c>
      <c r="H1088" s="31"/>
      <c r="I1088" s="31">
        <f t="shared" si="17"/>
        <v>18078.04</v>
      </c>
      <c r="K1088" t="s">
        <v>13</v>
      </c>
    </row>
    <row r="1089" spans="2:11" ht="22" x14ac:dyDescent="0.15">
      <c r="B1089" s="29" t="s">
        <v>1619</v>
      </c>
      <c r="C1089" s="29" t="s">
        <v>275</v>
      </c>
      <c r="D1089"/>
      <c r="E1089" s="31">
        <f>SUMIFS(E1090:E3130,K1090:K3130,"0",B1090:B3130,"4 1 5 1 1 12 31111 6 M78 07000 151 00E 001 00051 011 1142000 2024*")-SUMIFS(D1090:D3130,K1090:K3130,"0",B1090:B3130,"4 1 5 1 1 12 31111 6 M78 07000 151 00E 001 00051 011 1142000 2024*")</f>
        <v>0</v>
      </c>
      <c r="F1089" s="31">
        <f>SUMIFS(F1090:F3130,K1090:K3130,"0",B1090:B3130,"4 1 5 1 1 12 31111 6 M78 07000 151 00E 001 00051 011 1142000 2024*")</f>
        <v>0</v>
      </c>
      <c r="G1089" s="31">
        <f>SUMIFS(G1090:G3130,K1090:K3130,"0",B1090:B3130,"4 1 5 1 1 12 31111 6 M78 07000 151 00E 001 00051 011 1142000 2024*")</f>
        <v>18078.04</v>
      </c>
      <c r="H1089" s="31"/>
      <c r="I1089" s="31">
        <f t="shared" si="17"/>
        <v>18078.04</v>
      </c>
      <c r="K1089" t="s">
        <v>13</v>
      </c>
    </row>
    <row r="1090" spans="2:11" ht="22" x14ac:dyDescent="0.15">
      <c r="B1090" s="29" t="s">
        <v>1620</v>
      </c>
      <c r="C1090" s="29" t="s">
        <v>277</v>
      </c>
      <c r="D1090"/>
      <c r="E1090" s="31">
        <f>SUMIFS(E1091:E3130,K1091:K3130,"0",B1091:B3130,"4 1 5 1 1 12 31111 6 M78 07000 151 00E 001 00051 011 1142000 2024 00000000*")-SUMIFS(D1091:D3130,K1091:K3130,"0",B1091:B3130,"4 1 5 1 1 12 31111 6 M78 07000 151 00E 001 00051 011 1142000 2024 00000000*")</f>
        <v>0</v>
      </c>
      <c r="F1090" s="31">
        <f>SUMIFS(F1091:F3130,K1091:K3130,"0",B1091:B3130,"4 1 5 1 1 12 31111 6 M78 07000 151 00E 001 00051 011 1142000 2024 00000000*")</f>
        <v>0</v>
      </c>
      <c r="G1090" s="31">
        <f>SUMIFS(G1091:G3130,K1091:K3130,"0",B1091:B3130,"4 1 5 1 1 12 31111 6 M78 07000 151 00E 001 00051 011 1142000 2024 00000000*")</f>
        <v>18078.04</v>
      </c>
      <c r="H1090" s="31"/>
      <c r="I1090" s="31">
        <f t="shared" si="17"/>
        <v>18078.04</v>
      </c>
      <c r="K1090" t="s">
        <v>13</v>
      </c>
    </row>
    <row r="1091" spans="2:11" ht="22" x14ac:dyDescent="0.15">
      <c r="B1091" s="29" t="s">
        <v>1621</v>
      </c>
      <c r="C1091" s="29" t="s">
        <v>1579</v>
      </c>
      <c r="D1091"/>
      <c r="E1091" s="31">
        <f>SUMIFS(E1092:E3130,K1092:K3130,"0",B1092:B3130,"4 1 5 1 1 12 31111 6 M78 07000 151 00E 001 00051 011 1142000 2024 00000000 005*")-SUMIFS(D1092:D3130,K1092:K3130,"0",B1092:B3130,"4 1 5 1 1 12 31111 6 M78 07000 151 00E 001 00051 011 1142000 2024 00000000 005*")</f>
        <v>0</v>
      </c>
      <c r="F1091" s="31">
        <f>SUMIFS(F1092:F3130,K1092:K3130,"0",B1092:B3130,"4 1 5 1 1 12 31111 6 M78 07000 151 00E 001 00051 011 1142000 2024 00000000 005*")</f>
        <v>0</v>
      </c>
      <c r="G1091" s="31">
        <f>SUMIFS(G1092:G3130,K1092:K3130,"0",B1092:B3130,"4 1 5 1 1 12 31111 6 M78 07000 151 00E 001 00051 011 1142000 2024 00000000 005*")</f>
        <v>18078.04</v>
      </c>
      <c r="H1091" s="31"/>
      <c r="I1091" s="31">
        <f t="shared" si="17"/>
        <v>18078.04</v>
      </c>
      <c r="K1091" t="s">
        <v>13</v>
      </c>
    </row>
    <row r="1092" spans="2:11" ht="22" x14ac:dyDescent="0.15">
      <c r="B1092" s="27" t="s">
        <v>1622</v>
      </c>
      <c r="C1092" s="27" t="s">
        <v>1623</v>
      </c>
      <c r="D1092" s="30"/>
      <c r="E1092" s="30">
        <v>0</v>
      </c>
      <c r="F1092" s="30">
        <v>0</v>
      </c>
      <c r="G1092" s="30">
        <v>18078.04</v>
      </c>
      <c r="H1092" s="30"/>
      <c r="I1092" s="30">
        <f t="shared" si="17"/>
        <v>18078.04</v>
      </c>
      <c r="K1092" t="s">
        <v>37</v>
      </c>
    </row>
    <row r="1093" spans="2:11" ht="13" x14ac:dyDescent="0.15">
      <c r="B1093" s="29" t="s">
        <v>1624</v>
      </c>
      <c r="C1093" s="29" t="s">
        <v>261</v>
      </c>
      <c r="D1093"/>
      <c r="E1093" s="31">
        <f>SUMIFS(E1094:E3130,K1094:K3130,"0",B1094:B3130,"4 1 5 1 1 12 31111 6 M78 10000*")-SUMIFS(D1094:D3130,K1094:K3130,"0",B1094:B3130,"4 1 5 1 1 12 31111 6 M78 10000*")</f>
        <v>0</v>
      </c>
      <c r="F1093" s="31">
        <f>SUMIFS(F1094:F3130,K1094:K3130,"0",B1094:B3130,"4 1 5 1 1 12 31111 6 M78 10000*")</f>
        <v>0</v>
      </c>
      <c r="G1093" s="31">
        <f>SUMIFS(G1094:G3130,K1094:K3130,"0",B1094:B3130,"4 1 5 1 1 12 31111 6 M78 10000*")</f>
        <v>526283.67000000004</v>
      </c>
      <c r="H1093" s="31"/>
      <c r="I1093" s="31">
        <f t="shared" si="17"/>
        <v>526283.67000000004</v>
      </c>
      <c r="K1093" t="s">
        <v>13</v>
      </c>
    </row>
    <row r="1094" spans="2:11" ht="13" x14ac:dyDescent="0.15">
      <c r="B1094" s="29" t="s">
        <v>1625</v>
      </c>
      <c r="C1094" s="29" t="s">
        <v>283</v>
      </c>
      <c r="D1094"/>
      <c r="E1094" s="31">
        <f>SUMIFS(E1095:E3130,K1095:K3130,"0",B1095:B3130,"4 1 5 1 1 12 31111 6 M78 10000 222*")-SUMIFS(D1095:D3130,K1095:K3130,"0",B1095:B3130,"4 1 5 1 1 12 31111 6 M78 10000 222*")</f>
        <v>0</v>
      </c>
      <c r="F1094" s="31">
        <f>SUMIFS(F1095:F3130,K1095:K3130,"0",B1095:B3130,"4 1 5 1 1 12 31111 6 M78 10000 222*")</f>
        <v>0</v>
      </c>
      <c r="G1094" s="31">
        <f>SUMIFS(G1095:G3130,K1095:K3130,"0",B1095:B3130,"4 1 5 1 1 12 31111 6 M78 10000 222*")</f>
        <v>526283.67000000004</v>
      </c>
      <c r="H1094" s="31"/>
      <c r="I1094" s="31">
        <f t="shared" si="17"/>
        <v>526283.67000000004</v>
      </c>
      <c r="K1094" t="s">
        <v>13</v>
      </c>
    </row>
    <row r="1095" spans="2:11" ht="13" x14ac:dyDescent="0.15">
      <c r="B1095" s="29" t="s">
        <v>1626</v>
      </c>
      <c r="C1095" s="29" t="s">
        <v>285</v>
      </c>
      <c r="D1095"/>
      <c r="E1095" s="31">
        <f>SUMIFS(E1096:E3130,K1096:K3130,"0",B1096:B3130,"4 1 5 1 1 12 31111 6 M78 10000 222 00I*")-SUMIFS(D1096:D3130,K1096:K3130,"0",B1096:B3130,"4 1 5 1 1 12 31111 6 M78 10000 222 00I*")</f>
        <v>0</v>
      </c>
      <c r="F1095" s="31">
        <f>SUMIFS(F1096:F3130,K1096:K3130,"0",B1096:B3130,"4 1 5 1 1 12 31111 6 M78 10000 222 00I*")</f>
        <v>0</v>
      </c>
      <c r="G1095" s="31">
        <f>SUMIFS(G1096:G3130,K1096:K3130,"0",B1096:B3130,"4 1 5 1 1 12 31111 6 M78 10000 222 00I*")</f>
        <v>526283.67000000004</v>
      </c>
      <c r="H1095" s="31"/>
      <c r="I1095" s="31">
        <f t="shared" si="17"/>
        <v>526283.67000000004</v>
      </c>
      <c r="K1095" t="s">
        <v>13</v>
      </c>
    </row>
    <row r="1096" spans="2:11" ht="13" x14ac:dyDescent="0.15">
      <c r="B1096" s="29" t="s">
        <v>1627</v>
      </c>
      <c r="C1096" s="29" t="s">
        <v>32</v>
      </c>
      <c r="D1096"/>
      <c r="E1096" s="31">
        <f>SUMIFS(E1097:E3130,K1097:K3130,"0",B1097:B3130,"4 1 5 1 1 12 31111 6 M78 10000 222 00I 001*")-SUMIFS(D1097:D3130,K1097:K3130,"0",B1097:B3130,"4 1 5 1 1 12 31111 6 M78 10000 222 00I 001*")</f>
        <v>0</v>
      </c>
      <c r="F1096" s="31">
        <f>SUMIFS(F1097:F3130,K1097:K3130,"0",B1097:B3130,"4 1 5 1 1 12 31111 6 M78 10000 222 00I 001*")</f>
        <v>0</v>
      </c>
      <c r="G1096" s="31">
        <f>SUMIFS(G1097:G3130,K1097:K3130,"0",B1097:B3130,"4 1 5 1 1 12 31111 6 M78 10000 222 00I 001*")</f>
        <v>526283.67000000004</v>
      </c>
      <c r="H1096" s="31"/>
      <c r="I1096" s="31">
        <f t="shared" si="17"/>
        <v>526283.67000000004</v>
      </c>
      <c r="K1096" t="s">
        <v>13</v>
      </c>
    </row>
    <row r="1097" spans="2:11" ht="13" x14ac:dyDescent="0.15">
      <c r="B1097" s="29" t="s">
        <v>1628</v>
      </c>
      <c r="C1097" s="29" t="s">
        <v>198</v>
      </c>
      <c r="D1097"/>
      <c r="E1097" s="31">
        <f>SUMIFS(E1098:E3130,K1098:K3130,"0",B1098:B3130,"4 1 5 1 1 12 31111 6 M78 10000 222 00I 001 00051*")-SUMIFS(D1098:D3130,K1098:K3130,"0",B1098:B3130,"4 1 5 1 1 12 31111 6 M78 10000 222 00I 001 00051*")</f>
        <v>0</v>
      </c>
      <c r="F1097" s="31">
        <f>SUMIFS(F1098:F3130,K1098:K3130,"0",B1098:B3130,"4 1 5 1 1 12 31111 6 M78 10000 222 00I 001 00051*")</f>
        <v>0</v>
      </c>
      <c r="G1097" s="31">
        <f>SUMIFS(G1098:G3130,K1098:K3130,"0",B1098:B3130,"4 1 5 1 1 12 31111 6 M78 10000 222 00I 001 00051*")</f>
        <v>526283.67000000004</v>
      </c>
      <c r="H1097" s="31"/>
      <c r="I1097" s="31">
        <f t="shared" si="17"/>
        <v>526283.67000000004</v>
      </c>
      <c r="K1097" t="s">
        <v>13</v>
      </c>
    </row>
    <row r="1098" spans="2:11" ht="22" x14ac:dyDescent="0.15">
      <c r="B1098" s="29" t="s">
        <v>1629</v>
      </c>
      <c r="C1098" s="29" t="s">
        <v>290</v>
      </c>
      <c r="D1098"/>
      <c r="E1098" s="31">
        <f>SUMIFS(E1099:E3130,K1099:K3130,"0",B1099:B3130,"4 1 5 1 1 12 31111 6 M78 10000 222 00I 001 00051 025*")-SUMIFS(D1099:D3130,K1099:K3130,"0",B1099:B3130,"4 1 5 1 1 12 31111 6 M78 10000 222 00I 001 00051 025*")</f>
        <v>0</v>
      </c>
      <c r="F1098" s="31">
        <f>SUMIFS(F1099:F3130,K1099:K3130,"0",B1099:B3130,"4 1 5 1 1 12 31111 6 M78 10000 222 00I 001 00051 025*")</f>
        <v>0</v>
      </c>
      <c r="G1098" s="31">
        <f>SUMIFS(G1099:G3130,K1099:K3130,"0",B1099:B3130,"4 1 5 1 1 12 31111 6 M78 10000 222 00I 001 00051 025*")</f>
        <v>526283.67000000004</v>
      </c>
      <c r="H1098" s="31"/>
      <c r="I1098" s="31">
        <f t="shared" si="17"/>
        <v>526283.67000000004</v>
      </c>
      <c r="K1098" t="s">
        <v>13</v>
      </c>
    </row>
    <row r="1099" spans="2:11" ht="22" x14ac:dyDescent="0.15">
      <c r="B1099" s="29" t="s">
        <v>1630</v>
      </c>
      <c r="C1099" s="29" t="s">
        <v>1607</v>
      </c>
      <c r="D1099"/>
      <c r="E1099" s="31">
        <f>SUMIFS(E1100:E3130,K1100:K3130,"0",B1100:B3130,"4 1 5 1 1 12 31111 6 M78 10000 222 00I 001 00051 025 1151100*")-SUMIFS(D1100:D3130,K1100:K3130,"0",B1100:B3130,"4 1 5 1 1 12 31111 6 M78 10000 222 00I 001 00051 025 1151100*")</f>
        <v>0</v>
      </c>
      <c r="F1099" s="31">
        <f>SUMIFS(F1100:F3130,K1100:K3130,"0",B1100:B3130,"4 1 5 1 1 12 31111 6 M78 10000 222 00I 001 00051 025 1151100*")</f>
        <v>0</v>
      </c>
      <c r="G1099" s="31">
        <f>SUMIFS(G1100:G3130,K1100:K3130,"0",B1100:B3130,"4 1 5 1 1 12 31111 6 M78 10000 222 00I 001 00051 025 1151100*")</f>
        <v>526283.67000000004</v>
      </c>
      <c r="H1099" s="31"/>
      <c r="I1099" s="31">
        <f t="shared" si="17"/>
        <v>526283.67000000004</v>
      </c>
      <c r="K1099" t="s">
        <v>13</v>
      </c>
    </row>
    <row r="1100" spans="2:11" ht="22" x14ac:dyDescent="0.15">
      <c r="B1100" s="29" t="s">
        <v>1631</v>
      </c>
      <c r="C1100" s="29" t="s">
        <v>275</v>
      </c>
      <c r="D1100"/>
      <c r="E1100" s="31">
        <f>SUMIFS(E1101:E3130,K1101:K3130,"0",B1101:B3130,"4 1 5 1 1 12 31111 6 M78 10000 222 00I 001 00051 025 1151100 2024*")-SUMIFS(D1101:D3130,K1101:K3130,"0",B1101:B3130,"4 1 5 1 1 12 31111 6 M78 10000 222 00I 001 00051 025 1151100 2024*")</f>
        <v>0</v>
      </c>
      <c r="F1100" s="31">
        <f>SUMIFS(F1101:F3130,K1101:K3130,"0",B1101:B3130,"4 1 5 1 1 12 31111 6 M78 10000 222 00I 001 00051 025 1151100 2024*")</f>
        <v>0</v>
      </c>
      <c r="G1100" s="31">
        <f>SUMIFS(G1101:G3130,K1101:K3130,"0",B1101:B3130,"4 1 5 1 1 12 31111 6 M78 10000 222 00I 001 00051 025 1151100 2024*")</f>
        <v>526283.67000000004</v>
      </c>
      <c r="H1100" s="31"/>
      <c r="I1100" s="31">
        <f t="shared" si="17"/>
        <v>526283.67000000004</v>
      </c>
      <c r="K1100" t="s">
        <v>13</v>
      </c>
    </row>
    <row r="1101" spans="2:11" ht="22" x14ac:dyDescent="0.15">
      <c r="B1101" s="29" t="s">
        <v>1632</v>
      </c>
      <c r="C1101" s="29" t="s">
        <v>277</v>
      </c>
      <c r="D1101"/>
      <c r="E1101" s="31">
        <f>SUMIFS(E1102:E3130,K1102:K3130,"0",B1102:B3130,"4 1 5 1 1 12 31111 6 M78 10000 222 00I 001 00051 025 1151100 2024 00000000*")-SUMIFS(D1102:D3130,K1102:K3130,"0",B1102:B3130,"4 1 5 1 1 12 31111 6 M78 10000 222 00I 001 00051 025 1151100 2024 00000000*")</f>
        <v>0</v>
      </c>
      <c r="F1101" s="31">
        <f>SUMIFS(F1102:F3130,K1102:K3130,"0",B1102:B3130,"4 1 5 1 1 12 31111 6 M78 10000 222 00I 001 00051 025 1151100 2024 00000000*")</f>
        <v>0</v>
      </c>
      <c r="G1101" s="31">
        <f>SUMIFS(G1102:G3130,K1102:K3130,"0",B1102:B3130,"4 1 5 1 1 12 31111 6 M78 10000 222 00I 001 00051 025 1151100 2024 00000000*")</f>
        <v>526283.67000000004</v>
      </c>
      <c r="H1101" s="31"/>
      <c r="I1101" s="31">
        <f t="shared" si="17"/>
        <v>526283.67000000004</v>
      </c>
      <c r="K1101" t="s">
        <v>13</v>
      </c>
    </row>
    <row r="1102" spans="2:11" ht="22" x14ac:dyDescent="0.15">
      <c r="B1102" s="29" t="s">
        <v>1633</v>
      </c>
      <c r="C1102" s="29" t="s">
        <v>295</v>
      </c>
      <c r="D1102"/>
      <c r="E1102" s="31">
        <f>SUMIFS(E1103:E3130,K1103:K3130,"0",B1103:B3130,"4 1 5 1 1 12 31111 6 M78 10000 222 00I 001 00051 025 1151100 2024 00000000 002*")-SUMIFS(D1103:D3130,K1103:K3130,"0",B1103:B3130,"4 1 5 1 1 12 31111 6 M78 10000 222 00I 001 00051 025 1151100 2024 00000000 002*")</f>
        <v>0</v>
      </c>
      <c r="F1102" s="31">
        <f>SUMIFS(F1103:F3130,K1103:K3130,"0",B1103:B3130,"4 1 5 1 1 12 31111 6 M78 10000 222 00I 001 00051 025 1151100 2024 00000000 002*")</f>
        <v>0</v>
      </c>
      <c r="G1102" s="31">
        <f>SUMIFS(G1103:G3130,K1103:K3130,"0",B1103:B3130,"4 1 5 1 1 12 31111 6 M78 10000 222 00I 001 00051 025 1151100 2024 00000000 002*")</f>
        <v>526283.67000000004</v>
      </c>
      <c r="H1102" s="31"/>
      <c r="I1102" s="31">
        <f t="shared" si="17"/>
        <v>526283.67000000004</v>
      </c>
      <c r="K1102" t="s">
        <v>13</v>
      </c>
    </row>
    <row r="1103" spans="2:11" ht="22" x14ac:dyDescent="0.15">
      <c r="B1103" s="27" t="s">
        <v>1634</v>
      </c>
      <c r="C1103" s="27" t="s">
        <v>1612</v>
      </c>
      <c r="D1103" s="30"/>
      <c r="E1103" s="30">
        <v>0</v>
      </c>
      <c r="F1103" s="30">
        <v>0</v>
      </c>
      <c r="G1103" s="30">
        <v>526283.67000000004</v>
      </c>
      <c r="H1103" s="30"/>
      <c r="I1103" s="30">
        <f t="shared" si="17"/>
        <v>526283.67000000004</v>
      </c>
      <c r="K1103" t="s">
        <v>37</v>
      </c>
    </row>
    <row r="1104" spans="2:11" ht="13" x14ac:dyDescent="0.15">
      <c r="B1104" s="29" t="s">
        <v>1635</v>
      </c>
      <c r="C1104" s="29" t="s">
        <v>833</v>
      </c>
      <c r="D1104"/>
      <c r="E1104" s="31">
        <f>SUMIFS(E1105:E3130,K1105:K3130,"0",B1105:B3130,"4 1 5 1 1 12 31111 6 M78 15000*")-SUMIFS(D1105:D3130,K1105:K3130,"0",B1105:B3130,"4 1 5 1 1 12 31111 6 M78 15000*")</f>
        <v>0</v>
      </c>
      <c r="F1104" s="31">
        <f>SUMIFS(F1105:F3130,K1105:K3130,"0",B1105:B3130,"4 1 5 1 1 12 31111 6 M78 15000*")</f>
        <v>0</v>
      </c>
      <c r="G1104" s="31">
        <f>SUMIFS(G1105:G3130,K1105:K3130,"0",B1105:B3130,"4 1 5 1 1 12 31111 6 M78 15000*")</f>
        <v>16436.84</v>
      </c>
      <c r="H1104" s="31"/>
      <c r="I1104" s="31">
        <f t="shared" si="17"/>
        <v>16436.84</v>
      </c>
      <c r="K1104" t="s">
        <v>13</v>
      </c>
    </row>
    <row r="1105" spans="2:11" ht="13" x14ac:dyDescent="0.15">
      <c r="B1105" s="29" t="s">
        <v>1636</v>
      </c>
      <c r="C1105" s="29" t="s">
        <v>835</v>
      </c>
      <c r="D1105"/>
      <c r="E1105" s="31">
        <f>SUMIFS(E1106:E3130,K1106:K3130,"0",B1106:B3130,"4 1 5 1 1 12 31111 6 M78 15000 171*")-SUMIFS(D1106:D3130,K1106:K3130,"0",B1106:B3130,"4 1 5 1 1 12 31111 6 M78 15000 171*")</f>
        <v>0</v>
      </c>
      <c r="F1105" s="31">
        <f>SUMIFS(F1106:F3130,K1106:K3130,"0",B1106:B3130,"4 1 5 1 1 12 31111 6 M78 15000 171*")</f>
        <v>0</v>
      </c>
      <c r="G1105" s="31">
        <f>SUMIFS(G1106:G3130,K1106:K3130,"0",B1106:B3130,"4 1 5 1 1 12 31111 6 M78 15000 171*")</f>
        <v>16436.84</v>
      </c>
      <c r="H1105" s="31"/>
      <c r="I1105" s="31">
        <f t="shared" si="17"/>
        <v>16436.84</v>
      </c>
      <c r="K1105" t="s">
        <v>13</v>
      </c>
    </row>
    <row r="1106" spans="2:11" ht="13" x14ac:dyDescent="0.15">
      <c r="B1106" s="29" t="s">
        <v>1637</v>
      </c>
      <c r="C1106" s="29" t="s">
        <v>285</v>
      </c>
      <c r="D1106"/>
      <c r="E1106" s="31">
        <f>SUMIFS(E1107:E3130,K1107:K3130,"0",B1107:B3130,"4 1 5 1 1 12 31111 6 M78 15000 171 00I*")-SUMIFS(D1107:D3130,K1107:K3130,"0",B1107:B3130,"4 1 5 1 1 12 31111 6 M78 15000 171 00I*")</f>
        <v>0</v>
      </c>
      <c r="F1106" s="31">
        <f>SUMIFS(F1107:F3130,K1107:K3130,"0",B1107:B3130,"4 1 5 1 1 12 31111 6 M78 15000 171 00I*")</f>
        <v>0</v>
      </c>
      <c r="G1106" s="31">
        <f>SUMIFS(G1107:G3130,K1107:K3130,"0",B1107:B3130,"4 1 5 1 1 12 31111 6 M78 15000 171 00I*")</f>
        <v>16436.84</v>
      </c>
      <c r="H1106" s="31"/>
      <c r="I1106" s="31">
        <f t="shared" si="17"/>
        <v>16436.84</v>
      </c>
      <c r="K1106" t="s">
        <v>13</v>
      </c>
    </row>
    <row r="1107" spans="2:11" ht="13" x14ac:dyDescent="0.15">
      <c r="B1107" s="29" t="s">
        <v>1638</v>
      </c>
      <c r="C1107" s="29" t="s">
        <v>32</v>
      </c>
      <c r="D1107"/>
      <c r="E1107" s="31">
        <f>SUMIFS(E1108:E3130,K1108:K3130,"0",B1108:B3130,"4 1 5 1 1 12 31111 6 M78 15000 171 00I 001*")-SUMIFS(D1108:D3130,K1108:K3130,"0",B1108:B3130,"4 1 5 1 1 12 31111 6 M78 15000 171 00I 001*")</f>
        <v>0</v>
      </c>
      <c r="F1107" s="31">
        <f>SUMIFS(F1108:F3130,K1108:K3130,"0",B1108:B3130,"4 1 5 1 1 12 31111 6 M78 15000 171 00I 001*")</f>
        <v>0</v>
      </c>
      <c r="G1107" s="31">
        <f>SUMIFS(G1108:G3130,K1108:K3130,"0",B1108:B3130,"4 1 5 1 1 12 31111 6 M78 15000 171 00I 001*")</f>
        <v>16436.84</v>
      </c>
      <c r="H1107" s="31"/>
      <c r="I1107" s="31">
        <f t="shared" si="17"/>
        <v>16436.84</v>
      </c>
      <c r="K1107" t="s">
        <v>13</v>
      </c>
    </row>
    <row r="1108" spans="2:11" ht="13" x14ac:dyDescent="0.15">
      <c r="B1108" s="29" t="s">
        <v>1639</v>
      </c>
      <c r="C1108" s="29" t="s">
        <v>198</v>
      </c>
      <c r="D1108"/>
      <c r="E1108" s="31">
        <f>SUMIFS(E1109:E3130,K1109:K3130,"0",B1109:B3130,"4 1 5 1 1 12 31111 6 M78 15000 171 00I 001 00051*")-SUMIFS(D1109:D3130,K1109:K3130,"0",B1109:B3130,"4 1 5 1 1 12 31111 6 M78 15000 171 00I 001 00051*")</f>
        <v>0</v>
      </c>
      <c r="F1108" s="31">
        <f>SUMIFS(F1109:F3130,K1109:K3130,"0",B1109:B3130,"4 1 5 1 1 12 31111 6 M78 15000 171 00I 001 00051*")</f>
        <v>0</v>
      </c>
      <c r="G1108" s="31">
        <f>SUMIFS(G1109:G3130,K1109:K3130,"0",B1109:B3130,"4 1 5 1 1 12 31111 6 M78 15000 171 00I 001 00051*")</f>
        <v>16436.84</v>
      </c>
      <c r="H1108" s="31"/>
      <c r="I1108" s="31">
        <f t="shared" si="17"/>
        <v>16436.84</v>
      </c>
      <c r="K1108" t="s">
        <v>13</v>
      </c>
    </row>
    <row r="1109" spans="2:11" ht="22" x14ac:dyDescent="0.15">
      <c r="B1109" s="29" t="s">
        <v>1640</v>
      </c>
      <c r="C1109" s="29" t="s">
        <v>290</v>
      </c>
      <c r="D1109"/>
      <c r="E1109" s="31">
        <f>SUMIFS(E1110:E3130,K1110:K3130,"0",B1110:B3130,"4 1 5 1 1 12 31111 6 M78 15000 171 00I 001 00051 025*")-SUMIFS(D1110:D3130,K1110:K3130,"0",B1110:B3130,"4 1 5 1 1 12 31111 6 M78 15000 171 00I 001 00051 025*")</f>
        <v>0</v>
      </c>
      <c r="F1109" s="31">
        <f>SUMIFS(F1110:F3130,K1110:K3130,"0",B1110:B3130,"4 1 5 1 1 12 31111 6 M78 15000 171 00I 001 00051 025*")</f>
        <v>0</v>
      </c>
      <c r="G1109" s="31">
        <f>SUMIFS(G1110:G3130,K1110:K3130,"0",B1110:B3130,"4 1 5 1 1 12 31111 6 M78 15000 171 00I 001 00051 025*")</f>
        <v>16436.84</v>
      </c>
      <c r="H1109" s="31"/>
      <c r="I1109" s="31">
        <f t="shared" si="17"/>
        <v>16436.84</v>
      </c>
      <c r="K1109" t="s">
        <v>13</v>
      </c>
    </row>
    <row r="1110" spans="2:11" ht="22" x14ac:dyDescent="0.15">
      <c r="B1110" s="29" t="s">
        <v>1641</v>
      </c>
      <c r="C1110" s="29" t="s">
        <v>1607</v>
      </c>
      <c r="D1110"/>
      <c r="E1110" s="31">
        <f>SUMIFS(E1111:E3130,K1111:K3130,"0",B1111:B3130,"4 1 5 1 1 12 31111 6 M78 15000 171 00I 001 00051 025 1151100*")-SUMIFS(D1111:D3130,K1111:K3130,"0",B1111:B3130,"4 1 5 1 1 12 31111 6 M78 15000 171 00I 001 00051 025 1151100*")</f>
        <v>0</v>
      </c>
      <c r="F1110" s="31">
        <f>SUMIFS(F1111:F3130,K1111:K3130,"0",B1111:B3130,"4 1 5 1 1 12 31111 6 M78 15000 171 00I 001 00051 025 1151100*")</f>
        <v>0</v>
      </c>
      <c r="G1110" s="31">
        <f>SUMIFS(G1111:G3130,K1111:K3130,"0",B1111:B3130,"4 1 5 1 1 12 31111 6 M78 15000 171 00I 001 00051 025 1151100*")</f>
        <v>16436.84</v>
      </c>
      <c r="H1110" s="31"/>
      <c r="I1110" s="31">
        <f t="shared" si="17"/>
        <v>16436.84</v>
      </c>
      <c r="K1110" t="s">
        <v>13</v>
      </c>
    </row>
    <row r="1111" spans="2:11" ht="22" x14ac:dyDescent="0.15">
      <c r="B1111" s="29" t="s">
        <v>1642</v>
      </c>
      <c r="C1111" s="29" t="s">
        <v>275</v>
      </c>
      <c r="D1111"/>
      <c r="E1111" s="31">
        <f>SUMIFS(E1112:E3130,K1112:K3130,"0",B1112:B3130,"4 1 5 1 1 12 31111 6 M78 15000 171 00I 001 00051 025 1151100 2024*")-SUMIFS(D1112:D3130,K1112:K3130,"0",B1112:B3130,"4 1 5 1 1 12 31111 6 M78 15000 171 00I 001 00051 025 1151100 2024*")</f>
        <v>0</v>
      </c>
      <c r="F1111" s="31">
        <f>SUMIFS(F1112:F3130,K1112:K3130,"0",B1112:B3130,"4 1 5 1 1 12 31111 6 M78 15000 171 00I 001 00051 025 1151100 2024*")</f>
        <v>0</v>
      </c>
      <c r="G1111" s="31">
        <f>SUMIFS(G1112:G3130,K1112:K3130,"0",B1112:B3130,"4 1 5 1 1 12 31111 6 M78 15000 171 00I 001 00051 025 1151100 2024*")</f>
        <v>16436.84</v>
      </c>
      <c r="H1111" s="31"/>
      <c r="I1111" s="31">
        <f t="shared" si="17"/>
        <v>16436.84</v>
      </c>
      <c r="K1111" t="s">
        <v>13</v>
      </c>
    </row>
    <row r="1112" spans="2:11" ht="22" x14ac:dyDescent="0.15">
      <c r="B1112" s="29" t="s">
        <v>1643</v>
      </c>
      <c r="C1112" s="29" t="s">
        <v>277</v>
      </c>
      <c r="D1112"/>
      <c r="E1112" s="31">
        <f>SUMIFS(E1113:E3130,K1113:K3130,"0",B1113:B3130,"4 1 5 1 1 12 31111 6 M78 15000 171 00I 001 00051 025 1151100 2024 00000000*")-SUMIFS(D1113:D3130,K1113:K3130,"0",B1113:B3130,"4 1 5 1 1 12 31111 6 M78 15000 171 00I 001 00051 025 1151100 2024 00000000*")</f>
        <v>0</v>
      </c>
      <c r="F1112" s="31">
        <f>SUMIFS(F1113:F3130,K1113:K3130,"0",B1113:B3130,"4 1 5 1 1 12 31111 6 M78 15000 171 00I 001 00051 025 1151100 2024 00000000*")</f>
        <v>0</v>
      </c>
      <c r="G1112" s="31">
        <f>SUMIFS(G1113:G3130,K1113:K3130,"0",B1113:B3130,"4 1 5 1 1 12 31111 6 M78 15000 171 00I 001 00051 025 1151100 2024 00000000*")</f>
        <v>16436.84</v>
      </c>
      <c r="H1112" s="31"/>
      <c r="I1112" s="31">
        <f t="shared" si="17"/>
        <v>16436.84</v>
      </c>
      <c r="K1112" t="s">
        <v>13</v>
      </c>
    </row>
    <row r="1113" spans="2:11" ht="22" x14ac:dyDescent="0.15">
      <c r="B1113" s="29" t="s">
        <v>1644</v>
      </c>
      <c r="C1113" s="29" t="s">
        <v>581</v>
      </c>
      <c r="D1113"/>
      <c r="E1113" s="31">
        <f>SUMIFS(E1114:E3130,K1114:K3130,"0",B1114:B3130,"4 1 5 1 1 12 31111 6 M78 15000 171 00I 001 00051 025 1151100 2024 00000000 003*")-SUMIFS(D1114:D3130,K1114:K3130,"0",B1114:B3130,"4 1 5 1 1 12 31111 6 M78 15000 171 00I 001 00051 025 1151100 2024 00000000 003*")</f>
        <v>0</v>
      </c>
      <c r="F1113" s="31">
        <f>SUMIFS(F1114:F3130,K1114:K3130,"0",B1114:B3130,"4 1 5 1 1 12 31111 6 M78 15000 171 00I 001 00051 025 1151100 2024 00000000 003*")</f>
        <v>0</v>
      </c>
      <c r="G1113" s="31">
        <f>SUMIFS(G1114:G3130,K1114:K3130,"0",B1114:B3130,"4 1 5 1 1 12 31111 6 M78 15000 171 00I 001 00051 025 1151100 2024 00000000 003*")</f>
        <v>16436.84</v>
      </c>
      <c r="H1113" s="31"/>
      <c r="I1113" s="31">
        <f t="shared" si="17"/>
        <v>16436.84</v>
      </c>
      <c r="K1113" t="s">
        <v>13</v>
      </c>
    </row>
    <row r="1114" spans="2:11" ht="22" x14ac:dyDescent="0.15">
      <c r="B1114" s="27" t="s">
        <v>1645</v>
      </c>
      <c r="C1114" s="27" t="s">
        <v>1612</v>
      </c>
      <c r="D1114" s="30"/>
      <c r="E1114" s="30">
        <v>0</v>
      </c>
      <c r="F1114" s="30">
        <v>0</v>
      </c>
      <c r="G1114" s="30">
        <v>16436.84</v>
      </c>
      <c r="H1114" s="30"/>
      <c r="I1114" s="30">
        <f t="shared" si="17"/>
        <v>16436.84</v>
      </c>
      <c r="K1114" t="s">
        <v>37</v>
      </c>
    </row>
    <row r="1115" spans="2:11" ht="13" x14ac:dyDescent="0.15">
      <c r="B1115" s="29" t="s">
        <v>1646</v>
      </c>
      <c r="C1115" s="29" t="s">
        <v>1647</v>
      </c>
      <c r="D1115"/>
      <c r="E1115" s="31">
        <f>SUMIFS(E1116:E3130,K1116:K3130,"0",B1116:B3130,"4 1 6*")-SUMIFS(D1116:D3130,K1116:K3130,"0",B1116:B3130,"4 1 6*")</f>
        <v>0</v>
      </c>
      <c r="F1115" s="31">
        <f>SUMIFS(F1116:F3130,K1116:K3130,"0",B1116:B3130,"4 1 6*")</f>
        <v>0</v>
      </c>
      <c r="G1115" s="31">
        <f>SUMIFS(G1116:G3130,K1116:K3130,"0",B1116:B3130,"4 1 6*")</f>
        <v>93.57</v>
      </c>
      <c r="H1115" s="31"/>
      <c r="I1115" s="31">
        <f t="shared" ref="I1115:I1178" si="18">E1115 - F1115 + G1115</f>
        <v>93.57</v>
      </c>
      <c r="K1115" t="s">
        <v>13</v>
      </c>
    </row>
    <row r="1116" spans="2:11" ht="13" x14ac:dyDescent="0.15">
      <c r="B1116" s="29" t="s">
        <v>1648</v>
      </c>
      <c r="C1116" s="29" t="s">
        <v>1649</v>
      </c>
      <c r="D1116"/>
      <c r="E1116" s="31">
        <f>SUMIFS(E1117:E3130,K1117:K3130,"0",B1117:B3130,"4 1 6 9*")-SUMIFS(D1117:D3130,K1117:K3130,"0",B1117:B3130,"4 1 6 9*")</f>
        <v>0</v>
      </c>
      <c r="F1116" s="31">
        <f>SUMIFS(F1117:F3130,K1117:K3130,"0",B1117:B3130,"4 1 6 9*")</f>
        <v>0</v>
      </c>
      <c r="G1116" s="31">
        <f>SUMIFS(G1117:G3130,K1117:K3130,"0",B1117:B3130,"4 1 6 9*")</f>
        <v>93.57</v>
      </c>
      <c r="H1116" s="31"/>
      <c r="I1116" s="31">
        <f t="shared" si="18"/>
        <v>93.57</v>
      </c>
      <c r="K1116" t="s">
        <v>13</v>
      </c>
    </row>
    <row r="1117" spans="2:11" ht="13" x14ac:dyDescent="0.15">
      <c r="B1117" s="29" t="s">
        <v>1650</v>
      </c>
      <c r="C1117" s="29" t="s">
        <v>1649</v>
      </c>
      <c r="D1117"/>
      <c r="E1117" s="31">
        <f>SUMIFS(E1118:E3130,K1118:K3130,"0",B1118:B3130,"4 1 6 9 1*")-SUMIFS(D1118:D3130,K1118:K3130,"0",B1118:B3130,"4 1 6 9 1*")</f>
        <v>0</v>
      </c>
      <c r="F1117" s="31">
        <f>SUMIFS(F1118:F3130,K1118:K3130,"0",B1118:B3130,"4 1 6 9 1*")</f>
        <v>0</v>
      </c>
      <c r="G1117" s="31">
        <f>SUMIFS(G1118:G3130,K1118:K3130,"0",B1118:B3130,"4 1 6 9 1*")</f>
        <v>93.57</v>
      </c>
      <c r="H1117" s="31"/>
      <c r="I1117" s="31">
        <f t="shared" si="18"/>
        <v>93.57</v>
      </c>
      <c r="K1117" t="s">
        <v>13</v>
      </c>
    </row>
    <row r="1118" spans="2:11" ht="13" x14ac:dyDescent="0.15">
      <c r="B1118" s="29" t="s">
        <v>1651</v>
      </c>
      <c r="C1118" s="29" t="s">
        <v>24</v>
      </c>
      <c r="D1118"/>
      <c r="E1118" s="31">
        <f>SUMIFS(E1119:E3130,K1119:K3130,"0",B1119:B3130,"4 1 6 9 1 12*")-SUMIFS(D1119:D3130,K1119:K3130,"0",B1119:B3130,"4 1 6 9 1 12*")</f>
        <v>0</v>
      </c>
      <c r="F1118" s="31">
        <f>SUMIFS(F1119:F3130,K1119:K3130,"0",B1119:B3130,"4 1 6 9 1 12*")</f>
        <v>0</v>
      </c>
      <c r="G1118" s="31">
        <f>SUMIFS(G1119:G3130,K1119:K3130,"0",B1119:B3130,"4 1 6 9 1 12*")</f>
        <v>93.57</v>
      </c>
      <c r="H1118" s="31"/>
      <c r="I1118" s="31">
        <f t="shared" si="18"/>
        <v>93.57</v>
      </c>
      <c r="K1118" t="s">
        <v>13</v>
      </c>
    </row>
    <row r="1119" spans="2:11" ht="13" x14ac:dyDescent="0.15">
      <c r="B1119" s="29" t="s">
        <v>1652</v>
      </c>
      <c r="C1119" s="29" t="s">
        <v>26</v>
      </c>
      <c r="D1119"/>
      <c r="E1119" s="31">
        <f>SUMIFS(E1120:E3130,K1120:K3130,"0",B1120:B3130,"4 1 6 9 1 12 31111*")-SUMIFS(D1120:D3130,K1120:K3130,"0",B1120:B3130,"4 1 6 9 1 12 31111*")</f>
        <v>0</v>
      </c>
      <c r="F1119" s="31">
        <f>SUMIFS(F1120:F3130,K1120:K3130,"0",B1120:B3130,"4 1 6 9 1 12 31111*")</f>
        <v>0</v>
      </c>
      <c r="G1119" s="31">
        <f>SUMIFS(G1120:G3130,K1120:K3130,"0",B1120:B3130,"4 1 6 9 1 12 31111*")</f>
        <v>93.57</v>
      </c>
      <c r="H1119" s="31"/>
      <c r="I1119" s="31">
        <f t="shared" si="18"/>
        <v>93.57</v>
      </c>
      <c r="K1119" t="s">
        <v>13</v>
      </c>
    </row>
    <row r="1120" spans="2:11" ht="13" x14ac:dyDescent="0.15">
      <c r="B1120" s="29" t="s">
        <v>1653</v>
      </c>
      <c r="C1120" s="29" t="s">
        <v>28</v>
      </c>
      <c r="D1120"/>
      <c r="E1120" s="31">
        <f>SUMIFS(E1121:E3130,K1121:K3130,"0",B1121:B3130,"4 1 6 9 1 12 31111 6*")-SUMIFS(D1121:D3130,K1121:K3130,"0",B1121:B3130,"4 1 6 9 1 12 31111 6*")</f>
        <v>0</v>
      </c>
      <c r="F1120" s="31">
        <f>SUMIFS(F1121:F3130,K1121:K3130,"0",B1121:B3130,"4 1 6 9 1 12 31111 6*")</f>
        <v>0</v>
      </c>
      <c r="G1120" s="31">
        <f>SUMIFS(G1121:G3130,K1121:K3130,"0",B1121:B3130,"4 1 6 9 1 12 31111 6*")</f>
        <v>93.57</v>
      </c>
      <c r="H1120" s="31"/>
      <c r="I1120" s="31">
        <f t="shared" si="18"/>
        <v>93.57</v>
      </c>
      <c r="K1120" t="s">
        <v>13</v>
      </c>
    </row>
    <row r="1121" spans="2:11" ht="13" x14ac:dyDescent="0.15">
      <c r="B1121" s="29" t="s">
        <v>1654</v>
      </c>
      <c r="C1121" s="29" t="s">
        <v>1567</v>
      </c>
      <c r="D1121"/>
      <c r="E1121" s="31">
        <f>SUMIFS(E1122:E3130,K1122:K3130,"0",B1122:B3130,"4 1 6 9 1 12 31111 6 M78*")-SUMIFS(D1122:D3130,K1122:K3130,"0",B1122:B3130,"4 1 6 9 1 12 31111 6 M78*")</f>
        <v>0</v>
      </c>
      <c r="F1121" s="31">
        <f>SUMIFS(F1122:F3130,K1122:K3130,"0",B1122:B3130,"4 1 6 9 1 12 31111 6 M78*")</f>
        <v>0</v>
      </c>
      <c r="G1121" s="31">
        <f>SUMIFS(G1122:G3130,K1122:K3130,"0",B1122:B3130,"4 1 6 9 1 12 31111 6 M78*")</f>
        <v>93.57</v>
      </c>
      <c r="H1121" s="31"/>
      <c r="I1121" s="31">
        <f t="shared" si="18"/>
        <v>93.57</v>
      </c>
      <c r="K1121" t="s">
        <v>13</v>
      </c>
    </row>
    <row r="1122" spans="2:11" ht="13" x14ac:dyDescent="0.15">
      <c r="B1122" s="29" t="s">
        <v>1655</v>
      </c>
      <c r="C1122" s="29" t="s">
        <v>951</v>
      </c>
      <c r="D1122"/>
      <c r="E1122" s="31">
        <f>SUMIFS(E1123:E3130,K1123:K3130,"0",B1123:B3130,"4 1 6 9 1 12 31111 6 M78 07000*")-SUMIFS(D1123:D3130,K1123:K3130,"0",B1123:B3130,"4 1 6 9 1 12 31111 6 M78 07000*")</f>
        <v>0</v>
      </c>
      <c r="F1122" s="31">
        <f>SUMIFS(F1123:F3130,K1123:K3130,"0",B1123:B3130,"4 1 6 9 1 12 31111 6 M78 07000*")</f>
        <v>0</v>
      </c>
      <c r="G1122" s="31">
        <f>SUMIFS(G1123:G3130,K1123:K3130,"0",B1123:B3130,"4 1 6 9 1 12 31111 6 M78 07000*")</f>
        <v>93.57</v>
      </c>
      <c r="H1122" s="31"/>
      <c r="I1122" s="31">
        <f t="shared" si="18"/>
        <v>93.57</v>
      </c>
      <c r="K1122" t="s">
        <v>13</v>
      </c>
    </row>
    <row r="1123" spans="2:11" ht="13" x14ac:dyDescent="0.15">
      <c r="B1123" s="29" t="s">
        <v>1656</v>
      </c>
      <c r="C1123" s="29" t="s">
        <v>588</v>
      </c>
      <c r="D1123"/>
      <c r="E1123" s="31">
        <f>SUMIFS(E1124:E3130,K1124:K3130,"0",B1124:B3130,"4 1 6 9 1 12 31111 6 M78 07000 151*")-SUMIFS(D1124:D3130,K1124:K3130,"0",B1124:B3130,"4 1 6 9 1 12 31111 6 M78 07000 151*")</f>
        <v>0</v>
      </c>
      <c r="F1123" s="31">
        <f>SUMIFS(F1124:F3130,K1124:K3130,"0",B1124:B3130,"4 1 6 9 1 12 31111 6 M78 07000 151*")</f>
        <v>0</v>
      </c>
      <c r="G1123" s="31">
        <f>SUMIFS(G1124:G3130,K1124:K3130,"0",B1124:B3130,"4 1 6 9 1 12 31111 6 M78 07000 151*")</f>
        <v>93.57</v>
      </c>
      <c r="H1123" s="31"/>
      <c r="I1123" s="31">
        <f t="shared" si="18"/>
        <v>93.57</v>
      </c>
      <c r="K1123" t="s">
        <v>13</v>
      </c>
    </row>
    <row r="1124" spans="2:11" ht="13" x14ac:dyDescent="0.15">
      <c r="B1124" s="29" t="s">
        <v>1657</v>
      </c>
      <c r="C1124" s="29" t="s">
        <v>812</v>
      </c>
      <c r="D1124"/>
      <c r="E1124" s="31">
        <f>SUMIFS(E1125:E3130,K1125:K3130,"0",B1125:B3130,"4 1 6 9 1 12 31111 6 M78 07000 151 00E*")-SUMIFS(D1125:D3130,K1125:K3130,"0",B1125:B3130,"4 1 6 9 1 12 31111 6 M78 07000 151 00E*")</f>
        <v>0</v>
      </c>
      <c r="F1124" s="31">
        <f>SUMIFS(F1125:F3130,K1125:K3130,"0",B1125:B3130,"4 1 6 9 1 12 31111 6 M78 07000 151 00E*")</f>
        <v>0</v>
      </c>
      <c r="G1124" s="31">
        <f>SUMIFS(G1125:G3130,K1125:K3130,"0",B1125:B3130,"4 1 6 9 1 12 31111 6 M78 07000 151 00E*")</f>
        <v>93.57</v>
      </c>
      <c r="H1124" s="31"/>
      <c r="I1124" s="31">
        <f t="shared" si="18"/>
        <v>93.57</v>
      </c>
      <c r="K1124" t="s">
        <v>13</v>
      </c>
    </row>
    <row r="1125" spans="2:11" ht="13" x14ac:dyDescent="0.15">
      <c r="B1125" s="29" t="s">
        <v>1658</v>
      </c>
      <c r="C1125" s="29" t="s">
        <v>32</v>
      </c>
      <c r="D1125"/>
      <c r="E1125" s="31">
        <f>SUMIFS(E1126:E3130,K1126:K3130,"0",B1126:B3130,"4 1 6 9 1 12 31111 6 M78 07000 151 00E 001*")-SUMIFS(D1126:D3130,K1126:K3130,"0",B1126:B3130,"4 1 6 9 1 12 31111 6 M78 07000 151 00E 001*")</f>
        <v>0</v>
      </c>
      <c r="F1125" s="31">
        <f>SUMIFS(F1126:F3130,K1126:K3130,"0",B1126:B3130,"4 1 6 9 1 12 31111 6 M78 07000 151 00E 001*")</f>
        <v>0</v>
      </c>
      <c r="G1125" s="31">
        <f>SUMIFS(G1126:G3130,K1126:K3130,"0",B1126:B3130,"4 1 6 9 1 12 31111 6 M78 07000 151 00E 001*")</f>
        <v>93.57</v>
      </c>
      <c r="H1125" s="31"/>
      <c r="I1125" s="31">
        <f t="shared" si="18"/>
        <v>93.57</v>
      </c>
      <c r="K1125" t="s">
        <v>13</v>
      </c>
    </row>
    <row r="1126" spans="2:11" ht="13" x14ac:dyDescent="0.15">
      <c r="B1126" s="29" t="s">
        <v>1659</v>
      </c>
      <c r="C1126" s="29" t="s">
        <v>1647</v>
      </c>
      <c r="D1126"/>
      <c r="E1126" s="31">
        <f>SUMIFS(E1127:E3130,K1127:K3130,"0",B1127:B3130,"4 1 6 9 1 12 31111 6 M78 07000 151 00E 001 00061*")-SUMIFS(D1127:D3130,K1127:K3130,"0",B1127:B3130,"4 1 6 9 1 12 31111 6 M78 07000 151 00E 001 00061*")</f>
        <v>0</v>
      </c>
      <c r="F1126" s="31">
        <f>SUMIFS(F1127:F3130,K1127:K3130,"0",B1127:B3130,"4 1 6 9 1 12 31111 6 M78 07000 151 00E 001 00061*")</f>
        <v>0</v>
      </c>
      <c r="G1126" s="31">
        <f>SUMIFS(G1127:G3130,K1127:K3130,"0",B1127:B3130,"4 1 6 9 1 12 31111 6 M78 07000 151 00E 001 00061*")</f>
        <v>93.57</v>
      </c>
      <c r="H1126" s="31"/>
      <c r="I1126" s="31">
        <f t="shared" si="18"/>
        <v>93.57</v>
      </c>
      <c r="K1126" t="s">
        <v>13</v>
      </c>
    </row>
    <row r="1127" spans="2:11" ht="22" x14ac:dyDescent="0.15">
      <c r="B1127" s="29" t="s">
        <v>1660</v>
      </c>
      <c r="C1127" s="29" t="s">
        <v>1567</v>
      </c>
      <c r="D1127"/>
      <c r="E1127" s="31">
        <f>SUMIFS(E1128:E3130,K1128:K3130,"0",B1128:B3130,"4 1 6 9 1 12 31111 6 M78 07000 151 00E 001 00061 011*")-SUMIFS(D1128:D3130,K1128:K3130,"0",B1128:B3130,"4 1 6 9 1 12 31111 6 M78 07000 151 00E 001 00061 011*")</f>
        <v>0</v>
      </c>
      <c r="F1127" s="31">
        <f>SUMIFS(F1128:F3130,K1128:K3130,"0",B1128:B3130,"4 1 6 9 1 12 31111 6 M78 07000 151 00E 001 00061 011*")</f>
        <v>0</v>
      </c>
      <c r="G1127" s="31">
        <f>SUMIFS(G1128:G3130,K1128:K3130,"0",B1128:B3130,"4 1 6 9 1 12 31111 6 M78 07000 151 00E 001 00061 011*")</f>
        <v>93.57</v>
      </c>
      <c r="H1127" s="31"/>
      <c r="I1127" s="31">
        <f t="shared" si="18"/>
        <v>93.57</v>
      </c>
      <c r="K1127" t="s">
        <v>13</v>
      </c>
    </row>
    <row r="1128" spans="2:11" ht="22" x14ac:dyDescent="0.15">
      <c r="B1128" s="29" t="s">
        <v>1661</v>
      </c>
      <c r="C1128" s="29" t="s">
        <v>1662</v>
      </c>
      <c r="D1128"/>
      <c r="E1128" s="31">
        <f>SUMIFS(E1129:E3130,K1129:K3130,"0",B1129:B3130,"4 1 6 9 1 12 31111 6 M78 07000 151 00E 001 00061 011 1143000*")-SUMIFS(D1129:D3130,K1129:K3130,"0",B1129:B3130,"4 1 6 9 1 12 31111 6 M78 07000 151 00E 001 00061 011 1143000*")</f>
        <v>0</v>
      </c>
      <c r="F1128" s="31">
        <f>SUMIFS(F1129:F3130,K1129:K3130,"0",B1129:B3130,"4 1 6 9 1 12 31111 6 M78 07000 151 00E 001 00061 011 1143000*")</f>
        <v>0</v>
      </c>
      <c r="G1128" s="31">
        <f>SUMIFS(G1129:G3130,K1129:K3130,"0",B1129:B3130,"4 1 6 9 1 12 31111 6 M78 07000 151 00E 001 00061 011 1143000*")</f>
        <v>93.57</v>
      </c>
      <c r="H1128" s="31"/>
      <c r="I1128" s="31">
        <f t="shared" si="18"/>
        <v>93.57</v>
      </c>
      <c r="K1128" t="s">
        <v>13</v>
      </c>
    </row>
    <row r="1129" spans="2:11" ht="22" x14ac:dyDescent="0.15">
      <c r="B1129" s="29" t="s">
        <v>1663</v>
      </c>
      <c r="C1129" s="29" t="s">
        <v>275</v>
      </c>
      <c r="D1129"/>
      <c r="E1129" s="31">
        <f>SUMIFS(E1130:E3130,K1130:K3130,"0",B1130:B3130,"4 1 6 9 1 12 31111 6 M78 07000 151 00E 001 00061 011 1143000 2024*")-SUMIFS(D1130:D3130,K1130:K3130,"0",B1130:B3130,"4 1 6 9 1 12 31111 6 M78 07000 151 00E 001 00061 011 1143000 2024*")</f>
        <v>0</v>
      </c>
      <c r="F1129" s="31">
        <f>SUMIFS(F1130:F3130,K1130:K3130,"0",B1130:B3130,"4 1 6 9 1 12 31111 6 M78 07000 151 00E 001 00061 011 1143000 2024*")</f>
        <v>0</v>
      </c>
      <c r="G1129" s="31">
        <f>SUMIFS(G1130:G3130,K1130:K3130,"0",B1130:B3130,"4 1 6 9 1 12 31111 6 M78 07000 151 00E 001 00061 011 1143000 2024*")</f>
        <v>93.57</v>
      </c>
      <c r="H1129" s="31"/>
      <c r="I1129" s="31">
        <f t="shared" si="18"/>
        <v>93.57</v>
      </c>
      <c r="K1129" t="s">
        <v>13</v>
      </c>
    </row>
    <row r="1130" spans="2:11" ht="22" x14ac:dyDescent="0.15">
      <c r="B1130" s="29" t="s">
        <v>1664</v>
      </c>
      <c r="C1130" s="29" t="s">
        <v>277</v>
      </c>
      <c r="D1130"/>
      <c r="E1130" s="31">
        <f>SUMIFS(E1131:E3130,K1131:K3130,"0",B1131:B3130,"4 1 6 9 1 12 31111 6 M78 07000 151 00E 001 00061 011 1143000 2024 00000000*")-SUMIFS(D1131:D3130,K1131:K3130,"0",B1131:B3130,"4 1 6 9 1 12 31111 6 M78 07000 151 00E 001 00061 011 1143000 2024 00000000*")</f>
        <v>0</v>
      </c>
      <c r="F1130" s="31">
        <f>SUMIFS(F1131:F3130,K1131:K3130,"0",B1131:B3130,"4 1 6 9 1 12 31111 6 M78 07000 151 00E 001 00061 011 1143000 2024 00000000*")</f>
        <v>0</v>
      </c>
      <c r="G1130" s="31">
        <f>SUMIFS(G1131:G3130,K1131:K3130,"0",B1131:B3130,"4 1 6 9 1 12 31111 6 M78 07000 151 00E 001 00061 011 1143000 2024 00000000*")</f>
        <v>93.57</v>
      </c>
      <c r="H1130" s="31"/>
      <c r="I1130" s="31">
        <f t="shared" si="18"/>
        <v>93.57</v>
      </c>
      <c r="K1130" t="s">
        <v>13</v>
      </c>
    </row>
    <row r="1131" spans="2:11" ht="22" x14ac:dyDescent="0.15">
      <c r="B1131" s="29" t="s">
        <v>1665</v>
      </c>
      <c r="C1131" s="29" t="s">
        <v>1579</v>
      </c>
      <c r="D1131"/>
      <c r="E1131" s="31">
        <f>SUMIFS(E1132:E3130,K1132:K3130,"0",B1132:B3130,"4 1 6 9 1 12 31111 6 M78 07000 151 00E 001 00061 011 1143000 2024 00000000 005*")-SUMIFS(D1132:D3130,K1132:K3130,"0",B1132:B3130,"4 1 6 9 1 12 31111 6 M78 07000 151 00E 001 00061 011 1143000 2024 00000000 005*")</f>
        <v>0</v>
      </c>
      <c r="F1131" s="31">
        <f>SUMIFS(F1132:F3130,K1132:K3130,"0",B1132:B3130,"4 1 6 9 1 12 31111 6 M78 07000 151 00E 001 00061 011 1143000 2024 00000000 005*")</f>
        <v>0</v>
      </c>
      <c r="G1131" s="31">
        <f>SUMIFS(G1132:G3130,K1132:K3130,"0",B1132:B3130,"4 1 6 9 1 12 31111 6 M78 07000 151 00E 001 00061 011 1143000 2024 00000000 005*")</f>
        <v>93.57</v>
      </c>
      <c r="H1131" s="31"/>
      <c r="I1131" s="31">
        <f t="shared" si="18"/>
        <v>93.57</v>
      </c>
      <c r="K1131" t="s">
        <v>13</v>
      </c>
    </row>
    <row r="1132" spans="2:11" ht="22" x14ac:dyDescent="0.15">
      <c r="B1132" s="27" t="s">
        <v>1666</v>
      </c>
      <c r="C1132" s="27" t="s">
        <v>1612</v>
      </c>
      <c r="D1132" s="30"/>
      <c r="E1132" s="30">
        <v>0</v>
      </c>
      <c r="F1132" s="30">
        <v>0</v>
      </c>
      <c r="G1132" s="30">
        <v>93.57</v>
      </c>
      <c r="H1132" s="30"/>
      <c r="I1132" s="30">
        <f t="shared" si="18"/>
        <v>93.57</v>
      </c>
      <c r="K1132" t="s">
        <v>37</v>
      </c>
    </row>
    <row r="1133" spans="2:11" ht="13" x14ac:dyDescent="0.15">
      <c r="B1133" s="29" t="s">
        <v>1667</v>
      </c>
      <c r="C1133" s="29" t="s">
        <v>1668</v>
      </c>
      <c r="D1133"/>
      <c r="E1133" s="31">
        <f>SUMIFS(E1134:E3130,K1134:K3130,"0",B1134:B3130,"4 1 7*")-SUMIFS(D1134:D3130,K1134:K3130,"0",B1134:B3130,"4 1 7*")</f>
        <v>0</v>
      </c>
      <c r="F1133" s="31">
        <f>SUMIFS(F1134:F3130,K1134:K3130,"0",B1134:B3130,"4 1 7*")</f>
        <v>0</v>
      </c>
      <c r="G1133" s="31">
        <f>SUMIFS(G1134:G3130,K1134:K3130,"0",B1134:B3130,"4 1 7*")</f>
        <v>0</v>
      </c>
      <c r="H1133" s="31"/>
      <c r="I1133" s="31">
        <f t="shared" si="18"/>
        <v>0</v>
      </c>
      <c r="K1133" t="s">
        <v>13</v>
      </c>
    </row>
    <row r="1134" spans="2:11" ht="33" x14ac:dyDescent="0.15">
      <c r="B1134" s="29" t="s">
        <v>1669</v>
      </c>
      <c r="C1134" s="29" t="s">
        <v>1670</v>
      </c>
      <c r="D1134"/>
      <c r="E1134" s="31">
        <f>SUMIFS(E1135:E3130,K1135:K3130,"0",B1135:B3130,"4 1 9*")-SUMIFS(D1135:D3130,K1135:K3130,"0",B1135:B3130,"4 1 9*")</f>
        <v>0</v>
      </c>
      <c r="F1134" s="31">
        <f>SUMIFS(F1135:F3130,K1135:K3130,"0",B1135:B3130,"4 1 9*")</f>
        <v>0</v>
      </c>
      <c r="G1134" s="31">
        <f>SUMIFS(G1135:G3130,K1135:K3130,"0",B1135:B3130,"4 1 9*")</f>
        <v>0</v>
      </c>
      <c r="H1134" s="31"/>
      <c r="I1134" s="31">
        <f t="shared" si="18"/>
        <v>0</v>
      </c>
      <c r="K1134" t="s">
        <v>13</v>
      </c>
    </row>
    <row r="1135" spans="2:11" ht="44" x14ac:dyDescent="0.15">
      <c r="B1135" s="29" t="s">
        <v>1671</v>
      </c>
      <c r="C1135" s="29" t="s">
        <v>1672</v>
      </c>
      <c r="D1135"/>
      <c r="E1135" s="31">
        <f>SUMIFS(E1136:E3130,K1136:K3130,"0",B1136:B3130,"4 2*")-SUMIFS(D1136:D3130,K1136:K3130,"0",B1136:B3130,"4 2*")</f>
        <v>0</v>
      </c>
      <c r="F1135" s="31">
        <f>SUMIFS(F1136:F3130,K1136:K3130,"0",B1136:B3130,"4 2*")</f>
        <v>0</v>
      </c>
      <c r="G1135" s="31">
        <f>SUMIFS(G1136:G3130,K1136:K3130,"0",B1136:B3130,"4 2*")</f>
        <v>103618073.97</v>
      </c>
      <c r="H1135" s="31"/>
      <c r="I1135" s="31">
        <f t="shared" si="18"/>
        <v>103618073.97</v>
      </c>
      <c r="K1135" t="s">
        <v>13</v>
      </c>
    </row>
    <row r="1136" spans="2:11" ht="22" x14ac:dyDescent="0.15">
      <c r="B1136" s="29" t="s">
        <v>1673</v>
      </c>
      <c r="C1136" s="29" t="s">
        <v>1674</v>
      </c>
      <c r="D1136"/>
      <c r="E1136" s="31">
        <f>SUMIFS(E1137:E3130,K1137:K3130,"0",B1137:B3130,"4 2 1*")-SUMIFS(D1137:D3130,K1137:K3130,"0",B1137:B3130,"4 2 1*")</f>
        <v>0</v>
      </c>
      <c r="F1136" s="31">
        <f>SUMIFS(F1137:F3130,K1137:K3130,"0",B1137:B3130,"4 2 1*")</f>
        <v>0</v>
      </c>
      <c r="G1136" s="31">
        <f>SUMIFS(G1137:G3130,K1137:K3130,"0",B1137:B3130,"4 2 1*")</f>
        <v>102732755.97</v>
      </c>
      <c r="H1136" s="31"/>
      <c r="I1136" s="31">
        <f t="shared" si="18"/>
        <v>102732755.97</v>
      </c>
      <c r="K1136" t="s">
        <v>13</v>
      </c>
    </row>
    <row r="1137" spans="2:11" ht="13" x14ac:dyDescent="0.15">
      <c r="B1137" s="29" t="s">
        <v>1675</v>
      </c>
      <c r="C1137" s="29" t="s">
        <v>1676</v>
      </c>
      <c r="D1137"/>
      <c r="E1137" s="31">
        <f>SUMIFS(E1138:E3130,K1138:K3130,"0",B1138:B3130,"4 2 1 1*")-SUMIFS(D1138:D3130,K1138:K3130,"0",B1138:B3130,"4 2 1 1*")</f>
        <v>0</v>
      </c>
      <c r="F1137" s="31">
        <f>SUMIFS(F1138:F3130,K1138:K3130,"0",B1138:B3130,"4 2 1 1*")</f>
        <v>0</v>
      </c>
      <c r="G1137" s="31">
        <f>SUMIFS(G1138:G3130,K1138:K3130,"0",B1138:B3130,"4 2 1 1*")</f>
        <v>19778007.669999998</v>
      </c>
      <c r="H1137" s="31"/>
      <c r="I1137" s="31">
        <f t="shared" si="18"/>
        <v>19778007.669999998</v>
      </c>
      <c r="K1137" t="s">
        <v>13</v>
      </c>
    </row>
    <row r="1138" spans="2:11" ht="13" x14ac:dyDescent="0.15">
      <c r="B1138" s="29" t="s">
        <v>1677</v>
      </c>
      <c r="C1138" s="29" t="s">
        <v>1676</v>
      </c>
      <c r="D1138"/>
      <c r="E1138" s="31">
        <f>SUMIFS(E1139:E3130,K1139:K3130,"0",B1139:B3130,"4 2 1 1 1*")-SUMIFS(D1139:D3130,K1139:K3130,"0",B1139:B3130,"4 2 1 1 1*")</f>
        <v>0</v>
      </c>
      <c r="F1138" s="31">
        <f>SUMIFS(F1139:F3130,K1139:K3130,"0",B1139:B3130,"4 2 1 1 1*")</f>
        <v>0</v>
      </c>
      <c r="G1138" s="31">
        <f>SUMIFS(G1139:G3130,K1139:K3130,"0",B1139:B3130,"4 2 1 1 1*")</f>
        <v>19778007.669999998</v>
      </c>
      <c r="H1138" s="31"/>
      <c r="I1138" s="31">
        <f t="shared" si="18"/>
        <v>19778007.669999998</v>
      </c>
      <c r="K1138" t="s">
        <v>13</v>
      </c>
    </row>
    <row r="1139" spans="2:11" ht="13" x14ac:dyDescent="0.15">
      <c r="B1139" s="29" t="s">
        <v>1678</v>
      </c>
      <c r="C1139" s="29" t="s">
        <v>24</v>
      </c>
      <c r="D1139"/>
      <c r="E1139" s="31">
        <f>SUMIFS(E1140:E3130,K1140:K3130,"0",B1140:B3130,"4 2 1 1 1 12*")-SUMIFS(D1140:D3130,K1140:K3130,"0",B1140:B3130,"4 2 1 1 1 12*")</f>
        <v>0</v>
      </c>
      <c r="F1139" s="31">
        <f>SUMIFS(F1140:F3130,K1140:K3130,"0",B1140:B3130,"4 2 1 1 1 12*")</f>
        <v>0</v>
      </c>
      <c r="G1139" s="31">
        <f>SUMIFS(G1140:G3130,K1140:K3130,"0",B1140:B3130,"4 2 1 1 1 12*")</f>
        <v>19778007.669999998</v>
      </c>
      <c r="H1139" s="31"/>
      <c r="I1139" s="31">
        <f t="shared" si="18"/>
        <v>19778007.669999998</v>
      </c>
      <c r="K1139" t="s">
        <v>13</v>
      </c>
    </row>
    <row r="1140" spans="2:11" ht="13" x14ac:dyDescent="0.15">
      <c r="B1140" s="29" t="s">
        <v>1679</v>
      </c>
      <c r="C1140" s="29" t="s">
        <v>26</v>
      </c>
      <c r="D1140"/>
      <c r="E1140" s="31">
        <f>SUMIFS(E1141:E3130,K1141:K3130,"0",B1141:B3130,"4 2 1 1 1 12 31111*")-SUMIFS(D1141:D3130,K1141:K3130,"0",B1141:B3130,"4 2 1 1 1 12 31111*")</f>
        <v>0</v>
      </c>
      <c r="F1140" s="31">
        <f>SUMIFS(F1141:F3130,K1141:K3130,"0",B1141:B3130,"4 2 1 1 1 12 31111*")</f>
        <v>0</v>
      </c>
      <c r="G1140" s="31">
        <f>SUMIFS(G1141:G3130,K1141:K3130,"0",B1141:B3130,"4 2 1 1 1 12 31111*")</f>
        <v>19778007.669999998</v>
      </c>
      <c r="H1140" s="31"/>
      <c r="I1140" s="31">
        <f t="shared" si="18"/>
        <v>19778007.669999998</v>
      </c>
      <c r="K1140" t="s">
        <v>13</v>
      </c>
    </row>
    <row r="1141" spans="2:11" ht="13" x14ac:dyDescent="0.15">
      <c r="B1141" s="29" t="s">
        <v>1680</v>
      </c>
      <c r="C1141" s="29" t="s">
        <v>28</v>
      </c>
      <c r="D1141"/>
      <c r="E1141" s="31">
        <f>SUMIFS(E1142:E3130,K1142:K3130,"0",B1142:B3130,"4 2 1 1 1 12 31111 6*")-SUMIFS(D1142:D3130,K1142:K3130,"0",B1142:B3130,"4 2 1 1 1 12 31111 6*")</f>
        <v>0</v>
      </c>
      <c r="F1141" s="31">
        <f>SUMIFS(F1142:F3130,K1142:K3130,"0",B1142:B3130,"4 2 1 1 1 12 31111 6*")</f>
        <v>0</v>
      </c>
      <c r="G1141" s="31">
        <f>SUMIFS(G1142:G3130,K1142:K3130,"0",B1142:B3130,"4 2 1 1 1 12 31111 6*")</f>
        <v>19778007.669999998</v>
      </c>
      <c r="H1141" s="31"/>
      <c r="I1141" s="31">
        <f t="shared" si="18"/>
        <v>19778007.669999998</v>
      </c>
      <c r="K1141" t="s">
        <v>13</v>
      </c>
    </row>
    <row r="1142" spans="2:11" ht="13" x14ac:dyDescent="0.15">
      <c r="B1142" s="29" t="s">
        <v>1681</v>
      </c>
      <c r="C1142" s="29" t="s">
        <v>1567</v>
      </c>
      <c r="D1142"/>
      <c r="E1142" s="31">
        <f>SUMIFS(E1143:E3130,K1143:K3130,"0",B1143:B3130,"4 2 1 1 1 12 31111 6 M78*")-SUMIFS(D1143:D3130,K1143:K3130,"0",B1143:B3130,"4 2 1 1 1 12 31111 6 M78*")</f>
        <v>0</v>
      </c>
      <c r="F1142" s="31">
        <f>SUMIFS(F1143:F3130,K1143:K3130,"0",B1143:B3130,"4 2 1 1 1 12 31111 6 M78*")</f>
        <v>0</v>
      </c>
      <c r="G1142" s="31">
        <f>SUMIFS(G1143:G3130,K1143:K3130,"0",B1143:B3130,"4 2 1 1 1 12 31111 6 M78*")</f>
        <v>19778007.669999998</v>
      </c>
      <c r="H1142" s="31"/>
      <c r="I1142" s="31">
        <f t="shared" si="18"/>
        <v>19778007.669999998</v>
      </c>
      <c r="K1142" t="s">
        <v>13</v>
      </c>
    </row>
    <row r="1143" spans="2:11" ht="13" x14ac:dyDescent="0.15">
      <c r="B1143" s="29" t="s">
        <v>1682</v>
      </c>
      <c r="C1143" s="29" t="s">
        <v>8</v>
      </c>
      <c r="D1143"/>
      <c r="E1143" s="31">
        <f>SUMIFS(E1144:E3130,K1144:K3130,"0",B1144:B3130,"4 2 1 1 1 12 31111 6 M78 07000*")-SUMIFS(D1144:D3130,K1144:K3130,"0",B1144:B3130,"4 2 1 1 1 12 31111 6 M78 07000*")</f>
        <v>0</v>
      </c>
      <c r="F1143" s="31">
        <f>SUMIFS(F1144:F3130,K1144:K3130,"0",B1144:B3130,"4 2 1 1 1 12 31111 6 M78 07000*")</f>
        <v>0</v>
      </c>
      <c r="G1143" s="31">
        <f>SUMIFS(G1144:G3130,K1144:K3130,"0",B1144:B3130,"4 2 1 1 1 12 31111 6 M78 07000*")</f>
        <v>19778007.669999998</v>
      </c>
      <c r="H1143" s="31"/>
      <c r="I1143" s="31">
        <f t="shared" si="18"/>
        <v>19778007.669999998</v>
      </c>
      <c r="K1143" t="s">
        <v>13</v>
      </c>
    </row>
    <row r="1144" spans="2:11" ht="13" x14ac:dyDescent="0.15">
      <c r="B1144" s="29" t="s">
        <v>1683</v>
      </c>
      <c r="C1144" s="29" t="s">
        <v>588</v>
      </c>
      <c r="D1144"/>
      <c r="E1144" s="31">
        <f>SUMIFS(E1145:E3130,K1145:K3130,"0",B1145:B3130,"4 2 1 1 1 12 31111 6 M78 07000 151*")-SUMIFS(D1145:D3130,K1145:K3130,"0",B1145:B3130,"4 2 1 1 1 12 31111 6 M78 07000 151*")</f>
        <v>0</v>
      </c>
      <c r="F1144" s="31">
        <f>SUMIFS(F1145:F3130,K1145:K3130,"0",B1145:B3130,"4 2 1 1 1 12 31111 6 M78 07000 151*")</f>
        <v>0</v>
      </c>
      <c r="G1144" s="31">
        <f>SUMIFS(G1145:G3130,K1145:K3130,"0",B1145:B3130,"4 2 1 1 1 12 31111 6 M78 07000 151*")</f>
        <v>19778007.669999998</v>
      </c>
      <c r="H1144" s="31"/>
      <c r="I1144" s="31">
        <f t="shared" si="18"/>
        <v>19778007.669999998</v>
      </c>
      <c r="K1144" t="s">
        <v>13</v>
      </c>
    </row>
    <row r="1145" spans="2:11" ht="13" x14ac:dyDescent="0.15">
      <c r="B1145" s="29" t="s">
        <v>1684</v>
      </c>
      <c r="C1145" s="29" t="s">
        <v>265</v>
      </c>
      <c r="D1145"/>
      <c r="E1145" s="31">
        <f>SUMIFS(E1146:E3130,K1146:K3130,"0",B1146:B3130,"4 2 1 1 1 12 31111 6 M78 07000 151 00C*")-SUMIFS(D1146:D3130,K1146:K3130,"0",B1146:B3130,"4 2 1 1 1 12 31111 6 M78 07000 151 00C*")</f>
        <v>0</v>
      </c>
      <c r="F1145" s="31">
        <f>SUMIFS(F1146:F3130,K1146:K3130,"0",B1146:B3130,"4 2 1 1 1 12 31111 6 M78 07000 151 00C*")</f>
        <v>0</v>
      </c>
      <c r="G1145" s="31">
        <f>SUMIFS(G1146:G3130,K1146:K3130,"0",B1146:B3130,"4 2 1 1 1 12 31111 6 M78 07000 151 00C*")</f>
        <v>19778007.669999998</v>
      </c>
      <c r="H1145" s="31"/>
      <c r="I1145" s="31">
        <f t="shared" si="18"/>
        <v>19778007.669999998</v>
      </c>
      <c r="K1145" t="s">
        <v>13</v>
      </c>
    </row>
    <row r="1146" spans="2:11" ht="13" x14ac:dyDescent="0.15">
      <c r="B1146" s="29" t="s">
        <v>1685</v>
      </c>
      <c r="C1146" s="29" t="s">
        <v>32</v>
      </c>
      <c r="D1146"/>
      <c r="E1146" s="31">
        <f>SUMIFS(E1147:E3130,K1147:K3130,"0",B1147:B3130,"4 2 1 1 1 12 31111 6 M78 07000 151 00C 001*")-SUMIFS(D1147:D3130,K1147:K3130,"0",B1147:B3130,"4 2 1 1 1 12 31111 6 M78 07000 151 00C 001*")</f>
        <v>0</v>
      </c>
      <c r="F1146" s="31">
        <f>SUMIFS(F1147:F3130,K1147:K3130,"0",B1147:B3130,"4 2 1 1 1 12 31111 6 M78 07000 151 00C 001*")</f>
        <v>0</v>
      </c>
      <c r="G1146" s="31">
        <f>SUMIFS(G1147:G3130,K1147:K3130,"0",B1147:B3130,"4 2 1 1 1 12 31111 6 M78 07000 151 00C 001*")</f>
        <v>19778007.669999998</v>
      </c>
      <c r="H1146" s="31"/>
      <c r="I1146" s="31">
        <f t="shared" si="18"/>
        <v>19778007.669999998</v>
      </c>
      <c r="K1146" t="s">
        <v>13</v>
      </c>
    </row>
    <row r="1147" spans="2:11" ht="13" x14ac:dyDescent="0.15">
      <c r="B1147" s="29" t="s">
        <v>1686</v>
      </c>
      <c r="C1147" s="29" t="s">
        <v>1676</v>
      </c>
      <c r="D1147"/>
      <c r="E1147" s="31">
        <f>SUMIFS(E1148:E3130,K1148:K3130,"0",B1148:B3130,"4 2 1 1 1 12 31111 6 M78 07000 151 00C 001 00081*")-SUMIFS(D1148:D3130,K1148:K3130,"0",B1148:B3130,"4 2 1 1 1 12 31111 6 M78 07000 151 00C 001 00081*")</f>
        <v>0</v>
      </c>
      <c r="F1147" s="31">
        <f>SUMIFS(F1148:F3130,K1148:K3130,"0",B1148:B3130,"4 2 1 1 1 12 31111 6 M78 07000 151 00C 001 00081*")</f>
        <v>0</v>
      </c>
      <c r="G1147" s="31">
        <f>SUMIFS(G1148:G3130,K1148:K3130,"0",B1148:B3130,"4 2 1 1 1 12 31111 6 M78 07000 151 00C 001 00081*")</f>
        <v>19778007.669999998</v>
      </c>
      <c r="H1147" s="31"/>
      <c r="I1147" s="31">
        <f t="shared" si="18"/>
        <v>19778007.669999998</v>
      </c>
      <c r="K1147" t="s">
        <v>13</v>
      </c>
    </row>
    <row r="1148" spans="2:11" ht="22" x14ac:dyDescent="0.15">
      <c r="B1148" s="29" t="s">
        <v>1687</v>
      </c>
      <c r="C1148" s="29" t="s">
        <v>271</v>
      </c>
      <c r="D1148"/>
      <c r="E1148" s="31">
        <f>SUMIFS(E1149:E3130,K1149:K3130,"0",B1149:B3130,"4 2 1 1 1 12 31111 6 M78 07000 151 00C 001 00081 015*")-SUMIFS(D1149:D3130,K1149:K3130,"0",B1149:B3130,"4 2 1 1 1 12 31111 6 M78 07000 151 00C 001 00081 015*")</f>
        <v>0</v>
      </c>
      <c r="F1148" s="31">
        <f>SUMIFS(F1149:F3130,K1149:K3130,"0",B1149:B3130,"4 2 1 1 1 12 31111 6 M78 07000 151 00C 001 00081 015*")</f>
        <v>0</v>
      </c>
      <c r="G1148" s="31">
        <f>SUMIFS(G1149:G3130,K1149:K3130,"0",B1149:B3130,"4 2 1 1 1 12 31111 6 M78 07000 151 00C 001 00081 015*")</f>
        <v>19778007.669999998</v>
      </c>
      <c r="H1148" s="31"/>
      <c r="I1148" s="31">
        <f t="shared" si="18"/>
        <v>19778007.669999998</v>
      </c>
      <c r="K1148" t="s">
        <v>13</v>
      </c>
    </row>
    <row r="1149" spans="2:11" ht="22" x14ac:dyDescent="0.15">
      <c r="B1149" s="29" t="s">
        <v>1688</v>
      </c>
      <c r="C1149" s="29" t="s">
        <v>1676</v>
      </c>
      <c r="D1149"/>
      <c r="E1149" s="31">
        <f>SUMIFS(E1150:E3130,K1150:K3130,"0",B1150:B3130,"4 2 1 1 1 12 31111 6 M78 07000 151 00C 001 00081 015 1190000*")-SUMIFS(D1150:D3130,K1150:K3130,"0",B1150:B3130,"4 2 1 1 1 12 31111 6 M78 07000 151 00C 001 00081 015 1190000*")</f>
        <v>0</v>
      </c>
      <c r="F1149" s="31">
        <f>SUMIFS(F1150:F3130,K1150:K3130,"0",B1150:B3130,"4 2 1 1 1 12 31111 6 M78 07000 151 00C 001 00081 015 1190000*")</f>
        <v>0</v>
      </c>
      <c r="G1149" s="31">
        <f>SUMIFS(G1150:G3130,K1150:K3130,"0",B1150:B3130,"4 2 1 1 1 12 31111 6 M78 07000 151 00C 001 00081 015 1190000*")</f>
        <v>19778007.669999998</v>
      </c>
      <c r="H1149" s="31"/>
      <c r="I1149" s="31">
        <f t="shared" si="18"/>
        <v>19778007.669999998</v>
      </c>
      <c r="K1149" t="s">
        <v>13</v>
      </c>
    </row>
    <row r="1150" spans="2:11" ht="22" x14ac:dyDescent="0.15">
      <c r="B1150" s="29" t="s">
        <v>1689</v>
      </c>
      <c r="C1150" s="29" t="s">
        <v>275</v>
      </c>
      <c r="D1150"/>
      <c r="E1150" s="31">
        <f>SUMIFS(E1151:E3130,K1151:K3130,"0",B1151:B3130,"4 2 1 1 1 12 31111 6 M78 07000 151 00C 001 00081 015 1190000 2024*")-SUMIFS(D1151:D3130,K1151:K3130,"0",B1151:B3130,"4 2 1 1 1 12 31111 6 M78 07000 151 00C 001 00081 015 1190000 2024*")</f>
        <v>0</v>
      </c>
      <c r="F1150" s="31">
        <f>SUMIFS(F1151:F3130,K1151:K3130,"0",B1151:B3130,"4 2 1 1 1 12 31111 6 M78 07000 151 00C 001 00081 015 1190000 2024*")</f>
        <v>0</v>
      </c>
      <c r="G1150" s="31">
        <f>SUMIFS(G1151:G3130,K1151:K3130,"0",B1151:B3130,"4 2 1 1 1 12 31111 6 M78 07000 151 00C 001 00081 015 1190000 2024*")</f>
        <v>19778007.669999998</v>
      </c>
      <c r="H1150" s="31"/>
      <c r="I1150" s="31">
        <f t="shared" si="18"/>
        <v>19778007.669999998</v>
      </c>
      <c r="K1150" t="s">
        <v>13</v>
      </c>
    </row>
    <row r="1151" spans="2:11" ht="22" x14ac:dyDescent="0.15">
      <c r="B1151" s="29" t="s">
        <v>1690</v>
      </c>
      <c r="C1151" s="29" t="s">
        <v>277</v>
      </c>
      <c r="D1151"/>
      <c r="E1151" s="31">
        <f>SUMIFS(E1152:E3130,K1152:K3130,"0",B1152:B3130,"4 2 1 1 1 12 31111 6 M78 07000 151 00C 001 00081 015 1190000 2024 00000000*")-SUMIFS(D1152:D3130,K1152:K3130,"0",B1152:B3130,"4 2 1 1 1 12 31111 6 M78 07000 151 00C 001 00081 015 1190000 2024 00000000*")</f>
        <v>0</v>
      </c>
      <c r="F1151" s="31">
        <f>SUMIFS(F1152:F3130,K1152:K3130,"0",B1152:B3130,"4 2 1 1 1 12 31111 6 M78 07000 151 00C 001 00081 015 1190000 2024 00000000*")</f>
        <v>0</v>
      </c>
      <c r="G1151" s="31">
        <f>SUMIFS(G1152:G3130,K1152:K3130,"0",B1152:B3130,"4 2 1 1 1 12 31111 6 M78 07000 151 00C 001 00081 015 1190000 2024 00000000*")</f>
        <v>19778007.669999998</v>
      </c>
      <c r="H1151" s="31"/>
      <c r="I1151" s="31">
        <f t="shared" si="18"/>
        <v>19778007.669999998</v>
      </c>
      <c r="K1151" t="s">
        <v>13</v>
      </c>
    </row>
    <row r="1152" spans="2:11" ht="22" x14ac:dyDescent="0.15">
      <c r="B1152" s="29" t="s">
        <v>1691</v>
      </c>
      <c r="C1152" s="29" t="s">
        <v>32</v>
      </c>
      <c r="D1152"/>
      <c r="E1152" s="31">
        <f>SUMIFS(E1153:E3130,K1153:K3130,"0",B1153:B3130,"4 2 1 1 1 12 31111 6 M78 07000 151 00C 001 00081 015 1190000 2024 00000000 001*")-SUMIFS(D1153:D3130,K1153:K3130,"0",B1153:B3130,"4 2 1 1 1 12 31111 6 M78 07000 151 00C 001 00081 015 1190000 2024 00000000 001*")</f>
        <v>0</v>
      </c>
      <c r="F1152" s="31">
        <f>SUMIFS(F1153:F3130,K1153:K3130,"0",B1153:B3130,"4 2 1 1 1 12 31111 6 M78 07000 151 00C 001 00081 015 1190000 2024 00000000 001*")</f>
        <v>0</v>
      </c>
      <c r="G1152" s="31">
        <f>SUMIFS(G1153:G3130,K1153:K3130,"0",B1153:B3130,"4 2 1 1 1 12 31111 6 M78 07000 151 00C 001 00081 015 1190000 2024 00000000 001*")</f>
        <v>19778007.669999998</v>
      </c>
      <c r="H1152" s="31"/>
      <c r="I1152" s="31">
        <f t="shared" si="18"/>
        <v>19778007.669999998</v>
      </c>
      <c r="K1152" t="s">
        <v>13</v>
      </c>
    </row>
    <row r="1153" spans="2:11" ht="22" x14ac:dyDescent="0.15">
      <c r="B1153" s="27" t="s">
        <v>1692</v>
      </c>
      <c r="C1153" s="27" t="s">
        <v>1693</v>
      </c>
      <c r="D1153" s="30"/>
      <c r="E1153" s="30">
        <v>0</v>
      </c>
      <c r="F1153" s="30">
        <v>0</v>
      </c>
      <c r="G1153" s="30">
        <v>15187101.27</v>
      </c>
      <c r="H1153" s="30"/>
      <c r="I1153" s="30">
        <f t="shared" si="18"/>
        <v>15187101.27</v>
      </c>
      <c r="K1153" t="s">
        <v>37</v>
      </c>
    </row>
    <row r="1154" spans="2:11" ht="22" x14ac:dyDescent="0.15">
      <c r="B1154" s="27" t="s">
        <v>1694</v>
      </c>
      <c r="C1154" s="27" t="s">
        <v>85</v>
      </c>
      <c r="D1154" s="30"/>
      <c r="E1154" s="30">
        <v>0</v>
      </c>
      <c r="F1154" s="30">
        <v>0</v>
      </c>
      <c r="G1154" s="30">
        <v>2895427.74</v>
      </c>
      <c r="H1154" s="30"/>
      <c r="I1154" s="30">
        <f t="shared" si="18"/>
        <v>2895427.74</v>
      </c>
      <c r="K1154" t="s">
        <v>37</v>
      </c>
    </row>
    <row r="1155" spans="2:11" ht="22" x14ac:dyDescent="0.15">
      <c r="B1155" s="27" t="s">
        <v>1695</v>
      </c>
      <c r="C1155" s="27" t="s">
        <v>1696</v>
      </c>
      <c r="D1155" s="30"/>
      <c r="E1155" s="30">
        <v>0</v>
      </c>
      <c r="F1155" s="30">
        <v>0</v>
      </c>
      <c r="G1155" s="30">
        <v>594821.53</v>
      </c>
      <c r="H1155" s="30"/>
      <c r="I1155" s="30">
        <f t="shared" si="18"/>
        <v>594821.53</v>
      </c>
      <c r="K1155" t="s">
        <v>37</v>
      </c>
    </row>
    <row r="1156" spans="2:11" ht="22" x14ac:dyDescent="0.15">
      <c r="B1156" s="27" t="s">
        <v>1697</v>
      </c>
      <c r="C1156" s="27" t="s">
        <v>91</v>
      </c>
      <c r="D1156" s="30"/>
      <c r="E1156" s="30">
        <v>0</v>
      </c>
      <c r="F1156" s="30">
        <v>0</v>
      </c>
      <c r="G1156" s="30">
        <v>1100657.1299999999</v>
      </c>
      <c r="H1156" s="30"/>
      <c r="I1156" s="30">
        <f t="shared" si="18"/>
        <v>1100657.1299999999</v>
      </c>
      <c r="K1156" t="s">
        <v>37</v>
      </c>
    </row>
    <row r="1157" spans="2:11" ht="13" x14ac:dyDescent="0.15">
      <c r="B1157" s="29" t="s">
        <v>1698</v>
      </c>
      <c r="C1157" s="29" t="s">
        <v>1503</v>
      </c>
      <c r="D1157"/>
      <c r="E1157" s="31">
        <f>SUMIFS(E1158:E3130,K1158:K3130,"0",B1158:B3130,"4 2 1 2*")-SUMIFS(D1158:D3130,K1158:K3130,"0",B1158:B3130,"4 2 1 2*")</f>
        <v>0</v>
      </c>
      <c r="F1157" s="31">
        <f>SUMIFS(F1158:F3130,K1158:K3130,"0",B1158:B3130,"4 2 1 2*")</f>
        <v>0</v>
      </c>
      <c r="G1157" s="31">
        <f>SUMIFS(G1158:G3130,K1158:K3130,"0",B1158:B3130,"4 2 1 2*")</f>
        <v>80908234.639999986</v>
      </c>
      <c r="H1157" s="31"/>
      <c r="I1157" s="31">
        <f t="shared" si="18"/>
        <v>80908234.639999986</v>
      </c>
      <c r="K1157" t="s">
        <v>13</v>
      </c>
    </row>
    <row r="1158" spans="2:11" ht="13" x14ac:dyDescent="0.15">
      <c r="B1158" s="29" t="s">
        <v>1699</v>
      </c>
      <c r="C1158" s="29" t="s">
        <v>1503</v>
      </c>
      <c r="D1158"/>
      <c r="E1158" s="31">
        <f>SUMIFS(E1159:E3130,K1159:K3130,"0",B1159:B3130,"4 2 1 2 1*")-SUMIFS(D1159:D3130,K1159:K3130,"0",B1159:B3130,"4 2 1 2 1*")</f>
        <v>0</v>
      </c>
      <c r="F1158" s="31">
        <f>SUMIFS(F1159:F3130,K1159:K3130,"0",B1159:B3130,"4 2 1 2 1*")</f>
        <v>0</v>
      </c>
      <c r="G1158" s="31">
        <f>SUMIFS(G1159:G3130,K1159:K3130,"0",B1159:B3130,"4 2 1 2 1*")</f>
        <v>80908234.639999986</v>
      </c>
      <c r="H1158" s="31"/>
      <c r="I1158" s="31">
        <f t="shared" si="18"/>
        <v>80908234.639999986</v>
      </c>
      <c r="K1158" t="s">
        <v>13</v>
      </c>
    </row>
    <row r="1159" spans="2:11" ht="13" x14ac:dyDescent="0.15">
      <c r="B1159" s="29" t="s">
        <v>1700</v>
      </c>
      <c r="C1159" s="29" t="s">
        <v>24</v>
      </c>
      <c r="D1159"/>
      <c r="E1159" s="31">
        <f>SUMIFS(E1160:E3130,K1160:K3130,"0",B1160:B3130,"4 2 1 2 1 12*")-SUMIFS(D1160:D3130,K1160:K3130,"0",B1160:B3130,"4 2 1 2 1 12*")</f>
        <v>0</v>
      </c>
      <c r="F1159" s="31">
        <f>SUMIFS(F1160:F3130,K1160:K3130,"0",B1160:B3130,"4 2 1 2 1 12*")</f>
        <v>0</v>
      </c>
      <c r="G1159" s="31">
        <f>SUMIFS(G1160:G3130,K1160:K3130,"0",B1160:B3130,"4 2 1 2 1 12*")</f>
        <v>80908234.639999986</v>
      </c>
      <c r="H1159" s="31"/>
      <c r="I1159" s="31">
        <f t="shared" si="18"/>
        <v>80908234.639999986</v>
      </c>
      <c r="K1159" t="s">
        <v>13</v>
      </c>
    </row>
    <row r="1160" spans="2:11" ht="13" x14ac:dyDescent="0.15">
      <c r="B1160" s="29" t="s">
        <v>1701</v>
      </c>
      <c r="C1160" s="29" t="s">
        <v>26</v>
      </c>
      <c r="D1160"/>
      <c r="E1160" s="31">
        <f>SUMIFS(E1161:E3130,K1161:K3130,"0",B1161:B3130,"4 2 1 2 1 12 31111*")-SUMIFS(D1161:D3130,K1161:K3130,"0",B1161:B3130,"4 2 1 2 1 12 31111*")</f>
        <v>0</v>
      </c>
      <c r="F1160" s="31">
        <f>SUMIFS(F1161:F3130,K1161:K3130,"0",B1161:B3130,"4 2 1 2 1 12 31111*")</f>
        <v>0</v>
      </c>
      <c r="G1160" s="31">
        <f>SUMIFS(G1161:G3130,K1161:K3130,"0",B1161:B3130,"4 2 1 2 1 12 31111*")</f>
        <v>80908234.639999986</v>
      </c>
      <c r="H1160" s="31"/>
      <c r="I1160" s="31">
        <f t="shared" si="18"/>
        <v>80908234.639999986</v>
      </c>
      <c r="K1160" t="s">
        <v>13</v>
      </c>
    </row>
    <row r="1161" spans="2:11" ht="13" x14ac:dyDescent="0.15">
      <c r="B1161" s="29" t="s">
        <v>1702</v>
      </c>
      <c r="C1161" s="29" t="s">
        <v>28</v>
      </c>
      <c r="D1161"/>
      <c r="E1161" s="31">
        <f>SUMIFS(E1162:E3130,K1162:K3130,"0",B1162:B3130,"4 2 1 2 1 12 31111 6*")-SUMIFS(D1162:D3130,K1162:K3130,"0",B1162:B3130,"4 2 1 2 1 12 31111 6*")</f>
        <v>0</v>
      </c>
      <c r="F1161" s="31">
        <f>SUMIFS(F1162:F3130,K1162:K3130,"0",B1162:B3130,"4 2 1 2 1 12 31111 6*")</f>
        <v>0</v>
      </c>
      <c r="G1161" s="31">
        <f>SUMIFS(G1162:G3130,K1162:K3130,"0",B1162:B3130,"4 2 1 2 1 12 31111 6*")</f>
        <v>80908234.639999986</v>
      </c>
      <c r="H1161" s="31"/>
      <c r="I1161" s="31">
        <f t="shared" si="18"/>
        <v>80908234.639999986</v>
      </c>
      <c r="K1161" t="s">
        <v>13</v>
      </c>
    </row>
    <row r="1162" spans="2:11" ht="13" x14ac:dyDescent="0.15">
      <c r="B1162" s="29" t="s">
        <v>1703</v>
      </c>
      <c r="C1162" s="29" t="s">
        <v>30</v>
      </c>
      <c r="D1162"/>
      <c r="E1162" s="31">
        <f>SUMIFS(E1163:E3130,K1163:K3130,"0",B1163:B3130,"4 2 1 2 1 12 31111 6 M78*")-SUMIFS(D1163:D3130,K1163:K3130,"0",B1163:B3130,"4 2 1 2 1 12 31111 6 M78*")</f>
        <v>0</v>
      </c>
      <c r="F1162" s="31">
        <f>SUMIFS(F1163:F3130,K1163:K3130,"0",B1163:B3130,"4 2 1 2 1 12 31111 6 M78*")</f>
        <v>0</v>
      </c>
      <c r="G1162" s="31">
        <f>SUMIFS(G1163:G3130,K1163:K3130,"0",B1163:B3130,"4 2 1 2 1 12 31111 6 M78*")</f>
        <v>80908234.639999986</v>
      </c>
      <c r="H1162" s="31"/>
      <c r="I1162" s="31">
        <f t="shared" si="18"/>
        <v>80908234.639999986</v>
      </c>
      <c r="K1162" t="s">
        <v>13</v>
      </c>
    </row>
    <row r="1163" spans="2:11" ht="13" x14ac:dyDescent="0.15">
      <c r="B1163" s="29" t="s">
        <v>1704</v>
      </c>
      <c r="C1163" s="29" t="s">
        <v>261</v>
      </c>
      <c r="D1163"/>
      <c r="E1163" s="31">
        <f>SUMIFS(E1164:E3130,K1164:K3130,"0",B1164:B3130,"4 2 1 2 1 12 31111 6 M78 10000*")-SUMIFS(D1164:D3130,K1164:K3130,"0",B1164:B3130,"4 2 1 2 1 12 31111 6 M78 10000*")</f>
        <v>0</v>
      </c>
      <c r="F1163" s="31">
        <f>SUMIFS(F1164:F3130,K1164:K3130,"0",B1164:B3130,"4 2 1 2 1 12 31111 6 M78 10000*")</f>
        <v>0</v>
      </c>
      <c r="G1163" s="31">
        <f>SUMIFS(G1164:G3130,K1164:K3130,"0",B1164:B3130,"4 2 1 2 1 12 31111 6 M78 10000*")</f>
        <v>69748661.599999994</v>
      </c>
      <c r="H1163" s="31"/>
      <c r="I1163" s="31">
        <f t="shared" si="18"/>
        <v>69748661.599999994</v>
      </c>
      <c r="K1163" t="s">
        <v>13</v>
      </c>
    </row>
    <row r="1164" spans="2:11" ht="13" x14ac:dyDescent="0.15">
      <c r="B1164" s="29" t="s">
        <v>1705</v>
      </c>
      <c r="C1164" s="29" t="s">
        <v>283</v>
      </c>
      <c r="D1164"/>
      <c r="E1164" s="31">
        <f>SUMIFS(E1165:E3130,K1165:K3130,"0",B1165:B3130,"4 2 1 2 1 12 31111 6 M78 10000 222*")-SUMIFS(D1165:D3130,K1165:K3130,"0",B1165:B3130,"4 2 1 2 1 12 31111 6 M78 10000 222*")</f>
        <v>0</v>
      </c>
      <c r="F1164" s="31">
        <f>SUMIFS(F1165:F3130,K1165:K3130,"0",B1165:B3130,"4 2 1 2 1 12 31111 6 M78 10000 222*")</f>
        <v>0</v>
      </c>
      <c r="G1164" s="31">
        <f>SUMIFS(G1165:G3130,K1165:K3130,"0",B1165:B3130,"4 2 1 2 1 12 31111 6 M78 10000 222*")</f>
        <v>69748661.599999994</v>
      </c>
      <c r="H1164" s="31"/>
      <c r="I1164" s="31">
        <f t="shared" si="18"/>
        <v>69748661.599999994</v>
      </c>
      <c r="K1164" t="s">
        <v>13</v>
      </c>
    </row>
    <row r="1165" spans="2:11" ht="13" x14ac:dyDescent="0.15">
      <c r="B1165" s="29" t="s">
        <v>1706</v>
      </c>
      <c r="C1165" s="29" t="s">
        <v>285</v>
      </c>
      <c r="D1165"/>
      <c r="E1165" s="31">
        <f>SUMIFS(E1166:E3130,K1166:K3130,"0",B1166:B3130,"4 2 1 2 1 12 31111 6 M78 10000 222 00I*")-SUMIFS(D1166:D3130,K1166:K3130,"0",B1166:B3130,"4 2 1 2 1 12 31111 6 M78 10000 222 00I*")</f>
        <v>0</v>
      </c>
      <c r="F1165" s="31">
        <f>SUMIFS(F1166:F3130,K1166:K3130,"0",B1166:B3130,"4 2 1 2 1 12 31111 6 M78 10000 222 00I*")</f>
        <v>0</v>
      </c>
      <c r="G1165" s="31">
        <f>SUMIFS(G1166:G3130,K1166:K3130,"0",B1166:B3130,"4 2 1 2 1 12 31111 6 M78 10000 222 00I*")</f>
        <v>69748661.599999994</v>
      </c>
      <c r="H1165" s="31"/>
      <c r="I1165" s="31">
        <f t="shared" si="18"/>
        <v>69748661.599999994</v>
      </c>
      <c r="K1165" t="s">
        <v>13</v>
      </c>
    </row>
    <row r="1166" spans="2:11" ht="13" x14ac:dyDescent="0.15">
      <c r="B1166" s="29" t="s">
        <v>1707</v>
      </c>
      <c r="C1166" s="29" t="s">
        <v>32</v>
      </c>
      <c r="D1166"/>
      <c r="E1166" s="31">
        <f>SUMIFS(E1167:E3130,K1167:K3130,"0",B1167:B3130,"4 2 1 2 1 12 31111 6 M78 10000 222 00I 001*")-SUMIFS(D1167:D3130,K1167:K3130,"0",B1167:B3130,"4 2 1 2 1 12 31111 6 M78 10000 222 00I 001*")</f>
        <v>0</v>
      </c>
      <c r="F1166" s="31">
        <f>SUMIFS(F1167:F3130,K1167:K3130,"0",B1167:B3130,"4 2 1 2 1 12 31111 6 M78 10000 222 00I 001*")</f>
        <v>0</v>
      </c>
      <c r="G1166" s="31">
        <f>SUMIFS(G1167:G3130,K1167:K3130,"0",B1167:B3130,"4 2 1 2 1 12 31111 6 M78 10000 222 00I 001*")</f>
        <v>69748661.599999994</v>
      </c>
      <c r="H1166" s="31"/>
      <c r="I1166" s="31">
        <f t="shared" si="18"/>
        <v>69748661.599999994</v>
      </c>
      <c r="K1166" t="s">
        <v>13</v>
      </c>
    </row>
    <row r="1167" spans="2:11" ht="13" x14ac:dyDescent="0.15">
      <c r="B1167" s="29" t="s">
        <v>1708</v>
      </c>
      <c r="C1167" s="29" t="s">
        <v>1503</v>
      </c>
      <c r="D1167"/>
      <c r="E1167" s="31">
        <f>SUMIFS(E1168:E3130,K1168:K3130,"0",B1168:B3130,"4 2 1 2 1 12 31111 6 M78 10000 222 00I 001 00082*")-SUMIFS(D1168:D3130,K1168:K3130,"0",B1168:B3130,"4 2 1 2 1 12 31111 6 M78 10000 222 00I 001 00082*")</f>
        <v>0</v>
      </c>
      <c r="F1167" s="31">
        <f>SUMIFS(F1168:F3130,K1168:K3130,"0",B1168:B3130,"4 2 1 2 1 12 31111 6 M78 10000 222 00I 001 00082*")</f>
        <v>0</v>
      </c>
      <c r="G1167" s="31">
        <f>SUMIFS(G1168:G3130,K1168:K3130,"0",B1168:B3130,"4 2 1 2 1 12 31111 6 M78 10000 222 00I 001 00082*")</f>
        <v>69748661.599999994</v>
      </c>
      <c r="H1167" s="31"/>
      <c r="I1167" s="31">
        <f t="shared" si="18"/>
        <v>69748661.599999994</v>
      </c>
      <c r="K1167" t="s">
        <v>13</v>
      </c>
    </row>
    <row r="1168" spans="2:11" ht="22" x14ac:dyDescent="0.15">
      <c r="B1168" s="29" t="s">
        <v>1709</v>
      </c>
      <c r="C1168" s="29" t="s">
        <v>290</v>
      </c>
      <c r="D1168"/>
      <c r="E1168" s="31">
        <f>SUMIFS(E1169:E3130,K1169:K3130,"0",B1169:B3130,"4 2 1 2 1 12 31111 6 M78 10000 222 00I 001 00082 025*")-SUMIFS(D1169:D3130,K1169:K3130,"0",B1169:B3130,"4 2 1 2 1 12 31111 6 M78 10000 222 00I 001 00082 025*")</f>
        <v>0</v>
      </c>
      <c r="F1168" s="31">
        <f>SUMIFS(F1169:F3130,K1169:K3130,"0",B1169:B3130,"4 2 1 2 1 12 31111 6 M78 10000 222 00I 001 00082 025*")</f>
        <v>0</v>
      </c>
      <c r="G1168" s="31">
        <f>SUMIFS(G1169:G3130,K1169:K3130,"0",B1169:B3130,"4 2 1 2 1 12 31111 6 M78 10000 222 00I 001 00082 025*")</f>
        <v>69748661.599999994</v>
      </c>
      <c r="H1168" s="31"/>
      <c r="I1168" s="31">
        <f t="shared" si="18"/>
        <v>69748661.599999994</v>
      </c>
      <c r="K1168" t="s">
        <v>13</v>
      </c>
    </row>
    <row r="1169" spans="2:11" ht="22" x14ac:dyDescent="0.15">
      <c r="B1169" s="29" t="s">
        <v>1710</v>
      </c>
      <c r="C1169" s="29" t="s">
        <v>1711</v>
      </c>
      <c r="D1169"/>
      <c r="E1169" s="31">
        <f>SUMIFS(E1170:E3130,K1170:K3130,"0",B1170:B3130,"4 2 1 2 1 12 31111 6 M78 10000 222 00I 001 00082 025 1182200*")-SUMIFS(D1170:D3130,K1170:K3130,"0",B1170:B3130,"4 2 1 2 1 12 31111 6 M78 10000 222 00I 001 00082 025 1182200*")</f>
        <v>0</v>
      </c>
      <c r="F1169" s="31">
        <f>SUMIFS(F1170:F3130,K1170:K3130,"0",B1170:B3130,"4 2 1 2 1 12 31111 6 M78 10000 222 00I 001 00082 025 1182200*")</f>
        <v>0</v>
      </c>
      <c r="G1169" s="31">
        <f>SUMIFS(G1170:G3130,K1170:K3130,"0",B1170:B3130,"4 2 1 2 1 12 31111 6 M78 10000 222 00I 001 00082 025 1182200*")</f>
        <v>69748661.599999994</v>
      </c>
      <c r="H1169" s="31"/>
      <c r="I1169" s="31">
        <f t="shared" si="18"/>
        <v>69748661.599999994</v>
      </c>
      <c r="K1169" t="s">
        <v>13</v>
      </c>
    </row>
    <row r="1170" spans="2:11" ht="22" x14ac:dyDescent="0.15">
      <c r="B1170" s="29" t="s">
        <v>1712</v>
      </c>
      <c r="C1170" s="29" t="s">
        <v>275</v>
      </c>
      <c r="D1170"/>
      <c r="E1170" s="31">
        <f>SUMIFS(E1171:E3130,K1171:K3130,"0",B1171:B3130,"4 2 1 2 1 12 31111 6 M78 10000 222 00I 001 00082 025 1182200 2024*")-SUMIFS(D1171:D3130,K1171:K3130,"0",B1171:B3130,"4 2 1 2 1 12 31111 6 M78 10000 222 00I 001 00082 025 1182200 2024*")</f>
        <v>0</v>
      </c>
      <c r="F1170" s="31">
        <f>SUMIFS(F1171:F3130,K1171:K3130,"0",B1171:B3130,"4 2 1 2 1 12 31111 6 M78 10000 222 00I 001 00082 025 1182200 2024*")</f>
        <v>0</v>
      </c>
      <c r="G1170" s="31">
        <f>SUMIFS(G1171:G3130,K1171:K3130,"0",B1171:B3130,"4 2 1 2 1 12 31111 6 M78 10000 222 00I 001 00082 025 1182200 2024*")</f>
        <v>69748661.599999994</v>
      </c>
      <c r="H1170" s="31"/>
      <c r="I1170" s="31">
        <f t="shared" si="18"/>
        <v>69748661.599999994</v>
      </c>
      <c r="K1170" t="s">
        <v>13</v>
      </c>
    </row>
    <row r="1171" spans="2:11" ht="22" x14ac:dyDescent="0.15">
      <c r="B1171" s="29" t="s">
        <v>1713</v>
      </c>
      <c r="C1171" s="29" t="s">
        <v>1714</v>
      </c>
      <c r="D1171"/>
      <c r="E1171" s="31">
        <f>SUMIFS(E1172:E3130,K1172:K3130,"0",B1172:B3130,"4 2 1 2 1 12 31111 6 M78 10000 222 00I 001 00082 025 1182200 2024 00000000*")-SUMIFS(D1172:D3130,K1172:K3130,"0",B1172:B3130,"4 2 1 2 1 12 31111 6 M78 10000 222 00I 001 00082 025 1182200 2024 00000000*")</f>
        <v>0</v>
      </c>
      <c r="F1171" s="31">
        <f>SUMIFS(F1172:F3130,K1172:K3130,"0",B1172:B3130,"4 2 1 2 1 12 31111 6 M78 10000 222 00I 001 00082 025 1182200 2024 00000000*")</f>
        <v>0</v>
      </c>
      <c r="G1171" s="31">
        <f>SUMIFS(G1172:G3130,K1172:K3130,"0",B1172:B3130,"4 2 1 2 1 12 31111 6 M78 10000 222 00I 001 00082 025 1182200 2024 00000000*")</f>
        <v>69748661.599999994</v>
      </c>
      <c r="H1171" s="31"/>
      <c r="I1171" s="31">
        <f t="shared" si="18"/>
        <v>69748661.599999994</v>
      </c>
      <c r="K1171" t="s">
        <v>13</v>
      </c>
    </row>
    <row r="1172" spans="2:11" ht="22" x14ac:dyDescent="0.15">
      <c r="B1172" s="29" t="s">
        <v>1715</v>
      </c>
      <c r="C1172" s="29" t="s">
        <v>1716</v>
      </c>
      <c r="D1172"/>
      <c r="E1172" s="31">
        <f>SUMIFS(E1173:E3130,K1173:K3130,"0",B1173:B3130,"4 2 1 2 1 12 31111 6 M78 10000 222 00I 001 00082 025 1182200 2024 00000000 002*")-SUMIFS(D1173:D3130,K1173:K3130,"0",B1173:B3130,"4 2 1 2 1 12 31111 6 M78 10000 222 00I 001 00082 025 1182200 2024 00000000 002*")</f>
        <v>0</v>
      </c>
      <c r="F1172" s="31">
        <f>SUMIFS(F1173:F3130,K1173:K3130,"0",B1173:B3130,"4 2 1 2 1 12 31111 6 M78 10000 222 00I 001 00082 025 1182200 2024 00000000 002*")</f>
        <v>0</v>
      </c>
      <c r="G1172" s="31">
        <f>SUMIFS(G1173:G3130,K1173:K3130,"0",B1173:B3130,"4 2 1 2 1 12 31111 6 M78 10000 222 00I 001 00082 025 1182200 2024 00000000 002*")</f>
        <v>69748661.599999994</v>
      </c>
      <c r="H1172" s="31"/>
      <c r="I1172" s="31">
        <f t="shared" si="18"/>
        <v>69748661.599999994</v>
      </c>
      <c r="K1172" t="s">
        <v>13</v>
      </c>
    </row>
    <row r="1173" spans="2:11" ht="22" x14ac:dyDescent="0.15">
      <c r="B1173" s="27" t="s">
        <v>1717</v>
      </c>
      <c r="C1173" s="27" t="s">
        <v>1718</v>
      </c>
      <c r="D1173" s="30"/>
      <c r="E1173" s="30">
        <v>0</v>
      </c>
      <c r="F1173" s="30">
        <v>0</v>
      </c>
      <c r="G1173" s="30">
        <v>69748661.599999994</v>
      </c>
      <c r="H1173" s="30"/>
      <c r="I1173" s="30">
        <f t="shared" si="18"/>
        <v>69748661.599999994</v>
      </c>
      <c r="K1173" t="s">
        <v>37</v>
      </c>
    </row>
    <row r="1174" spans="2:11" ht="13" x14ac:dyDescent="0.15">
      <c r="B1174" s="29" t="s">
        <v>1719</v>
      </c>
      <c r="C1174" s="29" t="s">
        <v>833</v>
      </c>
      <c r="D1174"/>
      <c r="E1174" s="31">
        <f>SUMIFS(E1175:E3130,K1175:K3130,"0",B1175:B3130,"4 2 1 2 1 12 31111 6 M78 15000*")-SUMIFS(D1175:D3130,K1175:K3130,"0",B1175:B3130,"4 2 1 2 1 12 31111 6 M78 15000*")</f>
        <v>0</v>
      </c>
      <c r="F1174" s="31">
        <f>SUMIFS(F1175:F3130,K1175:K3130,"0",B1175:B3130,"4 2 1 2 1 12 31111 6 M78 15000*")</f>
        <v>0</v>
      </c>
      <c r="G1174" s="31">
        <f>SUMIFS(G1175:G3130,K1175:K3130,"0",B1175:B3130,"4 2 1 2 1 12 31111 6 M78 15000*")</f>
        <v>11159573.039999999</v>
      </c>
      <c r="H1174" s="31"/>
      <c r="I1174" s="31">
        <f t="shared" si="18"/>
        <v>11159573.039999999</v>
      </c>
      <c r="K1174" t="s">
        <v>13</v>
      </c>
    </row>
    <row r="1175" spans="2:11" ht="13" x14ac:dyDescent="0.15">
      <c r="B1175" s="29" t="s">
        <v>1720</v>
      </c>
      <c r="C1175" s="29" t="s">
        <v>835</v>
      </c>
      <c r="D1175"/>
      <c r="E1175" s="31">
        <f>SUMIFS(E1176:E3130,K1176:K3130,"0",B1176:B3130,"4 2 1 2 1 12 31111 6 M78 15000 171*")-SUMIFS(D1176:D3130,K1176:K3130,"0",B1176:B3130,"4 2 1 2 1 12 31111 6 M78 15000 171*")</f>
        <v>0</v>
      </c>
      <c r="F1175" s="31">
        <f>SUMIFS(F1176:F3130,K1176:K3130,"0",B1176:B3130,"4 2 1 2 1 12 31111 6 M78 15000 171*")</f>
        <v>0</v>
      </c>
      <c r="G1175" s="31">
        <f>SUMIFS(G1176:G3130,K1176:K3130,"0",B1176:B3130,"4 2 1 2 1 12 31111 6 M78 15000 171*")</f>
        <v>11159573.039999999</v>
      </c>
      <c r="H1175" s="31"/>
      <c r="I1175" s="31">
        <f t="shared" si="18"/>
        <v>11159573.039999999</v>
      </c>
      <c r="K1175" t="s">
        <v>13</v>
      </c>
    </row>
    <row r="1176" spans="2:11" ht="13" x14ac:dyDescent="0.15">
      <c r="B1176" s="29" t="s">
        <v>1721</v>
      </c>
      <c r="C1176" s="29" t="s">
        <v>285</v>
      </c>
      <c r="D1176"/>
      <c r="E1176" s="31">
        <f>SUMIFS(E1177:E3130,K1177:K3130,"0",B1177:B3130,"4 2 1 2 1 12 31111 6 M78 15000 171 00I*")-SUMIFS(D1177:D3130,K1177:K3130,"0",B1177:B3130,"4 2 1 2 1 12 31111 6 M78 15000 171 00I*")</f>
        <v>0</v>
      </c>
      <c r="F1176" s="31">
        <f>SUMIFS(F1177:F3130,K1177:K3130,"0",B1177:B3130,"4 2 1 2 1 12 31111 6 M78 15000 171 00I*")</f>
        <v>0</v>
      </c>
      <c r="G1176" s="31">
        <f>SUMIFS(G1177:G3130,K1177:K3130,"0",B1177:B3130,"4 2 1 2 1 12 31111 6 M78 15000 171 00I*")</f>
        <v>11159573.039999999</v>
      </c>
      <c r="H1176" s="31"/>
      <c r="I1176" s="31">
        <f t="shared" si="18"/>
        <v>11159573.039999999</v>
      </c>
      <c r="K1176" t="s">
        <v>13</v>
      </c>
    </row>
    <row r="1177" spans="2:11" ht="13" x14ac:dyDescent="0.15">
      <c r="B1177" s="29" t="s">
        <v>1722</v>
      </c>
      <c r="C1177" s="29" t="s">
        <v>32</v>
      </c>
      <c r="D1177"/>
      <c r="E1177" s="31">
        <f>SUMIFS(E1178:E3130,K1178:K3130,"0",B1178:B3130,"4 2 1 2 1 12 31111 6 M78 15000 171 00I 001*")-SUMIFS(D1178:D3130,K1178:K3130,"0",B1178:B3130,"4 2 1 2 1 12 31111 6 M78 15000 171 00I 001*")</f>
        <v>0</v>
      </c>
      <c r="F1177" s="31">
        <f>SUMIFS(F1178:F3130,K1178:K3130,"0",B1178:B3130,"4 2 1 2 1 12 31111 6 M78 15000 171 00I 001*")</f>
        <v>0</v>
      </c>
      <c r="G1177" s="31">
        <f>SUMIFS(G1178:G3130,K1178:K3130,"0",B1178:B3130,"4 2 1 2 1 12 31111 6 M78 15000 171 00I 001*")</f>
        <v>11159573.039999999</v>
      </c>
      <c r="H1177" s="31"/>
      <c r="I1177" s="31">
        <f t="shared" si="18"/>
        <v>11159573.039999999</v>
      </c>
      <c r="K1177" t="s">
        <v>13</v>
      </c>
    </row>
    <row r="1178" spans="2:11" ht="13" x14ac:dyDescent="0.15">
      <c r="B1178" s="29" t="s">
        <v>1723</v>
      </c>
      <c r="C1178" s="29" t="s">
        <v>1503</v>
      </c>
      <c r="D1178"/>
      <c r="E1178" s="31">
        <f>SUMIFS(E1179:E3130,K1179:K3130,"0",B1179:B3130,"4 2 1 2 1 12 31111 6 M78 15000 171 00I 001 00082*")-SUMIFS(D1179:D3130,K1179:K3130,"0",B1179:B3130,"4 2 1 2 1 12 31111 6 M78 15000 171 00I 001 00082*")</f>
        <v>0</v>
      </c>
      <c r="F1178" s="31">
        <f>SUMIFS(F1179:F3130,K1179:K3130,"0",B1179:B3130,"4 2 1 2 1 12 31111 6 M78 15000 171 00I 001 00082*")</f>
        <v>0</v>
      </c>
      <c r="G1178" s="31">
        <f>SUMIFS(G1179:G3130,K1179:K3130,"0",B1179:B3130,"4 2 1 2 1 12 31111 6 M78 15000 171 00I 001 00082*")</f>
        <v>11159573.039999999</v>
      </c>
      <c r="H1178" s="31"/>
      <c r="I1178" s="31">
        <f t="shared" si="18"/>
        <v>11159573.039999999</v>
      </c>
      <c r="K1178" t="s">
        <v>13</v>
      </c>
    </row>
    <row r="1179" spans="2:11" ht="22" x14ac:dyDescent="0.15">
      <c r="B1179" s="29" t="s">
        <v>1724</v>
      </c>
      <c r="C1179" s="29" t="s">
        <v>290</v>
      </c>
      <c r="D1179"/>
      <c r="E1179" s="31">
        <f>SUMIFS(E1180:E3130,K1180:K3130,"0",B1180:B3130,"4 2 1 2 1 12 31111 6 M78 15000 171 00I 001 00082 025*")-SUMIFS(D1180:D3130,K1180:K3130,"0",B1180:B3130,"4 2 1 2 1 12 31111 6 M78 15000 171 00I 001 00082 025*")</f>
        <v>0</v>
      </c>
      <c r="F1179" s="31">
        <f>SUMIFS(F1180:F3130,K1180:K3130,"0",B1180:B3130,"4 2 1 2 1 12 31111 6 M78 15000 171 00I 001 00082 025*")</f>
        <v>0</v>
      </c>
      <c r="G1179" s="31">
        <f>SUMIFS(G1180:G3130,K1180:K3130,"0",B1180:B3130,"4 2 1 2 1 12 31111 6 M78 15000 171 00I 001 00082 025*")</f>
        <v>11159573.039999999</v>
      </c>
      <c r="H1179" s="31"/>
      <c r="I1179" s="31">
        <f t="shared" ref="I1179:I1226" si="19">E1179 - F1179 + G1179</f>
        <v>11159573.039999999</v>
      </c>
      <c r="K1179" t="s">
        <v>13</v>
      </c>
    </row>
    <row r="1180" spans="2:11" ht="22" x14ac:dyDescent="0.15">
      <c r="B1180" s="29" t="s">
        <v>1725</v>
      </c>
      <c r="C1180" s="29" t="s">
        <v>1711</v>
      </c>
      <c r="D1180"/>
      <c r="E1180" s="31">
        <f>SUMIFS(E1181:E3130,K1181:K3130,"0",B1181:B3130,"4 2 1 2 1 12 31111 6 M78 15000 171 00I 001 00082 025 1182200*")-SUMIFS(D1181:D3130,K1181:K3130,"0",B1181:B3130,"4 2 1 2 1 12 31111 6 M78 15000 171 00I 001 00082 025 1182200*")</f>
        <v>0</v>
      </c>
      <c r="F1180" s="31">
        <f>SUMIFS(F1181:F3130,K1181:K3130,"0",B1181:B3130,"4 2 1 2 1 12 31111 6 M78 15000 171 00I 001 00082 025 1182200*")</f>
        <v>0</v>
      </c>
      <c r="G1180" s="31">
        <f>SUMIFS(G1181:G3130,K1181:K3130,"0",B1181:B3130,"4 2 1 2 1 12 31111 6 M78 15000 171 00I 001 00082 025 1182200*")</f>
        <v>11159573.039999999</v>
      </c>
      <c r="H1180" s="31"/>
      <c r="I1180" s="31">
        <f t="shared" si="19"/>
        <v>11159573.039999999</v>
      </c>
      <c r="K1180" t="s">
        <v>13</v>
      </c>
    </row>
    <row r="1181" spans="2:11" ht="22" x14ac:dyDescent="0.15">
      <c r="B1181" s="29" t="s">
        <v>1726</v>
      </c>
      <c r="C1181" s="29" t="s">
        <v>275</v>
      </c>
      <c r="D1181"/>
      <c r="E1181" s="31">
        <f>SUMIFS(E1182:E3130,K1182:K3130,"0",B1182:B3130,"4 2 1 2 1 12 31111 6 M78 15000 171 00I 001 00082 025 1182200 2024*")-SUMIFS(D1182:D3130,K1182:K3130,"0",B1182:B3130,"4 2 1 2 1 12 31111 6 M78 15000 171 00I 001 00082 025 1182200 2024*")</f>
        <v>0</v>
      </c>
      <c r="F1181" s="31">
        <f>SUMIFS(F1182:F3130,K1182:K3130,"0",B1182:B3130,"4 2 1 2 1 12 31111 6 M78 15000 171 00I 001 00082 025 1182200 2024*")</f>
        <v>0</v>
      </c>
      <c r="G1181" s="31">
        <f>SUMIFS(G1182:G3130,K1182:K3130,"0",B1182:B3130,"4 2 1 2 1 12 31111 6 M78 15000 171 00I 001 00082 025 1182200 2024*")</f>
        <v>11159573.039999999</v>
      </c>
      <c r="H1181" s="31"/>
      <c r="I1181" s="31">
        <f t="shared" si="19"/>
        <v>11159573.039999999</v>
      </c>
      <c r="K1181" t="s">
        <v>13</v>
      </c>
    </row>
    <row r="1182" spans="2:11" ht="22" x14ac:dyDescent="0.15">
      <c r="B1182" s="29" t="s">
        <v>1727</v>
      </c>
      <c r="C1182" s="29" t="s">
        <v>277</v>
      </c>
      <c r="D1182"/>
      <c r="E1182" s="31">
        <f>SUMIFS(E1183:E3130,K1183:K3130,"0",B1183:B3130,"4 2 1 2 1 12 31111 6 M78 15000 171 00I 001 00082 025 1182200 2024 00000000*")-SUMIFS(D1183:D3130,K1183:K3130,"0",B1183:B3130,"4 2 1 2 1 12 31111 6 M78 15000 171 00I 001 00082 025 1182200 2024 00000000*")</f>
        <v>0</v>
      </c>
      <c r="F1182" s="31">
        <f>SUMIFS(F1183:F3130,K1183:K3130,"0",B1183:B3130,"4 2 1 2 1 12 31111 6 M78 15000 171 00I 001 00082 025 1182200 2024 00000000*")</f>
        <v>0</v>
      </c>
      <c r="G1182" s="31">
        <f>SUMIFS(G1183:G3130,K1183:K3130,"0",B1183:B3130,"4 2 1 2 1 12 31111 6 M78 15000 171 00I 001 00082 025 1182200 2024 00000000*")</f>
        <v>11159573.039999999</v>
      </c>
      <c r="H1182" s="31"/>
      <c r="I1182" s="31">
        <f t="shared" si="19"/>
        <v>11159573.039999999</v>
      </c>
      <c r="K1182" t="s">
        <v>13</v>
      </c>
    </row>
    <row r="1183" spans="2:11" ht="22" x14ac:dyDescent="0.15">
      <c r="B1183" s="29" t="s">
        <v>1728</v>
      </c>
      <c r="C1183" s="29" t="s">
        <v>581</v>
      </c>
      <c r="D1183"/>
      <c r="E1183" s="31">
        <f>SUMIFS(E1184:E3130,K1184:K3130,"0",B1184:B3130,"4 2 1 2 1 12 31111 6 M78 15000 171 00I 001 00082 025 1182200 2024 00000000 003*")-SUMIFS(D1184:D3130,K1184:K3130,"0",B1184:B3130,"4 2 1 2 1 12 31111 6 M78 15000 171 00I 001 00082 025 1182200 2024 00000000 003*")</f>
        <v>0</v>
      </c>
      <c r="F1183" s="31">
        <f>SUMIFS(F1184:F3130,K1184:K3130,"0",B1184:B3130,"4 2 1 2 1 12 31111 6 M78 15000 171 00I 001 00082 025 1182200 2024 00000000 003*")</f>
        <v>0</v>
      </c>
      <c r="G1183" s="31">
        <f>SUMIFS(G1184:G3130,K1184:K3130,"0",B1184:B3130,"4 2 1 2 1 12 31111 6 M78 15000 171 00I 001 00082 025 1182200 2024 00000000 003*")</f>
        <v>11159573.039999999</v>
      </c>
      <c r="H1183" s="31"/>
      <c r="I1183" s="31">
        <f t="shared" si="19"/>
        <v>11159573.039999999</v>
      </c>
      <c r="K1183" t="s">
        <v>13</v>
      </c>
    </row>
    <row r="1184" spans="2:11" ht="22" x14ac:dyDescent="0.15">
      <c r="B1184" s="27" t="s">
        <v>1729</v>
      </c>
      <c r="C1184" s="27" t="s">
        <v>1730</v>
      </c>
      <c r="D1184" s="30"/>
      <c r="E1184" s="30">
        <v>0</v>
      </c>
      <c r="F1184" s="30">
        <v>0</v>
      </c>
      <c r="G1184" s="30">
        <v>11159573.039999999</v>
      </c>
      <c r="H1184" s="30"/>
      <c r="I1184" s="30">
        <f t="shared" si="19"/>
        <v>11159573.039999999</v>
      </c>
      <c r="K1184" t="s">
        <v>37</v>
      </c>
    </row>
    <row r="1185" spans="2:11" ht="13" x14ac:dyDescent="0.15">
      <c r="B1185" s="29" t="s">
        <v>1731</v>
      </c>
      <c r="C1185" s="29" t="s">
        <v>1732</v>
      </c>
      <c r="D1185"/>
      <c r="E1185" s="31">
        <f>SUMIFS(E1186:E3130,K1186:K3130,"0",B1186:B3130,"4 2 1 4*")-SUMIFS(D1186:D3130,K1186:K3130,"0",B1186:B3130,"4 2 1 4*")</f>
        <v>0</v>
      </c>
      <c r="F1185" s="31">
        <f>SUMIFS(F1186:F3130,K1186:K3130,"0",B1186:B3130,"4 2 1 4*")</f>
        <v>0</v>
      </c>
      <c r="G1185" s="31">
        <f>SUMIFS(G1186:G3130,K1186:K3130,"0",B1186:B3130,"4 2 1 4*")</f>
        <v>2046513.66</v>
      </c>
      <c r="H1185" s="31"/>
      <c r="I1185" s="31">
        <f t="shared" si="19"/>
        <v>2046513.66</v>
      </c>
      <c r="K1185" t="s">
        <v>13</v>
      </c>
    </row>
    <row r="1186" spans="2:11" ht="13" x14ac:dyDescent="0.15">
      <c r="B1186" s="29" t="s">
        <v>1733</v>
      </c>
      <c r="C1186" s="29" t="s">
        <v>1732</v>
      </c>
      <c r="D1186"/>
      <c r="E1186" s="31">
        <f>SUMIFS(E1187:E3130,K1187:K3130,"0",B1187:B3130,"4 2 1 4 1*")-SUMIFS(D1187:D3130,K1187:K3130,"0",B1187:B3130,"4 2 1 4 1*")</f>
        <v>0</v>
      </c>
      <c r="F1186" s="31">
        <f>SUMIFS(F1187:F3130,K1187:K3130,"0",B1187:B3130,"4 2 1 4 1*")</f>
        <v>0</v>
      </c>
      <c r="G1186" s="31">
        <f>SUMIFS(G1187:G3130,K1187:K3130,"0",B1187:B3130,"4 2 1 4 1*")</f>
        <v>2046513.66</v>
      </c>
      <c r="H1186" s="31"/>
      <c r="I1186" s="31">
        <f t="shared" si="19"/>
        <v>2046513.66</v>
      </c>
      <c r="K1186" t="s">
        <v>13</v>
      </c>
    </row>
    <row r="1187" spans="2:11" ht="13" x14ac:dyDescent="0.15">
      <c r="B1187" s="29" t="s">
        <v>1734</v>
      </c>
      <c r="C1187" s="29" t="s">
        <v>24</v>
      </c>
      <c r="D1187"/>
      <c r="E1187" s="31">
        <f>SUMIFS(E1188:E3130,K1188:K3130,"0",B1188:B3130,"4 2 1 4 1 12*")-SUMIFS(D1188:D3130,K1188:K3130,"0",B1188:B3130,"4 2 1 4 1 12*")</f>
        <v>0</v>
      </c>
      <c r="F1187" s="31">
        <f>SUMIFS(F1188:F3130,K1188:K3130,"0",B1188:B3130,"4 2 1 4 1 12*")</f>
        <v>0</v>
      </c>
      <c r="G1187" s="31">
        <f>SUMIFS(G1188:G3130,K1188:K3130,"0",B1188:B3130,"4 2 1 4 1 12*")</f>
        <v>2046513.66</v>
      </c>
      <c r="H1187" s="31"/>
      <c r="I1187" s="31">
        <f t="shared" si="19"/>
        <v>2046513.66</v>
      </c>
      <c r="K1187" t="s">
        <v>13</v>
      </c>
    </row>
    <row r="1188" spans="2:11" ht="13" x14ac:dyDescent="0.15">
      <c r="B1188" s="29" t="s">
        <v>1735</v>
      </c>
      <c r="C1188" s="29" t="s">
        <v>26</v>
      </c>
      <c r="D1188"/>
      <c r="E1188" s="31">
        <f>SUMIFS(E1189:E3130,K1189:K3130,"0",B1189:B3130,"4 2 1 4 1 12 31111*")-SUMIFS(D1189:D3130,K1189:K3130,"0",B1189:B3130,"4 2 1 4 1 12 31111*")</f>
        <v>0</v>
      </c>
      <c r="F1188" s="31">
        <f>SUMIFS(F1189:F3130,K1189:K3130,"0",B1189:B3130,"4 2 1 4 1 12 31111*")</f>
        <v>0</v>
      </c>
      <c r="G1188" s="31">
        <f>SUMIFS(G1189:G3130,K1189:K3130,"0",B1189:B3130,"4 2 1 4 1 12 31111*")</f>
        <v>2046513.66</v>
      </c>
      <c r="H1188" s="31"/>
      <c r="I1188" s="31">
        <f t="shared" si="19"/>
        <v>2046513.66</v>
      </c>
      <c r="K1188" t="s">
        <v>13</v>
      </c>
    </row>
    <row r="1189" spans="2:11" ht="13" x14ac:dyDescent="0.15">
      <c r="B1189" s="29" t="s">
        <v>1736</v>
      </c>
      <c r="C1189" s="29" t="s">
        <v>28</v>
      </c>
      <c r="D1189"/>
      <c r="E1189" s="31">
        <f>SUMIFS(E1190:E3130,K1190:K3130,"0",B1190:B3130,"4 2 1 4 1 12 31111 6*")-SUMIFS(D1190:D3130,K1190:K3130,"0",B1190:B3130,"4 2 1 4 1 12 31111 6*")</f>
        <v>0</v>
      </c>
      <c r="F1189" s="31">
        <f>SUMIFS(F1190:F3130,K1190:K3130,"0",B1190:B3130,"4 2 1 4 1 12 31111 6*")</f>
        <v>0</v>
      </c>
      <c r="G1189" s="31">
        <f>SUMIFS(G1190:G3130,K1190:K3130,"0",B1190:B3130,"4 2 1 4 1 12 31111 6*")</f>
        <v>2046513.66</v>
      </c>
      <c r="H1189" s="31"/>
      <c r="I1189" s="31">
        <f t="shared" si="19"/>
        <v>2046513.66</v>
      </c>
      <c r="K1189" t="s">
        <v>13</v>
      </c>
    </row>
    <row r="1190" spans="2:11" ht="13" x14ac:dyDescent="0.15">
      <c r="B1190" s="29" t="s">
        <v>1737</v>
      </c>
      <c r="C1190" s="29" t="s">
        <v>1567</v>
      </c>
      <c r="D1190"/>
      <c r="E1190" s="31">
        <f>SUMIFS(E1191:E3130,K1191:K3130,"0",B1191:B3130,"4 2 1 4 1 12 31111 6 M78*")-SUMIFS(D1191:D3130,K1191:K3130,"0",B1191:B3130,"4 2 1 4 1 12 31111 6 M78*")</f>
        <v>0</v>
      </c>
      <c r="F1190" s="31">
        <f>SUMIFS(F1191:F3130,K1191:K3130,"0",B1191:B3130,"4 2 1 4 1 12 31111 6 M78*")</f>
        <v>0</v>
      </c>
      <c r="G1190" s="31">
        <f>SUMIFS(G1191:G3130,K1191:K3130,"0",B1191:B3130,"4 2 1 4 1 12 31111 6 M78*")</f>
        <v>2046513.66</v>
      </c>
      <c r="H1190" s="31"/>
      <c r="I1190" s="31">
        <f t="shared" si="19"/>
        <v>2046513.66</v>
      </c>
      <c r="K1190" t="s">
        <v>13</v>
      </c>
    </row>
    <row r="1191" spans="2:11" ht="13" x14ac:dyDescent="0.15">
      <c r="B1191" s="29" t="s">
        <v>1738</v>
      </c>
      <c r="C1191" s="29" t="s">
        <v>8</v>
      </c>
      <c r="D1191"/>
      <c r="E1191" s="31">
        <f>SUMIFS(E1192:E3130,K1192:K3130,"0",B1192:B3130,"4 2 1 4 1 12 31111 6 M78 07000*")-SUMIFS(D1192:D3130,K1192:K3130,"0",B1192:B3130,"4 2 1 4 1 12 31111 6 M78 07000*")</f>
        <v>0</v>
      </c>
      <c r="F1191" s="31">
        <f>SUMIFS(F1192:F3130,K1192:K3130,"0",B1192:B3130,"4 2 1 4 1 12 31111 6 M78 07000*")</f>
        <v>0</v>
      </c>
      <c r="G1191" s="31">
        <f>SUMIFS(G1192:G3130,K1192:K3130,"0",B1192:B3130,"4 2 1 4 1 12 31111 6 M78 07000*")</f>
        <v>2046513.66</v>
      </c>
      <c r="H1191" s="31"/>
      <c r="I1191" s="31">
        <f t="shared" si="19"/>
        <v>2046513.66</v>
      </c>
      <c r="K1191" t="s">
        <v>13</v>
      </c>
    </row>
    <row r="1192" spans="2:11" ht="13" x14ac:dyDescent="0.15">
      <c r="B1192" s="29" t="s">
        <v>1739</v>
      </c>
      <c r="C1192" s="29" t="s">
        <v>588</v>
      </c>
      <c r="D1192"/>
      <c r="E1192" s="31">
        <f>SUMIFS(E1193:E3130,K1193:K3130,"0",B1193:B3130,"4 2 1 4 1 12 31111 6 M78 07000 151*")-SUMIFS(D1193:D3130,K1193:K3130,"0",B1193:B3130,"4 2 1 4 1 12 31111 6 M78 07000 151*")</f>
        <v>0</v>
      </c>
      <c r="F1192" s="31">
        <f>SUMIFS(F1193:F3130,K1193:K3130,"0",B1193:B3130,"4 2 1 4 1 12 31111 6 M78 07000 151*")</f>
        <v>0</v>
      </c>
      <c r="G1192" s="31">
        <f>SUMIFS(G1193:G3130,K1193:K3130,"0",B1193:B3130,"4 2 1 4 1 12 31111 6 M78 07000 151*")</f>
        <v>2046513.66</v>
      </c>
      <c r="H1192" s="31"/>
      <c r="I1192" s="31">
        <f t="shared" si="19"/>
        <v>2046513.66</v>
      </c>
      <c r="K1192" t="s">
        <v>13</v>
      </c>
    </row>
    <row r="1193" spans="2:11" ht="13" x14ac:dyDescent="0.15">
      <c r="B1193" s="29" t="s">
        <v>1740</v>
      </c>
      <c r="C1193" s="29" t="s">
        <v>265</v>
      </c>
      <c r="D1193"/>
      <c r="E1193" s="31">
        <f>SUMIFS(E1194:E3130,K1194:K3130,"0",B1194:B3130,"4 2 1 4 1 12 31111 6 M78 07000 151 00C*")-SUMIFS(D1194:D3130,K1194:K3130,"0",B1194:B3130,"4 2 1 4 1 12 31111 6 M78 07000 151 00C*")</f>
        <v>0</v>
      </c>
      <c r="F1193" s="31">
        <f>SUMIFS(F1194:F3130,K1194:K3130,"0",B1194:B3130,"4 2 1 4 1 12 31111 6 M78 07000 151 00C*")</f>
        <v>0</v>
      </c>
      <c r="G1193" s="31">
        <f>SUMIFS(G1194:G3130,K1194:K3130,"0",B1194:B3130,"4 2 1 4 1 12 31111 6 M78 07000 151 00C*")</f>
        <v>2046513.66</v>
      </c>
      <c r="H1193" s="31"/>
      <c r="I1193" s="31">
        <f t="shared" si="19"/>
        <v>2046513.66</v>
      </c>
      <c r="K1193" t="s">
        <v>13</v>
      </c>
    </row>
    <row r="1194" spans="2:11" ht="13" x14ac:dyDescent="0.15">
      <c r="B1194" s="29" t="s">
        <v>1741</v>
      </c>
      <c r="C1194" s="29" t="s">
        <v>32</v>
      </c>
      <c r="D1194"/>
      <c r="E1194" s="31">
        <f>SUMIFS(E1195:E3130,K1195:K3130,"0",B1195:B3130,"4 2 1 4 1 12 31111 6 M78 07000 151 00C 001*")-SUMIFS(D1195:D3130,K1195:K3130,"0",B1195:B3130,"4 2 1 4 1 12 31111 6 M78 07000 151 00C 001*")</f>
        <v>0</v>
      </c>
      <c r="F1194" s="31">
        <f>SUMIFS(F1195:F3130,K1195:K3130,"0",B1195:B3130,"4 2 1 4 1 12 31111 6 M78 07000 151 00C 001*")</f>
        <v>0</v>
      </c>
      <c r="G1194" s="31">
        <f>SUMIFS(G1195:G3130,K1195:K3130,"0",B1195:B3130,"4 2 1 4 1 12 31111 6 M78 07000 151 00C 001*")</f>
        <v>2046513.66</v>
      </c>
      <c r="H1194" s="31"/>
      <c r="I1194" s="31">
        <f t="shared" si="19"/>
        <v>2046513.66</v>
      </c>
      <c r="K1194" t="s">
        <v>13</v>
      </c>
    </row>
    <row r="1195" spans="2:11" ht="13" x14ac:dyDescent="0.15">
      <c r="B1195" s="29" t="s">
        <v>1742</v>
      </c>
      <c r="C1195" s="29" t="s">
        <v>1732</v>
      </c>
      <c r="D1195"/>
      <c r="E1195" s="31">
        <f>SUMIFS(E1196:E3130,K1196:K3130,"0",B1196:B3130,"4 2 1 4 1 12 31111 6 M78 07000 151 00C 001 00084*")-SUMIFS(D1196:D3130,K1196:K3130,"0",B1196:B3130,"4 2 1 4 1 12 31111 6 M78 07000 151 00C 001 00084*")</f>
        <v>0</v>
      </c>
      <c r="F1195" s="31">
        <f>SUMIFS(F1196:F3130,K1196:K3130,"0",B1196:B3130,"4 2 1 4 1 12 31111 6 M78 07000 151 00C 001 00084*")</f>
        <v>0</v>
      </c>
      <c r="G1195" s="31">
        <f>SUMIFS(G1196:G3130,K1196:K3130,"0",B1196:B3130,"4 2 1 4 1 12 31111 6 M78 07000 151 00C 001 00084*")</f>
        <v>2046513.66</v>
      </c>
      <c r="H1195" s="31"/>
      <c r="I1195" s="31">
        <f t="shared" si="19"/>
        <v>2046513.66</v>
      </c>
      <c r="K1195" t="s">
        <v>13</v>
      </c>
    </row>
    <row r="1196" spans="2:11" ht="22" x14ac:dyDescent="0.15">
      <c r="B1196" s="29" t="s">
        <v>1743</v>
      </c>
      <c r="C1196" s="29" t="s">
        <v>271</v>
      </c>
      <c r="D1196"/>
      <c r="E1196" s="31">
        <f>SUMIFS(E1197:E3130,K1197:K3130,"0",B1197:B3130,"4 2 1 4 1 12 31111 6 M78 07000 151 00C 001 00084 015*")-SUMIFS(D1197:D3130,K1197:K3130,"0",B1197:B3130,"4 2 1 4 1 12 31111 6 M78 07000 151 00C 001 00084 015*")</f>
        <v>0</v>
      </c>
      <c r="F1196" s="31">
        <f>SUMIFS(F1197:F3130,K1197:K3130,"0",B1197:B3130,"4 2 1 4 1 12 31111 6 M78 07000 151 00C 001 00084 015*")</f>
        <v>0</v>
      </c>
      <c r="G1196" s="31">
        <f>SUMIFS(G1197:G3130,K1197:K3130,"0",B1197:B3130,"4 2 1 4 1 12 31111 6 M78 07000 151 00C 001 00084 015*")</f>
        <v>2046513.66</v>
      </c>
      <c r="H1196" s="31"/>
      <c r="I1196" s="31">
        <f t="shared" si="19"/>
        <v>2046513.66</v>
      </c>
      <c r="K1196" t="s">
        <v>13</v>
      </c>
    </row>
    <row r="1197" spans="2:11" ht="22" x14ac:dyDescent="0.15">
      <c r="B1197" s="29" t="s">
        <v>1744</v>
      </c>
      <c r="C1197" s="29" t="s">
        <v>1676</v>
      </c>
      <c r="D1197"/>
      <c r="E1197" s="31">
        <f>SUMIFS(E1198:E3130,K1198:K3130,"0",B1198:B3130,"4 2 1 4 1 12 31111 6 M78 07000 151 00C 001 00084 015 1190000*")-SUMIFS(D1198:D3130,K1198:K3130,"0",B1198:B3130,"4 2 1 4 1 12 31111 6 M78 07000 151 00C 001 00084 015 1190000*")</f>
        <v>0</v>
      </c>
      <c r="F1197" s="31">
        <f>SUMIFS(F1198:F3130,K1198:K3130,"0",B1198:B3130,"4 2 1 4 1 12 31111 6 M78 07000 151 00C 001 00084 015 1190000*")</f>
        <v>0</v>
      </c>
      <c r="G1197" s="31">
        <f>SUMIFS(G1198:G3130,K1198:K3130,"0",B1198:B3130,"4 2 1 4 1 12 31111 6 M78 07000 151 00C 001 00084 015 1190000*")</f>
        <v>2046513.66</v>
      </c>
      <c r="H1197" s="31"/>
      <c r="I1197" s="31">
        <f t="shared" si="19"/>
        <v>2046513.66</v>
      </c>
      <c r="K1197" t="s">
        <v>13</v>
      </c>
    </row>
    <row r="1198" spans="2:11" ht="22" x14ac:dyDescent="0.15">
      <c r="B1198" s="29" t="s">
        <v>1745</v>
      </c>
      <c r="C1198" s="29" t="s">
        <v>275</v>
      </c>
      <c r="D1198"/>
      <c r="E1198" s="31">
        <f>SUMIFS(E1199:E3130,K1199:K3130,"0",B1199:B3130,"4 2 1 4 1 12 31111 6 M78 07000 151 00C 001 00084 015 1190000 2024*")-SUMIFS(D1199:D3130,K1199:K3130,"0",B1199:B3130,"4 2 1 4 1 12 31111 6 M78 07000 151 00C 001 00084 015 1190000 2024*")</f>
        <v>0</v>
      </c>
      <c r="F1198" s="31">
        <f>SUMIFS(F1199:F3130,K1199:K3130,"0",B1199:B3130,"4 2 1 4 1 12 31111 6 M78 07000 151 00C 001 00084 015 1190000 2024*")</f>
        <v>0</v>
      </c>
      <c r="G1198" s="31">
        <f>SUMIFS(G1199:G3130,K1199:K3130,"0",B1199:B3130,"4 2 1 4 1 12 31111 6 M78 07000 151 00C 001 00084 015 1190000 2024*")</f>
        <v>2046513.66</v>
      </c>
      <c r="H1198" s="31"/>
      <c r="I1198" s="31">
        <f t="shared" si="19"/>
        <v>2046513.66</v>
      </c>
      <c r="K1198" t="s">
        <v>13</v>
      </c>
    </row>
    <row r="1199" spans="2:11" ht="22" x14ac:dyDescent="0.15">
      <c r="B1199" s="29" t="s">
        <v>1746</v>
      </c>
      <c r="C1199" s="29" t="s">
        <v>277</v>
      </c>
      <c r="D1199"/>
      <c r="E1199" s="31">
        <f>SUMIFS(E1200:E3130,K1200:K3130,"0",B1200:B3130,"4 2 1 4 1 12 31111 6 M78 07000 151 00C 001 00084 015 1190000 2024 00000000*")-SUMIFS(D1200:D3130,K1200:K3130,"0",B1200:B3130,"4 2 1 4 1 12 31111 6 M78 07000 151 00C 001 00084 015 1190000 2024 00000000*")</f>
        <v>0</v>
      </c>
      <c r="F1199" s="31">
        <f>SUMIFS(F1200:F3130,K1200:K3130,"0",B1200:B3130,"4 2 1 4 1 12 31111 6 M78 07000 151 00C 001 00084 015 1190000 2024 00000000*")</f>
        <v>0</v>
      </c>
      <c r="G1199" s="31">
        <f>SUMIFS(G1200:G3130,K1200:K3130,"0",B1200:B3130,"4 2 1 4 1 12 31111 6 M78 07000 151 00C 001 00084 015 1190000 2024 00000000*")</f>
        <v>2046513.66</v>
      </c>
      <c r="H1199" s="31"/>
      <c r="I1199" s="31">
        <f t="shared" si="19"/>
        <v>2046513.66</v>
      </c>
      <c r="K1199" t="s">
        <v>13</v>
      </c>
    </row>
    <row r="1200" spans="2:11" ht="22" x14ac:dyDescent="0.15">
      <c r="B1200" s="29" t="s">
        <v>1747</v>
      </c>
      <c r="C1200" s="29" t="s">
        <v>32</v>
      </c>
      <c r="D1200"/>
      <c r="E1200" s="31">
        <f>SUMIFS(E1201:E3130,K1201:K3130,"0",B1201:B3130,"4 2 1 4 1 12 31111 6 M78 07000 151 00C 001 00084 015 1190000 2024 00000000 001*")-SUMIFS(D1201:D3130,K1201:K3130,"0",B1201:B3130,"4 2 1 4 1 12 31111 6 M78 07000 151 00C 001 00084 015 1190000 2024 00000000 001*")</f>
        <v>0</v>
      </c>
      <c r="F1200" s="31">
        <f>SUMIFS(F1201:F3130,K1201:K3130,"0",B1201:B3130,"4 2 1 4 1 12 31111 6 M78 07000 151 00C 001 00084 015 1190000 2024 00000000 001*")</f>
        <v>0</v>
      </c>
      <c r="G1200" s="31">
        <f>SUMIFS(G1201:G3130,K1201:K3130,"0",B1201:B3130,"4 2 1 4 1 12 31111 6 M78 07000 151 00C 001 00084 015 1190000 2024 00000000 001*")</f>
        <v>2046513.66</v>
      </c>
      <c r="H1200" s="31"/>
      <c r="I1200" s="31">
        <f t="shared" si="19"/>
        <v>2046513.66</v>
      </c>
      <c r="K1200" t="s">
        <v>13</v>
      </c>
    </row>
    <row r="1201" spans="2:11" ht="22" x14ac:dyDescent="0.15">
      <c r="B1201" s="27" t="s">
        <v>1748</v>
      </c>
      <c r="C1201" s="27" t="s">
        <v>1483</v>
      </c>
      <c r="D1201" s="30"/>
      <c r="E1201" s="30">
        <v>0</v>
      </c>
      <c r="F1201" s="30">
        <v>0</v>
      </c>
      <c r="G1201" s="30">
        <v>2023754</v>
      </c>
      <c r="H1201" s="30"/>
      <c r="I1201" s="30">
        <f t="shared" si="19"/>
        <v>2023754</v>
      </c>
      <c r="K1201" t="s">
        <v>37</v>
      </c>
    </row>
    <row r="1202" spans="2:11" ht="22" x14ac:dyDescent="0.15">
      <c r="B1202" s="27" t="s">
        <v>1749</v>
      </c>
      <c r="C1202" s="27" t="s">
        <v>1750</v>
      </c>
      <c r="D1202" s="30"/>
      <c r="E1202" s="30">
        <v>0</v>
      </c>
      <c r="F1202" s="30">
        <v>0</v>
      </c>
      <c r="G1202" s="30">
        <v>22759.66</v>
      </c>
      <c r="H1202" s="30"/>
      <c r="I1202" s="30">
        <f t="shared" si="19"/>
        <v>22759.66</v>
      </c>
      <c r="K1202" t="s">
        <v>37</v>
      </c>
    </row>
    <row r="1203" spans="2:11" ht="22" x14ac:dyDescent="0.15">
      <c r="B1203" s="29" t="s">
        <v>1751</v>
      </c>
      <c r="C1203" s="29" t="s">
        <v>1752</v>
      </c>
      <c r="D1203"/>
      <c r="E1203" s="31">
        <f>SUMIFS(E1204:E3130,K1204:K3130,"0",B1204:B3130,"4 2 2*")-SUMIFS(D1204:D3130,K1204:K3130,"0",B1204:B3130,"4 2 2*")</f>
        <v>0</v>
      </c>
      <c r="F1203" s="31">
        <f>SUMIFS(F1204:F3130,K1204:K3130,"0",B1204:B3130,"4 2 2*")</f>
        <v>0</v>
      </c>
      <c r="G1203" s="31">
        <f>SUMIFS(G1204:G3130,K1204:K3130,"0",B1204:B3130,"4 2 2*")</f>
        <v>885318</v>
      </c>
      <c r="H1203" s="31"/>
      <c r="I1203" s="31">
        <f t="shared" si="19"/>
        <v>885318</v>
      </c>
      <c r="K1203" t="s">
        <v>13</v>
      </c>
    </row>
    <row r="1204" spans="2:11" ht="13" x14ac:dyDescent="0.15">
      <c r="B1204" s="29" t="s">
        <v>1753</v>
      </c>
      <c r="C1204" s="29" t="s">
        <v>1754</v>
      </c>
      <c r="D1204"/>
      <c r="E1204" s="31">
        <f>SUMIFS(E1205:E3130,K1205:K3130,"0",B1205:B3130,"4 2 2 3*")-SUMIFS(D1205:D3130,K1205:K3130,"0",B1205:B3130,"4 2 2 3*")</f>
        <v>0</v>
      </c>
      <c r="F1204" s="31">
        <f>SUMIFS(F1205:F3130,K1205:K3130,"0",B1205:B3130,"4 2 2 3*")</f>
        <v>0</v>
      </c>
      <c r="G1204" s="31">
        <f>SUMIFS(G1205:G3130,K1205:K3130,"0",B1205:B3130,"4 2 2 3*")</f>
        <v>885318</v>
      </c>
      <c r="H1204" s="31"/>
      <c r="I1204" s="31">
        <f t="shared" si="19"/>
        <v>885318</v>
      </c>
      <c r="K1204" t="s">
        <v>13</v>
      </c>
    </row>
    <row r="1205" spans="2:11" ht="13" x14ac:dyDescent="0.15">
      <c r="B1205" s="29" t="s">
        <v>1755</v>
      </c>
      <c r="C1205" s="29" t="s">
        <v>1754</v>
      </c>
      <c r="D1205"/>
      <c r="E1205" s="31">
        <f>SUMIFS(E1206:E3130,K1206:K3130,"0",B1206:B3130,"4 2 2 3 1*")-SUMIFS(D1206:D3130,K1206:K3130,"0",B1206:B3130,"4 2 2 3 1*")</f>
        <v>0</v>
      </c>
      <c r="F1205" s="31">
        <f>SUMIFS(F1206:F3130,K1206:K3130,"0",B1206:B3130,"4 2 2 3 1*")</f>
        <v>0</v>
      </c>
      <c r="G1205" s="31">
        <f>SUMIFS(G1206:G3130,K1206:K3130,"0",B1206:B3130,"4 2 2 3 1*")</f>
        <v>885318</v>
      </c>
      <c r="H1205" s="31"/>
      <c r="I1205" s="31">
        <f t="shared" si="19"/>
        <v>885318</v>
      </c>
      <c r="K1205" t="s">
        <v>13</v>
      </c>
    </row>
    <row r="1206" spans="2:11" ht="13" x14ac:dyDescent="0.15">
      <c r="B1206" s="29" t="s">
        <v>1756</v>
      </c>
      <c r="C1206" s="29" t="s">
        <v>24</v>
      </c>
      <c r="D1206"/>
      <c r="E1206" s="31">
        <f>SUMIFS(E1207:E3130,K1207:K3130,"0",B1207:B3130,"4 2 2 3 1 12*")-SUMIFS(D1207:D3130,K1207:K3130,"0",B1207:B3130,"4 2 2 3 1 12*")</f>
        <v>0</v>
      </c>
      <c r="F1206" s="31">
        <f>SUMIFS(F1207:F3130,K1207:K3130,"0",B1207:B3130,"4 2 2 3 1 12*")</f>
        <v>0</v>
      </c>
      <c r="G1206" s="31">
        <f>SUMIFS(G1207:G3130,K1207:K3130,"0",B1207:B3130,"4 2 2 3 1 12*")</f>
        <v>885318</v>
      </c>
      <c r="H1206" s="31"/>
      <c r="I1206" s="31">
        <f t="shared" si="19"/>
        <v>885318</v>
      </c>
      <c r="K1206" t="s">
        <v>13</v>
      </c>
    </row>
    <row r="1207" spans="2:11" ht="13" x14ac:dyDescent="0.15">
      <c r="B1207" s="29" t="s">
        <v>1757</v>
      </c>
      <c r="C1207" s="29" t="s">
        <v>26</v>
      </c>
      <c r="D1207"/>
      <c r="E1207" s="31">
        <f>SUMIFS(E1208:E3130,K1208:K3130,"0",B1208:B3130,"4 2 2 3 1 12 31111*")-SUMIFS(D1208:D3130,K1208:K3130,"0",B1208:B3130,"4 2 2 3 1 12 31111*")</f>
        <v>0</v>
      </c>
      <c r="F1207" s="31">
        <f>SUMIFS(F1208:F3130,K1208:K3130,"0",B1208:B3130,"4 2 2 3 1 12 31111*")</f>
        <v>0</v>
      </c>
      <c r="G1207" s="31">
        <f>SUMIFS(G1208:G3130,K1208:K3130,"0",B1208:B3130,"4 2 2 3 1 12 31111*")</f>
        <v>885318</v>
      </c>
      <c r="H1207" s="31"/>
      <c r="I1207" s="31">
        <f t="shared" si="19"/>
        <v>885318</v>
      </c>
      <c r="K1207" t="s">
        <v>13</v>
      </c>
    </row>
    <row r="1208" spans="2:11" ht="13" x14ac:dyDescent="0.15">
      <c r="B1208" s="29" t="s">
        <v>1758</v>
      </c>
      <c r="C1208" s="29" t="s">
        <v>28</v>
      </c>
      <c r="D1208"/>
      <c r="E1208" s="31">
        <f>SUMIFS(E1209:E3130,K1209:K3130,"0",B1209:B3130,"4 2 2 3 1 12 31111 6*")-SUMIFS(D1209:D3130,K1209:K3130,"0",B1209:B3130,"4 2 2 3 1 12 31111 6*")</f>
        <v>0</v>
      </c>
      <c r="F1208" s="31">
        <f>SUMIFS(F1209:F3130,K1209:K3130,"0",B1209:B3130,"4 2 2 3 1 12 31111 6*")</f>
        <v>0</v>
      </c>
      <c r="G1208" s="31">
        <f>SUMIFS(G1209:G3130,K1209:K3130,"0",B1209:B3130,"4 2 2 3 1 12 31111 6*")</f>
        <v>885318</v>
      </c>
      <c r="H1208" s="31"/>
      <c r="I1208" s="31">
        <f t="shared" si="19"/>
        <v>885318</v>
      </c>
      <c r="K1208" t="s">
        <v>13</v>
      </c>
    </row>
    <row r="1209" spans="2:11" ht="13" x14ac:dyDescent="0.15">
      <c r="B1209" s="29" t="s">
        <v>1759</v>
      </c>
      <c r="C1209" s="29" t="s">
        <v>1567</v>
      </c>
      <c r="D1209"/>
      <c r="E1209" s="31">
        <f>SUMIFS(E1210:E3130,K1210:K3130,"0",B1210:B3130,"4 2 2 3 1 12 31111 6 M78*")-SUMIFS(D1210:D3130,K1210:K3130,"0",B1210:B3130,"4 2 2 3 1 12 31111 6 M78*")</f>
        <v>0</v>
      </c>
      <c r="F1209" s="31">
        <f>SUMIFS(F1210:F3130,K1210:K3130,"0",B1210:B3130,"4 2 2 3 1 12 31111 6 M78*")</f>
        <v>0</v>
      </c>
      <c r="G1209" s="31">
        <f>SUMIFS(G1210:G3130,K1210:K3130,"0",B1210:B3130,"4 2 2 3 1 12 31111 6 M78*")</f>
        <v>885318</v>
      </c>
      <c r="H1209" s="31"/>
      <c r="I1209" s="31">
        <f t="shared" si="19"/>
        <v>885318</v>
      </c>
      <c r="K1209" t="s">
        <v>13</v>
      </c>
    </row>
    <row r="1210" spans="2:11" ht="13" x14ac:dyDescent="0.15">
      <c r="B1210" s="29" t="s">
        <v>1760</v>
      </c>
      <c r="C1210" s="29" t="s">
        <v>8</v>
      </c>
      <c r="D1210"/>
      <c r="E1210" s="31">
        <f>SUMIFS(E1211:E3130,K1211:K3130,"0",B1211:B3130,"4 2 2 3 1 12 31111 6 M78 07000*")-SUMIFS(D1211:D3130,K1211:K3130,"0",B1211:B3130,"4 2 2 3 1 12 31111 6 M78 07000*")</f>
        <v>0</v>
      </c>
      <c r="F1210" s="31">
        <f>SUMIFS(F1211:F3130,K1211:K3130,"0",B1211:B3130,"4 2 2 3 1 12 31111 6 M78 07000*")</f>
        <v>0</v>
      </c>
      <c r="G1210" s="31">
        <f>SUMIFS(G1211:G3130,K1211:K3130,"0",B1211:B3130,"4 2 2 3 1 12 31111 6 M78 07000*")</f>
        <v>885318</v>
      </c>
      <c r="H1210" s="31"/>
      <c r="I1210" s="31">
        <f t="shared" si="19"/>
        <v>885318</v>
      </c>
      <c r="K1210" t="s">
        <v>13</v>
      </c>
    </row>
    <row r="1211" spans="2:11" ht="13" x14ac:dyDescent="0.15">
      <c r="B1211" s="29" t="s">
        <v>1761</v>
      </c>
      <c r="C1211" s="29" t="s">
        <v>588</v>
      </c>
      <c r="D1211"/>
      <c r="E1211" s="31">
        <f>SUMIFS(E1212:E3130,K1212:K3130,"0",B1212:B3130,"4 2 2 3 1 12 31111 6 M78 07000 151*")-SUMIFS(D1212:D3130,K1212:K3130,"0",B1212:B3130,"4 2 2 3 1 12 31111 6 M78 07000 151*")</f>
        <v>0</v>
      </c>
      <c r="F1211" s="31">
        <f>SUMIFS(F1212:F3130,K1212:K3130,"0",B1212:B3130,"4 2 2 3 1 12 31111 6 M78 07000 151*")</f>
        <v>0</v>
      </c>
      <c r="G1211" s="31">
        <f>SUMIFS(G1212:G3130,K1212:K3130,"0",B1212:B3130,"4 2 2 3 1 12 31111 6 M78 07000 151*")</f>
        <v>885318</v>
      </c>
      <c r="H1211" s="31"/>
      <c r="I1211" s="31">
        <f t="shared" si="19"/>
        <v>885318</v>
      </c>
      <c r="K1211" t="s">
        <v>13</v>
      </c>
    </row>
    <row r="1212" spans="2:11" ht="13" x14ac:dyDescent="0.15">
      <c r="B1212" s="29" t="s">
        <v>1762</v>
      </c>
      <c r="C1212" s="29" t="s">
        <v>265</v>
      </c>
      <c r="D1212"/>
      <c r="E1212" s="31">
        <f>SUMIFS(E1213:E3130,K1213:K3130,"0",B1213:B3130,"4 2 2 3 1 12 31111 6 M78 07000 151 00C*")-SUMIFS(D1213:D3130,K1213:K3130,"0",B1213:B3130,"4 2 2 3 1 12 31111 6 M78 07000 151 00C*")</f>
        <v>0</v>
      </c>
      <c r="F1212" s="31">
        <f>SUMIFS(F1213:F3130,K1213:K3130,"0",B1213:B3130,"4 2 2 3 1 12 31111 6 M78 07000 151 00C*")</f>
        <v>0</v>
      </c>
      <c r="G1212" s="31">
        <f>SUMIFS(G1213:G3130,K1213:K3130,"0",B1213:B3130,"4 2 2 3 1 12 31111 6 M78 07000 151 00C*")</f>
        <v>885318</v>
      </c>
      <c r="H1212" s="31"/>
      <c r="I1212" s="31">
        <f t="shared" si="19"/>
        <v>885318</v>
      </c>
      <c r="K1212" t="s">
        <v>13</v>
      </c>
    </row>
    <row r="1213" spans="2:11" ht="13" x14ac:dyDescent="0.15">
      <c r="B1213" s="29" t="s">
        <v>1763</v>
      </c>
      <c r="C1213" s="29" t="s">
        <v>32</v>
      </c>
      <c r="D1213"/>
      <c r="E1213" s="31">
        <f>SUMIFS(E1214:E3130,K1214:K3130,"0",B1214:B3130,"4 2 2 3 1 12 31111 6 M78 07000 151 00C 001*")-SUMIFS(D1214:D3130,K1214:K3130,"0",B1214:B3130,"4 2 2 3 1 12 31111 6 M78 07000 151 00C 001*")</f>
        <v>0</v>
      </c>
      <c r="F1213" s="31">
        <f>SUMIFS(F1214:F3130,K1214:K3130,"0",B1214:B3130,"4 2 2 3 1 12 31111 6 M78 07000 151 00C 001*")</f>
        <v>0</v>
      </c>
      <c r="G1213" s="31">
        <f>SUMIFS(G1214:G3130,K1214:K3130,"0",B1214:B3130,"4 2 2 3 1 12 31111 6 M78 07000 151 00C 001*")</f>
        <v>885318</v>
      </c>
      <c r="H1213" s="31"/>
      <c r="I1213" s="31">
        <f t="shared" si="19"/>
        <v>885318</v>
      </c>
      <c r="K1213" t="s">
        <v>13</v>
      </c>
    </row>
    <row r="1214" spans="2:11" ht="13" x14ac:dyDescent="0.15">
      <c r="B1214" s="29" t="s">
        <v>1764</v>
      </c>
      <c r="C1214" s="29" t="s">
        <v>1754</v>
      </c>
      <c r="D1214"/>
      <c r="E1214" s="31">
        <f>SUMIFS(E1215:E3130,K1215:K3130,"0",B1215:B3130,"4 2 2 3 1 12 31111 6 M78 07000 151 00C 001 00093*")-SUMIFS(D1215:D3130,K1215:K3130,"0",B1215:B3130,"4 2 2 3 1 12 31111 6 M78 07000 151 00C 001 00093*")</f>
        <v>0</v>
      </c>
      <c r="F1214" s="31">
        <f>SUMIFS(F1215:F3130,K1215:K3130,"0",B1215:B3130,"4 2 2 3 1 12 31111 6 M78 07000 151 00C 001 00093*")</f>
        <v>0</v>
      </c>
      <c r="G1214" s="31">
        <f>SUMIFS(G1215:G3130,K1215:K3130,"0",B1215:B3130,"4 2 2 3 1 12 31111 6 M78 07000 151 00C 001 00093*")</f>
        <v>885318</v>
      </c>
      <c r="H1214" s="31"/>
      <c r="I1214" s="31">
        <f t="shared" si="19"/>
        <v>885318</v>
      </c>
      <c r="K1214" t="s">
        <v>13</v>
      </c>
    </row>
    <row r="1215" spans="2:11" ht="22" x14ac:dyDescent="0.15">
      <c r="B1215" s="29" t="s">
        <v>1765</v>
      </c>
      <c r="C1215" s="29" t="s">
        <v>1766</v>
      </c>
      <c r="D1215"/>
      <c r="E1215" s="31">
        <f>SUMIFS(E1216:E3130,K1216:K3130,"0",B1216:B3130,"4 2 2 3 1 12 31111 6 M78 07000 151 00C 001 00093 016*")-SUMIFS(D1216:D3130,K1216:K3130,"0",B1216:B3130,"4 2 2 3 1 12 31111 6 M78 07000 151 00C 001 00093 016*")</f>
        <v>0</v>
      </c>
      <c r="F1215" s="31">
        <f>SUMIFS(F1216:F3130,K1216:K3130,"0",B1216:B3130,"4 2 2 3 1 12 31111 6 M78 07000 151 00C 001 00093 016*")</f>
        <v>0</v>
      </c>
      <c r="G1215" s="31">
        <f>SUMIFS(G1216:G3130,K1216:K3130,"0",B1216:B3130,"4 2 2 3 1 12 31111 6 M78 07000 151 00C 001 00093 016*")</f>
        <v>885318</v>
      </c>
      <c r="H1215" s="31"/>
      <c r="I1215" s="31">
        <f t="shared" si="19"/>
        <v>885318</v>
      </c>
      <c r="K1215" t="s">
        <v>13</v>
      </c>
    </row>
    <row r="1216" spans="2:11" ht="22" x14ac:dyDescent="0.15">
      <c r="B1216" s="29" t="s">
        <v>1767</v>
      </c>
      <c r="C1216" s="29" t="s">
        <v>1768</v>
      </c>
      <c r="D1216"/>
      <c r="E1216" s="31">
        <f>SUMIFS(E1217:E3130,K1217:K3130,"0",B1217:B3130,"4 2 2 3 1 12 31111 6 M78 07000 151 00C 001 00093 016 1171000*")-SUMIFS(D1217:D3130,K1217:K3130,"0",B1217:B3130,"4 2 2 3 1 12 31111 6 M78 07000 151 00C 001 00093 016 1171000*")</f>
        <v>0</v>
      </c>
      <c r="F1216" s="31">
        <f>SUMIFS(F1217:F3130,K1217:K3130,"0",B1217:B3130,"4 2 2 3 1 12 31111 6 M78 07000 151 00C 001 00093 016 1171000*")</f>
        <v>0</v>
      </c>
      <c r="G1216" s="31">
        <f>SUMIFS(G1217:G3130,K1217:K3130,"0",B1217:B3130,"4 2 2 3 1 12 31111 6 M78 07000 151 00C 001 00093 016 1171000*")</f>
        <v>885318</v>
      </c>
      <c r="H1216" s="31"/>
      <c r="I1216" s="31">
        <f t="shared" si="19"/>
        <v>885318</v>
      </c>
      <c r="K1216" t="s">
        <v>13</v>
      </c>
    </row>
    <row r="1217" spans="2:11" ht="22" x14ac:dyDescent="0.15">
      <c r="B1217" s="29" t="s">
        <v>1769</v>
      </c>
      <c r="C1217" s="29" t="s">
        <v>275</v>
      </c>
      <c r="D1217"/>
      <c r="E1217" s="31">
        <f>SUMIFS(E1218:E3130,K1218:K3130,"0",B1218:B3130,"4 2 2 3 1 12 31111 6 M78 07000 151 00C 001 00093 016 1171000 2024*")-SUMIFS(D1218:D3130,K1218:K3130,"0",B1218:B3130,"4 2 2 3 1 12 31111 6 M78 07000 151 00C 001 00093 016 1171000 2024*")</f>
        <v>0</v>
      </c>
      <c r="F1217" s="31">
        <f>SUMIFS(F1218:F3130,K1218:K3130,"0",B1218:B3130,"4 2 2 3 1 12 31111 6 M78 07000 151 00C 001 00093 016 1171000 2024*")</f>
        <v>0</v>
      </c>
      <c r="G1217" s="31">
        <f>SUMIFS(G1218:G3130,K1218:K3130,"0",B1218:B3130,"4 2 2 3 1 12 31111 6 M78 07000 151 00C 001 00093 016 1171000 2024*")</f>
        <v>885318</v>
      </c>
      <c r="H1217" s="31"/>
      <c r="I1217" s="31">
        <f t="shared" si="19"/>
        <v>885318</v>
      </c>
      <c r="K1217" t="s">
        <v>13</v>
      </c>
    </row>
    <row r="1218" spans="2:11" ht="22" x14ac:dyDescent="0.15">
      <c r="B1218" s="29" t="s">
        <v>1770</v>
      </c>
      <c r="C1218" s="29" t="s">
        <v>277</v>
      </c>
      <c r="D1218"/>
      <c r="E1218" s="31">
        <f>SUMIFS(E1219:E3130,K1219:K3130,"0",B1219:B3130,"4 2 2 3 1 12 31111 6 M78 07000 151 00C 001 00093 016 1171000 2024 00000000*")-SUMIFS(D1219:D3130,K1219:K3130,"0",B1219:B3130,"4 2 2 3 1 12 31111 6 M78 07000 151 00C 001 00093 016 1171000 2024 00000000*")</f>
        <v>0</v>
      </c>
      <c r="F1218" s="31">
        <f>SUMIFS(F1219:F3130,K1219:K3130,"0",B1219:B3130,"4 2 2 3 1 12 31111 6 M78 07000 151 00C 001 00093 016 1171000 2024 00000000*")</f>
        <v>0</v>
      </c>
      <c r="G1218" s="31">
        <f>SUMIFS(G1219:G3130,K1219:K3130,"0",B1219:B3130,"4 2 2 3 1 12 31111 6 M78 07000 151 00C 001 00093 016 1171000 2024 00000000*")</f>
        <v>885318</v>
      </c>
      <c r="H1218" s="31"/>
      <c r="I1218" s="31">
        <f t="shared" si="19"/>
        <v>885318</v>
      </c>
      <c r="K1218" t="s">
        <v>13</v>
      </c>
    </row>
    <row r="1219" spans="2:11" ht="22" x14ac:dyDescent="0.15">
      <c r="B1219" s="29" t="s">
        <v>1771</v>
      </c>
      <c r="C1219" s="29" t="s">
        <v>32</v>
      </c>
      <c r="D1219"/>
      <c r="E1219" s="31">
        <f>SUMIFS(E1220:E3130,K1220:K3130,"0",B1220:B3130,"4 2 2 3 1 12 31111 6 M78 07000 151 00C 001 00093 016 1171000 2024 00000000 001*")-SUMIFS(D1220:D3130,K1220:K3130,"0",B1220:B3130,"4 2 2 3 1 12 31111 6 M78 07000 151 00C 001 00093 016 1171000 2024 00000000 001*")</f>
        <v>0</v>
      </c>
      <c r="F1219" s="31">
        <f>SUMIFS(F1220:F3130,K1220:K3130,"0",B1220:B3130,"4 2 2 3 1 12 31111 6 M78 07000 151 00C 001 00093 016 1171000 2024 00000000 001*")</f>
        <v>0</v>
      </c>
      <c r="G1219" s="31">
        <f>SUMIFS(G1220:G3130,K1220:K3130,"0",B1220:B3130,"4 2 2 3 1 12 31111 6 M78 07000 151 00C 001 00093 016 1171000 2024 00000000 001*")</f>
        <v>885318</v>
      </c>
      <c r="H1219" s="31"/>
      <c r="I1219" s="31">
        <f t="shared" si="19"/>
        <v>885318</v>
      </c>
      <c r="K1219" t="s">
        <v>13</v>
      </c>
    </row>
    <row r="1220" spans="2:11" ht="22" x14ac:dyDescent="0.15">
      <c r="B1220" s="27" t="s">
        <v>1772</v>
      </c>
      <c r="C1220" s="27" t="s">
        <v>1773</v>
      </c>
      <c r="D1220" s="30"/>
      <c r="E1220" s="30">
        <v>0</v>
      </c>
      <c r="F1220" s="30">
        <v>0</v>
      </c>
      <c r="G1220" s="30">
        <v>885318</v>
      </c>
      <c r="H1220" s="30"/>
      <c r="I1220" s="30">
        <f t="shared" si="19"/>
        <v>885318</v>
      </c>
      <c r="K1220" t="s">
        <v>37</v>
      </c>
    </row>
    <row r="1221" spans="2:11" ht="13" x14ac:dyDescent="0.15">
      <c r="B1221" s="29" t="s">
        <v>1774</v>
      </c>
      <c r="C1221" s="29" t="s">
        <v>1775</v>
      </c>
      <c r="D1221"/>
      <c r="E1221" s="31">
        <f>SUMIFS(E1222:E3130,K1222:K3130,"0",B1222:B3130,"4 3*")-SUMIFS(D1222:D3130,K1222:K3130,"0",B1222:B3130,"4 3*")</f>
        <v>0</v>
      </c>
      <c r="F1221" s="31">
        <f>SUMIFS(F1222:F3130,K1222:K3130,"0",B1222:B3130,"4 3*")</f>
        <v>0</v>
      </c>
      <c r="G1221" s="31">
        <f>SUMIFS(G1222:G3130,K1222:K3130,"0",B1222:B3130,"4 3*")</f>
        <v>0</v>
      </c>
      <c r="H1221" s="31"/>
      <c r="I1221" s="31">
        <f t="shared" si="19"/>
        <v>0</v>
      </c>
      <c r="K1221" t="s">
        <v>13</v>
      </c>
    </row>
    <row r="1222" spans="2:11" ht="13" x14ac:dyDescent="0.15">
      <c r="B1222" s="29" t="s">
        <v>1776</v>
      </c>
      <c r="C1222" s="29" t="s">
        <v>1777</v>
      </c>
      <c r="D1222"/>
      <c r="E1222" s="31">
        <f>SUMIFS(E1223:E3130,K1223:K3130,"0",B1223:B3130,"4 3 1*")-SUMIFS(D1223:D3130,K1223:K3130,"0",B1223:B3130,"4 3 1*")</f>
        <v>0</v>
      </c>
      <c r="F1222" s="31">
        <f>SUMIFS(F1223:F3130,K1223:K3130,"0",B1223:B3130,"4 3 1*")</f>
        <v>0</v>
      </c>
      <c r="G1222" s="31">
        <f>SUMIFS(G1223:G3130,K1223:K3130,"0",B1223:B3130,"4 3 1*")</f>
        <v>0</v>
      </c>
      <c r="H1222" s="31"/>
      <c r="I1222" s="31">
        <f t="shared" si="19"/>
        <v>0</v>
      </c>
      <c r="K1222" t="s">
        <v>13</v>
      </c>
    </row>
    <row r="1223" spans="2:11" ht="13" x14ac:dyDescent="0.15">
      <c r="B1223" s="29" t="s">
        <v>1778</v>
      </c>
      <c r="C1223" s="29" t="s">
        <v>1779</v>
      </c>
      <c r="D1223"/>
      <c r="E1223" s="31">
        <f>SUMIFS(E1224:E3130,K1224:K3130,"0",B1224:B3130,"4 3 2*")-SUMIFS(D1224:D3130,K1224:K3130,"0",B1224:B3130,"4 3 2*")</f>
        <v>0</v>
      </c>
      <c r="F1223" s="31">
        <f>SUMIFS(F1224:F3130,K1224:K3130,"0",B1224:B3130,"4 3 2*")</f>
        <v>0</v>
      </c>
      <c r="G1223" s="31">
        <f>SUMIFS(G1224:G3130,K1224:K3130,"0",B1224:B3130,"4 3 2*")</f>
        <v>0</v>
      </c>
      <c r="H1223" s="31"/>
      <c r="I1223" s="31">
        <f t="shared" si="19"/>
        <v>0</v>
      </c>
      <c r="K1223" t="s">
        <v>13</v>
      </c>
    </row>
    <row r="1224" spans="2:11" ht="22" x14ac:dyDescent="0.15">
      <c r="B1224" s="29" t="s">
        <v>1780</v>
      </c>
      <c r="C1224" s="29" t="s">
        <v>1781</v>
      </c>
      <c r="D1224"/>
      <c r="E1224" s="31">
        <f>SUMIFS(E1225:E3130,K1225:K3130,"0",B1225:B3130,"4 3 3*")-SUMIFS(D1225:D3130,K1225:K3130,"0",B1225:B3130,"4 3 3*")</f>
        <v>0</v>
      </c>
      <c r="F1224" s="31">
        <f>SUMIFS(F1225:F3130,K1225:K3130,"0",B1225:B3130,"4 3 3*")</f>
        <v>0</v>
      </c>
      <c r="G1224" s="31">
        <f>SUMIFS(G1225:G3130,K1225:K3130,"0",B1225:B3130,"4 3 3*")</f>
        <v>0</v>
      </c>
      <c r="H1224" s="31"/>
      <c r="I1224" s="31">
        <f t="shared" si="19"/>
        <v>0</v>
      </c>
      <c r="K1224" t="s">
        <v>13</v>
      </c>
    </row>
    <row r="1225" spans="2:11" ht="13" x14ac:dyDescent="0.15">
      <c r="B1225" s="29" t="s">
        <v>1782</v>
      </c>
      <c r="C1225" s="29" t="s">
        <v>1783</v>
      </c>
      <c r="D1225"/>
      <c r="E1225" s="31">
        <f>SUMIFS(E1226:E3130,K1226:K3130,"0",B1226:B3130,"4 3 4*")-SUMIFS(D1226:D3130,K1226:K3130,"0",B1226:B3130,"4 3 4*")</f>
        <v>0</v>
      </c>
      <c r="F1225" s="31">
        <f>SUMIFS(F1226:F3130,K1226:K3130,"0",B1226:B3130,"4 3 4*")</f>
        <v>0</v>
      </c>
      <c r="G1225" s="31">
        <f>SUMIFS(G1226:G3130,K1226:K3130,"0",B1226:B3130,"4 3 4*")</f>
        <v>0</v>
      </c>
      <c r="H1225" s="31"/>
      <c r="I1225" s="31">
        <f t="shared" si="19"/>
        <v>0</v>
      </c>
      <c r="K1225" t="s">
        <v>13</v>
      </c>
    </row>
    <row r="1226" spans="2:11" ht="13" x14ac:dyDescent="0.15">
      <c r="B1226" s="29" t="s">
        <v>1784</v>
      </c>
      <c r="C1226" s="29" t="s">
        <v>1785</v>
      </c>
      <c r="D1226"/>
      <c r="E1226" s="31">
        <f>SUMIFS(E1227:E3130,K1227:K3130,"0",B1227:B3130,"4 3 9*")-SUMIFS(D1227:D3130,K1227:K3130,"0",B1227:B3130,"4 3 9*")</f>
        <v>0</v>
      </c>
      <c r="F1226" s="31">
        <f>SUMIFS(F1227:F3130,K1227:K3130,"0",B1227:B3130,"4 3 9*")</f>
        <v>0</v>
      </c>
      <c r="G1226" s="31">
        <f>SUMIFS(G1227:G3130,K1227:K3130,"0",B1227:B3130,"4 3 9*")</f>
        <v>0</v>
      </c>
      <c r="H1226" s="31"/>
      <c r="I1226" s="31">
        <f t="shared" si="19"/>
        <v>0</v>
      </c>
      <c r="K1226" t="s">
        <v>13</v>
      </c>
    </row>
    <row r="1227" spans="2:11" ht="13" x14ac:dyDescent="0.15">
      <c r="B1227" s="29" t="s">
        <v>1786</v>
      </c>
      <c r="C1227" s="29" t="s">
        <v>1787</v>
      </c>
      <c r="D1227" s="31">
        <f>SUMIFS(D1228:D3130,K1228:K3130,"0",B1228:B3130,"5*")-SUMIFS(E1228:E3130,K1228:K3130,"0",B1228:B3130,"5*")</f>
        <v>0</v>
      </c>
      <c r="E1227"/>
      <c r="F1227" s="31">
        <f>SUMIFS(F1228:F3130,K1228:K3130,"0",B1228:B3130,"5*")</f>
        <v>35086824.359999999</v>
      </c>
      <c r="G1227" s="31">
        <f>SUMIFS(G1228:G3130,K1228:K3130,"0",B1228:B3130,"5*")</f>
        <v>100001.09</v>
      </c>
      <c r="H1227" s="31">
        <f t="shared" ref="H1227:H1290" si="20">D1227 + F1227 - G1227</f>
        <v>34986823.269999996</v>
      </c>
      <c r="I1227" s="31"/>
      <c r="K1227" t="s">
        <v>13</v>
      </c>
    </row>
    <row r="1228" spans="2:11" ht="13" x14ac:dyDescent="0.15">
      <c r="B1228" s="29" t="s">
        <v>1788</v>
      </c>
      <c r="C1228" s="29" t="s">
        <v>1789</v>
      </c>
      <c r="D1228" s="31">
        <f>SUMIFS(D1229:D3130,K1229:K3130,"0",B1229:B3130,"5 0*")-SUMIFS(E1229:E3130,K1229:K3130,"0",B1229:B3130,"5 0*")</f>
        <v>0</v>
      </c>
      <c r="E1228"/>
      <c r="F1228" s="31">
        <f>SUMIFS(F1229:F3130,K1229:K3130,"0",B1229:B3130,"5 0*")</f>
        <v>0</v>
      </c>
      <c r="G1228" s="31">
        <f>SUMIFS(G1229:G3130,K1229:K3130,"0",B1229:B3130,"5 0*")</f>
        <v>0</v>
      </c>
      <c r="H1228" s="31">
        <f t="shared" si="20"/>
        <v>0</v>
      </c>
      <c r="I1228" s="31"/>
      <c r="K1228" t="s">
        <v>13</v>
      </c>
    </row>
    <row r="1229" spans="2:11" ht="13" x14ac:dyDescent="0.15">
      <c r="B1229" s="29" t="s">
        <v>1790</v>
      </c>
      <c r="C1229" s="29" t="s">
        <v>1789</v>
      </c>
      <c r="D1229" s="31">
        <f>SUMIFS(D1230:D3130,K1230:K3130,"0",B1230:B3130,"5 0 1*")-SUMIFS(E1230:E3130,K1230:K3130,"0",B1230:B3130,"5 0 1*")</f>
        <v>0</v>
      </c>
      <c r="E1229"/>
      <c r="F1229" s="31">
        <f>SUMIFS(F1230:F3130,K1230:K3130,"0",B1230:B3130,"5 0 1*")</f>
        <v>0</v>
      </c>
      <c r="G1229" s="31">
        <f>SUMIFS(G1230:G3130,K1230:K3130,"0",B1230:B3130,"5 0 1*")</f>
        <v>0</v>
      </c>
      <c r="H1229" s="31">
        <f t="shared" si="20"/>
        <v>0</v>
      </c>
      <c r="I1229" s="31"/>
      <c r="K1229" t="s">
        <v>13</v>
      </c>
    </row>
    <row r="1230" spans="2:11" ht="13" x14ac:dyDescent="0.15">
      <c r="B1230" s="29" t="s">
        <v>1791</v>
      </c>
      <c r="C1230" s="29" t="s">
        <v>1792</v>
      </c>
      <c r="D1230" s="31">
        <f>SUMIFS(D1231:D3130,K1231:K3130,"0",B1231:B3130,"5 1*")-SUMIFS(E1231:E3130,K1231:K3130,"0",B1231:B3130,"5 1*")</f>
        <v>0</v>
      </c>
      <c r="E1230"/>
      <c r="F1230" s="31">
        <f>SUMIFS(F1231:F3130,K1231:K3130,"0",B1231:B3130,"5 1*")</f>
        <v>32868556.470000003</v>
      </c>
      <c r="G1230" s="31">
        <f>SUMIFS(G1231:G3130,K1231:K3130,"0",B1231:B3130,"5 1*")</f>
        <v>100001.09</v>
      </c>
      <c r="H1230" s="31">
        <f t="shared" si="20"/>
        <v>32768555.380000003</v>
      </c>
      <c r="I1230" s="31"/>
      <c r="K1230" t="s">
        <v>13</v>
      </c>
    </row>
    <row r="1231" spans="2:11" ht="13" x14ac:dyDescent="0.15">
      <c r="B1231" s="29" t="s">
        <v>1793</v>
      </c>
      <c r="C1231" s="29" t="s">
        <v>1794</v>
      </c>
      <c r="D1231" s="31">
        <f>SUMIFS(D1232:D3130,K1232:K3130,"0",B1232:B3130,"5 1 1*")-SUMIFS(E1232:E3130,K1232:K3130,"0",B1232:B3130,"5 1 1*")</f>
        <v>0</v>
      </c>
      <c r="E1231"/>
      <c r="F1231" s="31">
        <f>SUMIFS(F1232:F3130,K1232:K3130,"0",B1232:B3130,"5 1 1*")</f>
        <v>17736022.250000004</v>
      </c>
      <c r="G1231" s="31">
        <f>SUMIFS(G1232:G3130,K1232:K3130,"0",B1232:B3130,"5 1 1*")</f>
        <v>0</v>
      </c>
      <c r="H1231" s="31">
        <f t="shared" si="20"/>
        <v>17736022.250000004</v>
      </c>
      <c r="I1231" s="31"/>
      <c r="K1231" t="s">
        <v>13</v>
      </c>
    </row>
    <row r="1232" spans="2:11" ht="13" x14ac:dyDescent="0.15">
      <c r="B1232" s="29" t="s">
        <v>1795</v>
      </c>
      <c r="C1232" s="29" t="s">
        <v>1796</v>
      </c>
      <c r="D1232" s="31">
        <f>SUMIFS(D1233:D3130,K1233:K3130,"0",B1233:B3130,"5 1 1 1*")-SUMIFS(E1233:E3130,K1233:K3130,"0",B1233:B3130,"5 1 1 1*")</f>
        <v>0</v>
      </c>
      <c r="E1232"/>
      <c r="F1232" s="31">
        <f>SUMIFS(F1233:F3130,K1233:K3130,"0",B1233:B3130,"5 1 1 1*")</f>
        <v>11800154.07</v>
      </c>
      <c r="G1232" s="31">
        <f>SUMIFS(G1233:G3130,K1233:K3130,"0",B1233:B3130,"5 1 1 1*")</f>
        <v>0</v>
      </c>
      <c r="H1232" s="31">
        <f t="shared" si="20"/>
        <v>11800154.07</v>
      </c>
      <c r="I1232" s="31"/>
      <c r="K1232" t="s">
        <v>13</v>
      </c>
    </row>
    <row r="1233" spans="2:11" ht="13" x14ac:dyDescent="0.15">
      <c r="B1233" s="29" t="s">
        <v>1797</v>
      </c>
      <c r="C1233" s="29" t="s">
        <v>1798</v>
      </c>
      <c r="D1233" s="31">
        <f>SUMIFS(D1234:D3130,K1234:K3130,"0",B1234:B3130,"5 1 1 1 3*")-SUMIFS(E1234:E3130,K1234:K3130,"0",B1234:B3130,"5 1 1 1 3*")</f>
        <v>0</v>
      </c>
      <c r="E1233"/>
      <c r="F1233" s="31">
        <f>SUMIFS(F1234:F3130,K1234:K3130,"0",B1234:B3130,"5 1 1 1 3*")</f>
        <v>11800154.07</v>
      </c>
      <c r="G1233" s="31">
        <f>SUMIFS(G1234:G3130,K1234:K3130,"0",B1234:B3130,"5 1 1 1 3*")</f>
        <v>0</v>
      </c>
      <c r="H1233" s="31">
        <f t="shared" si="20"/>
        <v>11800154.07</v>
      </c>
      <c r="I1233" s="31"/>
      <c r="K1233" t="s">
        <v>13</v>
      </c>
    </row>
    <row r="1234" spans="2:11" ht="13" x14ac:dyDescent="0.15">
      <c r="B1234" s="29" t="s">
        <v>1799</v>
      </c>
      <c r="C1234" s="29" t="s">
        <v>24</v>
      </c>
      <c r="D1234" s="31">
        <f>SUMIFS(D1235:D3130,K1235:K3130,"0",B1235:B3130,"5 1 1 1 3 12*")-SUMIFS(E1235:E3130,K1235:K3130,"0",B1235:B3130,"5 1 1 1 3 12*")</f>
        <v>0</v>
      </c>
      <c r="E1234"/>
      <c r="F1234" s="31">
        <f>SUMIFS(F1235:F3130,K1235:K3130,"0",B1235:B3130,"5 1 1 1 3 12*")</f>
        <v>11800154.07</v>
      </c>
      <c r="G1234" s="31">
        <f>SUMIFS(G1235:G3130,K1235:K3130,"0",B1235:B3130,"5 1 1 1 3 12*")</f>
        <v>0</v>
      </c>
      <c r="H1234" s="31">
        <f t="shared" si="20"/>
        <v>11800154.07</v>
      </c>
      <c r="I1234" s="31"/>
      <c r="K1234" t="s">
        <v>13</v>
      </c>
    </row>
    <row r="1235" spans="2:11" ht="13" x14ac:dyDescent="0.15">
      <c r="B1235" s="29" t="s">
        <v>1800</v>
      </c>
      <c r="C1235" s="29" t="s">
        <v>26</v>
      </c>
      <c r="D1235" s="31">
        <f>SUMIFS(D1236:D3130,K1236:K3130,"0",B1236:B3130,"5 1 1 1 3 12 31111*")-SUMIFS(E1236:E3130,K1236:K3130,"0",B1236:B3130,"5 1 1 1 3 12 31111*")</f>
        <v>0</v>
      </c>
      <c r="E1235"/>
      <c r="F1235" s="31">
        <f>SUMIFS(F1236:F3130,K1236:K3130,"0",B1236:B3130,"5 1 1 1 3 12 31111*")</f>
        <v>11800154.07</v>
      </c>
      <c r="G1235" s="31">
        <f>SUMIFS(G1236:G3130,K1236:K3130,"0",B1236:B3130,"5 1 1 1 3 12 31111*")</f>
        <v>0</v>
      </c>
      <c r="H1235" s="31">
        <f t="shared" si="20"/>
        <v>11800154.07</v>
      </c>
      <c r="I1235" s="31"/>
      <c r="K1235" t="s">
        <v>13</v>
      </c>
    </row>
    <row r="1236" spans="2:11" ht="13" x14ac:dyDescent="0.15">
      <c r="B1236" s="29" t="s">
        <v>1801</v>
      </c>
      <c r="C1236" s="29" t="s">
        <v>28</v>
      </c>
      <c r="D1236" s="31">
        <f>SUMIFS(D1237:D3130,K1237:K3130,"0",B1237:B3130,"5 1 1 1 3 12 31111 6*")-SUMIFS(E1237:E3130,K1237:K3130,"0",B1237:B3130,"5 1 1 1 3 12 31111 6*")</f>
        <v>0</v>
      </c>
      <c r="E1236"/>
      <c r="F1236" s="31">
        <f>SUMIFS(F1237:F3130,K1237:K3130,"0",B1237:B3130,"5 1 1 1 3 12 31111 6*")</f>
        <v>11800154.07</v>
      </c>
      <c r="G1236" s="31">
        <f>SUMIFS(G1237:G3130,K1237:K3130,"0",B1237:B3130,"5 1 1 1 3 12 31111 6*")</f>
        <v>0</v>
      </c>
      <c r="H1236" s="31">
        <f t="shared" si="20"/>
        <v>11800154.07</v>
      </c>
      <c r="I1236" s="31"/>
      <c r="K1236" t="s">
        <v>13</v>
      </c>
    </row>
    <row r="1237" spans="2:11" ht="13" x14ac:dyDescent="0.15">
      <c r="B1237" s="29" t="s">
        <v>1802</v>
      </c>
      <c r="C1237" s="29" t="s">
        <v>1567</v>
      </c>
      <c r="D1237" s="31">
        <f>SUMIFS(D1238:D3130,K1238:K3130,"0",B1238:B3130,"5 1 1 1 3 12 31111 6 M78*")-SUMIFS(E1238:E3130,K1238:K3130,"0",B1238:B3130,"5 1 1 1 3 12 31111 6 M78*")</f>
        <v>0</v>
      </c>
      <c r="E1237"/>
      <c r="F1237" s="31">
        <f>SUMIFS(F1238:F3130,K1238:K3130,"0",B1238:B3130,"5 1 1 1 3 12 31111 6 M78*")</f>
        <v>11800154.07</v>
      </c>
      <c r="G1237" s="31">
        <f>SUMIFS(G1238:G3130,K1238:K3130,"0",B1238:B3130,"5 1 1 1 3 12 31111 6 M78*")</f>
        <v>0</v>
      </c>
      <c r="H1237" s="31">
        <f t="shared" si="20"/>
        <v>11800154.07</v>
      </c>
      <c r="I1237" s="31"/>
      <c r="K1237" t="s">
        <v>13</v>
      </c>
    </row>
    <row r="1238" spans="2:11" ht="13" x14ac:dyDescent="0.15">
      <c r="B1238" s="29" t="s">
        <v>1803</v>
      </c>
      <c r="C1238" s="29" t="s">
        <v>1804</v>
      </c>
      <c r="D1238" s="31">
        <f>SUMIFS(D1239:D3130,K1239:K3130,"0",B1239:B3130,"5 1 1 1 3 12 31111 6 M78 01000*")-SUMIFS(E1239:E3130,K1239:K3130,"0",B1239:B3130,"5 1 1 1 3 12 31111 6 M78 01000*")</f>
        <v>0</v>
      </c>
      <c r="E1238"/>
      <c r="F1238" s="31">
        <f>SUMIFS(F1239:F3130,K1239:K3130,"0",B1239:B3130,"5 1 1 1 3 12 31111 6 M78 01000*")</f>
        <v>658787.38</v>
      </c>
      <c r="G1238" s="31">
        <f>SUMIFS(G1239:G3130,K1239:K3130,"0",B1239:B3130,"5 1 1 1 3 12 31111 6 M78 01000*")</f>
        <v>0</v>
      </c>
      <c r="H1238" s="31">
        <f t="shared" si="20"/>
        <v>658787.38</v>
      </c>
      <c r="I1238" s="31"/>
      <c r="K1238" t="s">
        <v>13</v>
      </c>
    </row>
    <row r="1239" spans="2:11" ht="13" x14ac:dyDescent="0.15">
      <c r="B1239" s="29" t="s">
        <v>1805</v>
      </c>
      <c r="C1239" s="29" t="s">
        <v>1806</v>
      </c>
      <c r="D1239" s="31">
        <f>SUMIFS(D1240:D3130,K1240:K3130,"0",B1240:B3130,"5 1 1 1 3 12 31111 6 M78 01000 131*")-SUMIFS(E1240:E3130,K1240:K3130,"0",B1240:B3130,"5 1 1 1 3 12 31111 6 M78 01000 131*")</f>
        <v>0</v>
      </c>
      <c r="E1239"/>
      <c r="F1239" s="31">
        <f>SUMIFS(F1240:F3130,K1240:K3130,"0",B1240:B3130,"5 1 1 1 3 12 31111 6 M78 01000 131*")</f>
        <v>658787.38</v>
      </c>
      <c r="G1239" s="31">
        <f>SUMIFS(G1240:G3130,K1240:K3130,"0",B1240:B3130,"5 1 1 1 3 12 31111 6 M78 01000 131*")</f>
        <v>0</v>
      </c>
      <c r="H1239" s="31">
        <f t="shared" si="20"/>
        <v>658787.38</v>
      </c>
      <c r="I1239" s="31"/>
      <c r="K1239" t="s">
        <v>13</v>
      </c>
    </row>
    <row r="1240" spans="2:11" ht="13" x14ac:dyDescent="0.15">
      <c r="B1240" s="29" t="s">
        <v>1807</v>
      </c>
      <c r="C1240" s="29" t="s">
        <v>265</v>
      </c>
      <c r="D1240" s="31">
        <f>SUMIFS(D1241:D3130,K1241:K3130,"0",B1241:B3130,"5 1 1 1 3 12 31111 6 M78 01000 131 00C*")-SUMIFS(E1241:E3130,K1241:K3130,"0",B1241:B3130,"5 1 1 1 3 12 31111 6 M78 01000 131 00C*")</f>
        <v>0</v>
      </c>
      <c r="E1240"/>
      <c r="F1240" s="31">
        <f>SUMIFS(F1241:F3130,K1241:K3130,"0",B1241:B3130,"5 1 1 1 3 12 31111 6 M78 01000 131 00C*")</f>
        <v>658787.38</v>
      </c>
      <c r="G1240" s="31">
        <f>SUMIFS(G1241:G3130,K1241:K3130,"0",B1241:B3130,"5 1 1 1 3 12 31111 6 M78 01000 131 00C*")</f>
        <v>0</v>
      </c>
      <c r="H1240" s="31">
        <f t="shared" si="20"/>
        <v>658787.38</v>
      </c>
      <c r="I1240" s="31"/>
      <c r="K1240" t="s">
        <v>13</v>
      </c>
    </row>
    <row r="1241" spans="2:11" ht="13" x14ac:dyDescent="0.15">
      <c r="B1241" s="29" t="s">
        <v>1808</v>
      </c>
      <c r="C1241" s="29" t="s">
        <v>32</v>
      </c>
      <c r="D1241" s="31">
        <f>SUMIFS(D1242:D3130,K1242:K3130,"0",B1242:B3130,"5 1 1 1 3 12 31111 6 M78 01000 131 00C 001*")-SUMIFS(E1242:E3130,K1242:K3130,"0",B1242:B3130,"5 1 1 1 3 12 31111 6 M78 01000 131 00C 001*")</f>
        <v>0</v>
      </c>
      <c r="E1241"/>
      <c r="F1241" s="31">
        <f>SUMIFS(F1242:F3130,K1242:K3130,"0",B1242:B3130,"5 1 1 1 3 12 31111 6 M78 01000 131 00C 001*")</f>
        <v>658787.38</v>
      </c>
      <c r="G1241" s="31">
        <f>SUMIFS(G1242:G3130,K1242:K3130,"0",B1242:B3130,"5 1 1 1 3 12 31111 6 M78 01000 131 00C 001*")</f>
        <v>0</v>
      </c>
      <c r="H1241" s="31">
        <f t="shared" si="20"/>
        <v>658787.38</v>
      </c>
      <c r="I1241" s="31"/>
      <c r="K1241" t="s">
        <v>13</v>
      </c>
    </row>
    <row r="1242" spans="2:11" ht="13" x14ac:dyDescent="0.15">
      <c r="B1242" s="29" t="s">
        <v>1809</v>
      </c>
      <c r="C1242" s="29" t="s">
        <v>1810</v>
      </c>
      <c r="D1242" s="31">
        <f>SUMIFS(D1243:D3130,K1243:K3130,"0",B1243:B3130,"5 1 1 1 3 12 31111 6 M78 01000 131 00C 001 11301*")-SUMIFS(E1243:E3130,K1243:K3130,"0",B1243:B3130,"5 1 1 1 3 12 31111 6 M78 01000 131 00C 001 11301*")</f>
        <v>0</v>
      </c>
      <c r="E1242"/>
      <c r="F1242" s="31">
        <f>SUMIFS(F1243:F3130,K1243:K3130,"0",B1243:B3130,"5 1 1 1 3 12 31111 6 M78 01000 131 00C 001 11301*")</f>
        <v>658787.38</v>
      </c>
      <c r="G1242" s="31">
        <f>SUMIFS(G1243:G3130,K1243:K3130,"0",B1243:B3130,"5 1 1 1 3 12 31111 6 M78 01000 131 00C 001 11301*")</f>
        <v>0</v>
      </c>
      <c r="H1242" s="31">
        <f t="shared" si="20"/>
        <v>658787.38</v>
      </c>
      <c r="I1242" s="31"/>
      <c r="K1242" t="s">
        <v>13</v>
      </c>
    </row>
    <row r="1243" spans="2:11" ht="22" x14ac:dyDescent="0.15">
      <c r="B1243" s="29" t="s">
        <v>1811</v>
      </c>
      <c r="C1243" s="29" t="s">
        <v>271</v>
      </c>
      <c r="D1243" s="31">
        <f>SUMIFS(D1244:D3130,K1244:K3130,"0",B1244:B3130,"5 1 1 1 3 12 31111 6 M78 01000 131 00C 001 11301 015*")-SUMIFS(E1244:E3130,K1244:K3130,"0",B1244:B3130,"5 1 1 1 3 12 31111 6 M78 01000 131 00C 001 11301 015*")</f>
        <v>0</v>
      </c>
      <c r="E1243"/>
      <c r="F1243" s="31">
        <f>SUMIFS(F1244:F3130,K1244:K3130,"0",B1244:B3130,"5 1 1 1 3 12 31111 6 M78 01000 131 00C 001 11301 015*")</f>
        <v>658787.38</v>
      </c>
      <c r="G1243" s="31">
        <f>SUMIFS(G1244:G3130,K1244:K3130,"0",B1244:B3130,"5 1 1 1 3 12 31111 6 M78 01000 131 00C 001 11301 015*")</f>
        <v>0</v>
      </c>
      <c r="H1243" s="31">
        <f t="shared" si="20"/>
        <v>658787.38</v>
      </c>
      <c r="I1243" s="31"/>
      <c r="K1243" t="s">
        <v>13</v>
      </c>
    </row>
    <row r="1244" spans="2:11" ht="22" x14ac:dyDescent="0.15">
      <c r="B1244" s="29" t="s">
        <v>1812</v>
      </c>
      <c r="C1244" s="29" t="s">
        <v>1813</v>
      </c>
      <c r="D1244" s="31">
        <f>SUMIFS(D1245:D3130,K1245:K3130,"0",B1245:B3130,"5 1 1 1 3 12 31111 6 M78 01000 131 00C 001 11301 015 2111100*")-SUMIFS(E1245:E3130,K1245:K3130,"0",B1245:B3130,"5 1 1 1 3 12 31111 6 M78 01000 131 00C 001 11301 015 2111100*")</f>
        <v>0</v>
      </c>
      <c r="E1244"/>
      <c r="F1244" s="31">
        <f>SUMIFS(F1245:F3130,K1245:K3130,"0",B1245:B3130,"5 1 1 1 3 12 31111 6 M78 01000 131 00C 001 11301 015 2111100*")</f>
        <v>658787.38</v>
      </c>
      <c r="G1244" s="31">
        <f>SUMIFS(G1245:G3130,K1245:K3130,"0",B1245:B3130,"5 1 1 1 3 12 31111 6 M78 01000 131 00C 001 11301 015 2111100*")</f>
        <v>0</v>
      </c>
      <c r="H1244" s="31">
        <f t="shared" si="20"/>
        <v>658787.38</v>
      </c>
      <c r="I1244" s="31"/>
      <c r="K1244" t="s">
        <v>13</v>
      </c>
    </row>
    <row r="1245" spans="2:11" ht="22" x14ac:dyDescent="0.15">
      <c r="B1245" s="29" t="s">
        <v>1814</v>
      </c>
      <c r="C1245" s="29" t="s">
        <v>275</v>
      </c>
      <c r="D1245" s="31">
        <f>SUMIFS(D1246:D3130,K1246:K3130,"0",B1246:B3130,"5 1 1 1 3 12 31111 6 M78 01000 131 00C 001 11301 015 2111100 2024*")-SUMIFS(E1246:E3130,K1246:K3130,"0",B1246:B3130,"5 1 1 1 3 12 31111 6 M78 01000 131 00C 001 11301 015 2111100 2024*")</f>
        <v>0</v>
      </c>
      <c r="E1245"/>
      <c r="F1245" s="31">
        <f>SUMIFS(F1246:F3130,K1246:K3130,"0",B1246:B3130,"5 1 1 1 3 12 31111 6 M78 01000 131 00C 001 11301 015 2111100 2024*")</f>
        <v>658787.38</v>
      </c>
      <c r="G1245" s="31">
        <f>SUMIFS(G1246:G3130,K1246:K3130,"0",B1246:B3130,"5 1 1 1 3 12 31111 6 M78 01000 131 00C 001 11301 015 2111100 2024*")</f>
        <v>0</v>
      </c>
      <c r="H1245" s="31">
        <f t="shared" si="20"/>
        <v>658787.38</v>
      </c>
      <c r="I1245" s="31"/>
      <c r="K1245" t="s">
        <v>13</v>
      </c>
    </row>
    <row r="1246" spans="2:11" ht="22" x14ac:dyDescent="0.15">
      <c r="B1246" s="29" t="s">
        <v>1815</v>
      </c>
      <c r="C1246" s="29" t="s">
        <v>277</v>
      </c>
      <c r="D1246" s="31">
        <f>SUMIFS(D1247:D3130,K1247:K3130,"0",B1247:B3130,"5 1 1 1 3 12 31111 6 M78 01000 131 00C 001 11301 015 2111100 2024 00000000*")-SUMIFS(E1247:E3130,K1247:K3130,"0",B1247:B3130,"5 1 1 1 3 12 31111 6 M78 01000 131 00C 001 11301 015 2111100 2024 00000000*")</f>
        <v>0</v>
      </c>
      <c r="E1246"/>
      <c r="F1246" s="31">
        <f>SUMIFS(F1247:F3130,K1247:K3130,"0",B1247:B3130,"5 1 1 1 3 12 31111 6 M78 01000 131 00C 001 11301 015 2111100 2024 00000000*")</f>
        <v>658787.38</v>
      </c>
      <c r="G1246" s="31">
        <f>SUMIFS(G1247:G3130,K1247:K3130,"0",B1247:B3130,"5 1 1 1 3 12 31111 6 M78 01000 131 00C 001 11301 015 2111100 2024 00000000*")</f>
        <v>0</v>
      </c>
      <c r="H1246" s="31">
        <f t="shared" si="20"/>
        <v>658787.38</v>
      </c>
      <c r="I1246" s="31"/>
      <c r="K1246" t="s">
        <v>13</v>
      </c>
    </row>
    <row r="1247" spans="2:11" ht="22" x14ac:dyDescent="0.15">
      <c r="B1247" s="29" t="s">
        <v>1816</v>
      </c>
      <c r="C1247" s="29" t="s">
        <v>32</v>
      </c>
      <c r="D1247" s="31">
        <f>SUMIFS(D1248:D3130,K1248:K3130,"0",B1248:B3130,"5 1 1 1 3 12 31111 6 M78 01000 131 00C 001 11301 015 2111100 2024 00000000 001*")-SUMIFS(E1248:E3130,K1248:K3130,"0",B1248:B3130,"5 1 1 1 3 12 31111 6 M78 01000 131 00C 001 11301 015 2111100 2024 00000000 001*")</f>
        <v>0</v>
      </c>
      <c r="E1247"/>
      <c r="F1247" s="31">
        <f>SUMIFS(F1248:F3130,K1248:K3130,"0",B1248:B3130,"5 1 1 1 3 12 31111 6 M78 01000 131 00C 001 11301 015 2111100 2024 00000000 001*")</f>
        <v>658787.38</v>
      </c>
      <c r="G1247" s="31">
        <f>SUMIFS(G1248:G3130,K1248:K3130,"0",B1248:B3130,"5 1 1 1 3 12 31111 6 M78 01000 131 00C 001 11301 015 2111100 2024 00000000 001*")</f>
        <v>0</v>
      </c>
      <c r="H1247" s="31">
        <f t="shared" si="20"/>
        <v>658787.38</v>
      </c>
      <c r="I1247" s="31"/>
      <c r="K1247" t="s">
        <v>13</v>
      </c>
    </row>
    <row r="1248" spans="2:11" ht="22" x14ac:dyDescent="0.15">
      <c r="B1248" s="29" t="s">
        <v>1817</v>
      </c>
      <c r="C1248" s="29" t="s">
        <v>1818</v>
      </c>
      <c r="D1248" s="31">
        <f>SUMIFS(D1249:D3130,K1249:K3130,"0",B1249:B3130,"5 1 1 1 3 12 31111 6 M78 01000 131 00C 001 11301 015 2111100 2024 00000000 001 001*")-SUMIFS(E1249:E3130,K1249:K3130,"0",B1249:B3130,"5 1 1 1 3 12 31111 6 M78 01000 131 00C 001 11301 015 2111100 2024 00000000 001 001*")</f>
        <v>0</v>
      </c>
      <c r="E1248"/>
      <c r="F1248" s="31">
        <f>SUMIFS(F1249:F3130,K1249:K3130,"0",B1249:B3130,"5 1 1 1 3 12 31111 6 M78 01000 131 00C 001 11301 015 2111100 2024 00000000 001 001*")</f>
        <v>658787.38</v>
      </c>
      <c r="G1248" s="31">
        <f>SUMIFS(G1249:G3130,K1249:K3130,"0",B1249:B3130,"5 1 1 1 3 12 31111 6 M78 01000 131 00C 001 11301 015 2111100 2024 00000000 001 001*")</f>
        <v>0</v>
      </c>
      <c r="H1248" s="31">
        <f t="shared" si="20"/>
        <v>658787.38</v>
      </c>
      <c r="I1248" s="31"/>
      <c r="K1248" t="s">
        <v>13</v>
      </c>
    </row>
    <row r="1249" spans="2:11" ht="22" x14ac:dyDescent="0.15">
      <c r="B1249" s="27" t="s">
        <v>1819</v>
      </c>
      <c r="C1249" s="27" t="s">
        <v>1820</v>
      </c>
      <c r="D1249" s="30">
        <v>0</v>
      </c>
      <c r="E1249" s="30"/>
      <c r="F1249" s="30">
        <v>658787.38</v>
      </c>
      <c r="G1249" s="30">
        <v>0</v>
      </c>
      <c r="H1249" s="30">
        <f t="shared" si="20"/>
        <v>658787.38</v>
      </c>
      <c r="I1249" s="30"/>
      <c r="K1249" t="s">
        <v>37</v>
      </c>
    </row>
    <row r="1250" spans="2:11" ht="13" x14ac:dyDescent="0.15">
      <c r="B1250" s="29" t="s">
        <v>1821</v>
      </c>
      <c r="C1250" s="29" t="s">
        <v>1822</v>
      </c>
      <c r="D1250" s="31">
        <f>SUMIFS(D1251:D3130,K1251:K3130,"0",B1251:B3130,"5 1 1 1 3 12 31111 6 M78 02000*")-SUMIFS(E1251:E3130,K1251:K3130,"0",B1251:B3130,"5 1 1 1 3 12 31111 6 M78 02000*")</f>
        <v>0</v>
      </c>
      <c r="E1250"/>
      <c r="F1250" s="31">
        <f>SUMIFS(F1251:F3130,K1251:K3130,"0",B1251:B3130,"5 1 1 1 3 12 31111 6 M78 02000*")</f>
        <v>404116.36</v>
      </c>
      <c r="G1250" s="31">
        <f>SUMIFS(G1251:G3130,K1251:K3130,"0",B1251:B3130,"5 1 1 1 3 12 31111 6 M78 02000*")</f>
        <v>0</v>
      </c>
      <c r="H1250" s="31">
        <f t="shared" si="20"/>
        <v>404116.36</v>
      </c>
      <c r="I1250" s="31"/>
      <c r="K1250" t="s">
        <v>13</v>
      </c>
    </row>
    <row r="1251" spans="2:11" ht="13" x14ac:dyDescent="0.15">
      <c r="B1251" s="29" t="s">
        <v>1823</v>
      </c>
      <c r="C1251" s="29" t="s">
        <v>1824</v>
      </c>
      <c r="D1251" s="31">
        <f>SUMIFS(D1252:D3130,K1252:K3130,"0",B1252:B3130,"5 1 1 1 3 12 31111 6 M78 02000 122*")-SUMIFS(E1252:E3130,K1252:K3130,"0",B1252:B3130,"5 1 1 1 3 12 31111 6 M78 02000 122*")</f>
        <v>0</v>
      </c>
      <c r="E1251"/>
      <c r="F1251" s="31">
        <f>SUMIFS(F1252:F3130,K1252:K3130,"0",B1252:B3130,"5 1 1 1 3 12 31111 6 M78 02000 122*")</f>
        <v>404116.36</v>
      </c>
      <c r="G1251" s="31">
        <f>SUMIFS(G1252:G3130,K1252:K3130,"0",B1252:B3130,"5 1 1 1 3 12 31111 6 M78 02000 122*")</f>
        <v>0</v>
      </c>
      <c r="H1251" s="31">
        <f t="shared" si="20"/>
        <v>404116.36</v>
      </c>
      <c r="I1251" s="31"/>
      <c r="K1251" t="s">
        <v>13</v>
      </c>
    </row>
    <row r="1252" spans="2:11" ht="13" x14ac:dyDescent="0.15">
      <c r="B1252" s="29" t="s">
        <v>1825</v>
      </c>
      <c r="C1252" s="29" t="s">
        <v>265</v>
      </c>
      <c r="D1252" s="31">
        <f>SUMIFS(D1253:D3130,K1253:K3130,"0",B1253:B3130,"5 1 1 1 3 12 31111 6 M78 02000 122 00C*")-SUMIFS(E1253:E3130,K1253:K3130,"0",B1253:B3130,"5 1 1 1 3 12 31111 6 M78 02000 122 00C*")</f>
        <v>0</v>
      </c>
      <c r="E1252"/>
      <c r="F1252" s="31">
        <f>SUMIFS(F1253:F3130,K1253:K3130,"0",B1253:B3130,"5 1 1 1 3 12 31111 6 M78 02000 122 00C*")</f>
        <v>404116.36</v>
      </c>
      <c r="G1252" s="31">
        <f>SUMIFS(G1253:G3130,K1253:K3130,"0",B1253:B3130,"5 1 1 1 3 12 31111 6 M78 02000 122 00C*")</f>
        <v>0</v>
      </c>
      <c r="H1252" s="31">
        <f t="shared" si="20"/>
        <v>404116.36</v>
      </c>
      <c r="I1252" s="31"/>
      <c r="K1252" t="s">
        <v>13</v>
      </c>
    </row>
    <row r="1253" spans="2:11" ht="13" x14ac:dyDescent="0.15">
      <c r="B1253" s="29" t="s">
        <v>1826</v>
      </c>
      <c r="C1253" s="29" t="s">
        <v>32</v>
      </c>
      <c r="D1253" s="31">
        <f>SUMIFS(D1254:D3130,K1254:K3130,"0",B1254:B3130,"5 1 1 1 3 12 31111 6 M78 02000 122 00C 001*")-SUMIFS(E1254:E3130,K1254:K3130,"0",B1254:B3130,"5 1 1 1 3 12 31111 6 M78 02000 122 00C 001*")</f>
        <v>0</v>
      </c>
      <c r="E1253"/>
      <c r="F1253" s="31">
        <f>SUMIFS(F1254:F3130,K1254:K3130,"0",B1254:B3130,"5 1 1 1 3 12 31111 6 M78 02000 122 00C 001*")</f>
        <v>404116.36</v>
      </c>
      <c r="G1253" s="31">
        <f>SUMIFS(G1254:G3130,K1254:K3130,"0",B1254:B3130,"5 1 1 1 3 12 31111 6 M78 02000 122 00C 001*")</f>
        <v>0</v>
      </c>
      <c r="H1253" s="31">
        <f t="shared" si="20"/>
        <v>404116.36</v>
      </c>
      <c r="I1253" s="31"/>
      <c r="K1253" t="s">
        <v>13</v>
      </c>
    </row>
    <row r="1254" spans="2:11" ht="13" x14ac:dyDescent="0.15">
      <c r="B1254" s="29" t="s">
        <v>1827</v>
      </c>
      <c r="C1254" s="29" t="s">
        <v>1810</v>
      </c>
      <c r="D1254" s="31">
        <f>SUMIFS(D1255:D3130,K1255:K3130,"0",B1255:B3130,"5 1 1 1 3 12 31111 6 M78 02000 122 00C 001 11301*")-SUMIFS(E1255:E3130,K1255:K3130,"0",B1255:B3130,"5 1 1 1 3 12 31111 6 M78 02000 122 00C 001 11301*")</f>
        <v>0</v>
      </c>
      <c r="E1254"/>
      <c r="F1254" s="31">
        <f>SUMIFS(F1255:F3130,K1255:K3130,"0",B1255:B3130,"5 1 1 1 3 12 31111 6 M78 02000 122 00C 001 11301*")</f>
        <v>404116.36</v>
      </c>
      <c r="G1254" s="31">
        <f>SUMIFS(G1255:G3130,K1255:K3130,"0",B1255:B3130,"5 1 1 1 3 12 31111 6 M78 02000 122 00C 001 11301*")</f>
        <v>0</v>
      </c>
      <c r="H1254" s="31">
        <f t="shared" si="20"/>
        <v>404116.36</v>
      </c>
      <c r="I1254" s="31"/>
      <c r="K1254" t="s">
        <v>13</v>
      </c>
    </row>
    <row r="1255" spans="2:11" ht="22" x14ac:dyDescent="0.15">
      <c r="B1255" s="29" t="s">
        <v>1828</v>
      </c>
      <c r="C1255" s="29" t="s">
        <v>271</v>
      </c>
      <c r="D1255" s="31">
        <f>SUMIFS(D1256:D3130,K1256:K3130,"0",B1256:B3130,"5 1 1 1 3 12 31111 6 M78 02000 122 00C 001 11301 015*")-SUMIFS(E1256:E3130,K1256:K3130,"0",B1256:B3130,"5 1 1 1 3 12 31111 6 M78 02000 122 00C 001 11301 015*")</f>
        <v>0</v>
      </c>
      <c r="E1255"/>
      <c r="F1255" s="31">
        <f>SUMIFS(F1256:F3130,K1256:K3130,"0",B1256:B3130,"5 1 1 1 3 12 31111 6 M78 02000 122 00C 001 11301 015*")</f>
        <v>404116.36</v>
      </c>
      <c r="G1255" s="31">
        <f>SUMIFS(G1256:G3130,K1256:K3130,"0",B1256:B3130,"5 1 1 1 3 12 31111 6 M78 02000 122 00C 001 11301 015*")</f>
        <v>0</v>
      </c>
      <c r="H1255" s="31">
        <f t="shared" si="20"/>
        <v>404116.36</v>
      </c>
      <c r="I1255" s="31"/>
      <c r="K1255" t="s">
        <v>13</v>
      </c>
    </row>
    <row r="1256" spans="2:11" ht="22" x14ac:dyDescent="0.15">
      <c r="B1256" s="29" t="s">
        <v>1829</v>
      </c>
      <c r="C1256" s="29" t="s">
        <v>1813</v>
      </c>
      <c r="D1256" s="31">
        <f>SUMIFS(D1257:D3130,K1257:K3130,"0",B1257:B3130,"5 1 1 1 3 12 31111 6 M78 02000 122 00C 001 11301 015 2111100*")-SUMIFS(E1257:E3130,K1257:K3130,"0",B1257:B3130,"5 1 1 1 3 12 31111 6 M78 02000 122 00C 001 11301 015 2111100*")</f>
        <v>0</v>
      </c>
      <c r="E1256"/>
      <c r="F1256" s="31">
        <f>SUMIFS(F1257:F3130,K1257:K3130,"0",B1257:B3130,"5 1 1 1 3 12 31111 6 M78 02000 122 00C 001 11301 015 2111100*")</f>
        <v>404116.36</v>
      </c>
      <c r="G1256" s="31">
        <f>SUMIFS(G1257:G3130,K1257:K3130,"0",B1257:B3130,"5 1 1 1 3 12 31111 6 M78 02000 122 00C 001 11301 015 2111100*")</f>
        <v>0</v>
      </c>
      <c r="H1256" s="31">
        <f t="shared" si="20"/>
        <v>404116.36</v>
      </c>
      <c r="I1256" s="31"/>
      <c r="K1256" t="s">
        <v>13</v>
      </c>
    </row>
    <row r="1257" spans="2:11" ht="22" x14ac:dyDescent="0.15">
      <c r="B1257" s="29" t="s">
        <v>1830</v>
      </c>
      <c r="C1257" s="29" t="s">
        <v>275</v>
      </c>
      <c r="D1257" s="31">
        <f>SUMIFS(D1258:D3130,K1258:K3130,"0",B1258:B3130,"5 1 1 1 3 12 31111 6 M78 02000 122 00C 001 11301 015 2111100 2024*")-SUMIFS(E1258:E3130,K1258:K3130,"0",B1258:B3130,"5 1 1 1 3 12 31111 6 M78 02000 122 00C 001 11301 015 2111100 2024*")</f>
        <v>0</v>
      </c>
      <c r="E1257"/>
      <c r="F1257" s="31">
        <f>SUMIFS(F1258:F3130,K1258:K3130,"0",B1258:B3130,"5 1 1 1 3 12 31111 6 M78 02000 122 00C 001 11301 015 2111100 2024*")</f>
        <v>404116.36</v>
      </c>
      <c r="G1257" s="31">
        <f>SUMIFS(G1258:G3130,K1258:K3130,"0",B1258:B3130,"5 1 1 1 3 12 31111 6 M78 02000 122 00C 001 11301 015 2111100 2024*")</f>
        <v>0</v>
      </c>
      <c r="H1257" s="31">
        <f t="shared" si="20"/>
        <v>404116.36</v>
      </c>
      <c r="I1257" s="31"/>
      <c r="K1257" t="s">
        <v>13</v>
      </c>
    </row>
    <row r="1258" spans="2:11" ht="22" x14ac:dyDescent="0.15">
      <c r="B1258" s="29" t="s">
        <v>1831</v>
      </c>
      <c r="C1258" s="29" t="s">
        <v>277</v>
      </c>
      <c r="D1258" s="31">
        <f>SUMIFS(D1259:D3130,K1259:K3130,"0",B1259:B3130,"5 1 1 1 3 12 31111 6 M78 02000 122 00C 001 11301 015 2111100 2024 00000000*")-SUMIFS(E1259:E3130,K1259:K3130,"0",B1259:B3130,"5 1 1 1 3 12 31111 6 M78 02000 122 00C 001 11301 015 2111100 2024 00000000*")</f>
        <v>0</v>
      </c>
      <c r="E1258"/>
      <c r="F1258" s="31">
        <f>SUMIFS(F1259:F3130,K1259:K3130,"0",B1259:B3130,"5 1 1 1 3 12 31111 6 M78 02000 122 00C 001 11301 015 2111100 2024 00000000*")</f>
        <v>404116.36</v>
      </c>
      <c r="G1258" s="31">
        <f>SUMIFS(G1259:G3130,K1259:K3130,"0",B1259:B3130,"5 1 1 1 3 12 31111 6 M78 02000 122 00C 001 11301 015 2111100 2024 00000000*")</f>
        <v>0</v>
      </c>
      <c r="H1258" s="31">
        <f t="shared" si="20"/>
        <v>404116.36</v>
      </c>
      <c r="I1258" s="31"/>
      <c r="K1258" t="s">
        <v>13</v>
      </c>
    </row>
    <row r="1259" spans="2:11" ht="22" x14ac:dyDescent="0.15">
      <c r="B1259" s="29" t="s">
        <v>1832</v>
      </c>
      <c r="C1259" s="29" t="s">
        <v>32</v>
      </c>
      <c r="D1259" s="31">
        <f>SUMIFS(D1260:D3130,K1260:K3130,"0",B1260:B3130,"5 1 1 1 3 12 31111 6 M78 02000 122 00C 001 11301 015 2111100 2024 00000000 001*")-SUMIFS(E1260:E3130,K1260:K3130,"0",B1260:B3130,"5 1 1 1 3 12 31111 6 M78 02000 122 00C 001 11301 015 2111100 2024 00000000 001*")</f>
        <v>0</v>
      </c>
      <c r="E1259"/>
      <c r="F1259" s="31">
        <f>SUMIFS(F1260:F3130,K1260:K3130,"0",B1260:B3130,"5 1 1 1 3 12 31111 6 M78 02000 122 00C 001 11301 015 2111100 2024 00000000 001*")</f>
        <v>404116.36</v>
      </c>
      <c r="G1259" s="31">
        <f>SUMIFS(G1260:G3130,K1260:K3130,"0",B1260:B3130,"5 1 1 1 3 12 31111 6 M78 02000 122 00C 001 11301 015 2111100 2024 00000000 001*")</f>
        <v>0</v>
      </c>
      <c r="H1259" s="31">
        <f t="shared" si="20"/>
        <v>404116.36</v>
      </c>
      <c r="I1259" s="31"/>
      <c r="K1259" t="s">
        <v>13</v>
      </c>
    </row>
    <row r="1260" spans="2:11" ht="22" x14ac:dyDescent="0.15">
      <c r="B1260" s="29" t="s">
        <v>1833</v>
      </c>
      <c r="C1260" s="29" t="s">
        <v>1834</v>
      </c>
      <c r="D1260" s="31">
        <f>SUMIFS(D1261:D3130,K1261:K3130,"0",B1261:B3130,"5 1 1 1 3 12 31111 6 M78 02000 122 00C 001 11301 015 2111100 2024 00000000 001 001*")-SUMIFS(E1261:E3130,K1261:K3130,"0",B1261:B3130,"5 1 1 1 3 12 31111 6 M78 02000 122 00C 001 11301 015 2111100 2024 00000000 001 001*")</f>
        <v>0</v>
      </c>
      <c r="E1260"/>
      <c r="F1260" s="31">
        <f>SUMIFS(F1261:F3130,K1261:K3130,"0",B1261:B3130,"5 1 1 1 3 12 31111 6 M78 02000 122 00C 001 11301 015 2111100 2024 00000000 001 001*")</f>
        <v>404116.36</v>
      </c>
      <c r="G1260" s="31">
        <f>SUMIFS(G1261:G3130,K1261:K3130,"0",B1261:B3130,"5 1 1 1 3 12 31111 6 M78 02000 122 00C 001 11301 015 2111100 2024 00000000 001 001*")</f>
        <v>0</v>
      </c>
      <c r="H1260" s="31">
        <f t="shared" si="20"/>
        <v>404116.36</v>
      </c>
      <c r="I1260" s="31"/>
      <c r="K1260" t="s">
        <v>13</v>
      </c>
    </row>
    <row r="1261" spans="2:11" ht="22" x14ac:dyDescent="0.15">
      <c r="B1261" s="27" t="s">
        <v>1835</v>
      </c>
      <c r="C1261" s="27" t="s">
        <v>1820</v>
      </c>
      <c r="D1261" s="30">
        <v>0</v>
      </c>
      <c r="E1261" s="30"/>
      <c r="F1261" s="30">
        <v>404116.36</v>
      </c>
      <c r="G1261" s="30">
        <v>0</v>
      </c>
      <c r="H1261" s="30">
        <f t="shared" si="20"/>
        <v>404116.36</v>
      </c>
      <c r="I1261" s="30"/>
      <c r="K1261" t="s">
        <v>37</v>
      </c>
    </row>
    <row r="1262" spans="2:11" ht="13" x14ac:dyDescent="0.15">
      <c r="B1262" s="29" t="s">
        <v>1836</v>
      </c>
      <c r="C1262" s="29" t="s">
        <v>1837</v>
      </c>
      <c r="D1262" s="31">
        <f>SUMIFS(D1263:D3130,K1263:K3130,"0",B1263:B3130,"5 1 1 1 3 12 31111 6 M78 03000*")-SUMIFS(E1263:E3130,K1263:K3130,"0",B1263:B3130,"5 1 1 1 3 12 31111 6 M78 03000*")</f>
        <v>0</v>
      </c>
      <c r="E1262"/>
      <c r="F1262" s="31">
        <f>SUMIFS(F1263:F3130,K1263:K3130,"0",B1263:B3130,"5 1 1 1 3 12 31111 6 M78 03000*")</f>
        <v>526647.19999999995</v>
      </c>
      <c r="G1262" s="31">
        <f>SUMIFS(G1263:G3130,K1263:K3130,"0",B1263:B3130,"5 1 1 1 3 12 31111 6 M78 03000*")</f>
        <v>0</v>
      </c>
      <c r="H1262" s="31">
        <f t="shared" si="20"/>
        <v>526647.19999999995</v>
      </c>
      <c r="I1262" s="31"/>
      <c r="K1262" t="s">
        <v>13</v>
      </c>
    </row>
    <row r="1263" spans="2:11" ht="13" x14ac:dyDescent="0.15">
      <c r="B1263" s="29" t="s">
        <v>1838</v>
      </c>
      <c r="C1263" s="29" t="s">
        <v>1839</v>
      </c>
      <c r="D1263" s="31">
        <f>SUMIFS(D1264:D3130,K1264:K3130,"0",B1264:B3130,"5 1 1 1 3 12 31111 6 M78 03000 135*")-SUMIFS(E1264:E3130,K1264:K3130,"0",B1264:B3130,"5 1 1 1 3 12 31111 6 M78 03000 135*")</f>
        <v>0</v>
      </c>
      <c r="E1263"/>
      <c r="F1263" s="31">
        <f>SUMIFS(F1264:F3130,K1264:K3130,"0",B1264:B3130,"5 1 1 1 3 12 31111 6 M78 03000 135*")</f>
        <v>526647.19999999995</v>
      </c>
      <c r="G1263" s="31">
        <f>SUMIFS(G1264:G3130,K1264:K3130,"0",B1264:B3130,"5 1 1 1 3 12 31111 6 M78 03000 135*")</f>
        <v>0</v>
      </c>
      <c r="H1263" s="31">
        <f t="shared" si="20"/>
        <v>526647.19999999995</v>
      </c>
      <c r="I1263" s="31"/>
      <c r="K1263" t="s">
        <v>13</v>
      </c>
    </row>
    <row r="1264" spans="2:11" ht="13" x14ac:dyDescent="0.15">
      <c r="B1264" s="29" t="s">
        <v>1840</v>
      </c>
      <c r="C1264" s="29" t="s">
        <v>285</v>
      </c>
      <c r="D1264" s="31">
        <f>SUMIFS(D1265:D3130,K1265:K3130,"0",B1265:B3130,"5 1 1 1 3 12 31111 6 M78 03000 135 00I*")-SUMIFS(E1265:E3130,K1265:K3130,"0",B1265:B3130,"5 1 1 1 3 12 31111 6 M78 03000 135 00I*")</f>
        <v>0</v>
      </c>
      <c r="E1264"/>
      <c r="F1264" s="31">
        <f>SUMIFS(F1265:F3130,K1265:K3130,"0",B1265:B3130,"5 1 1 1 3 12 31111 6 M78 03000 135 00I*")</f>
        <v>526647.19999999995</v>
      </c>
      <c r="G1264" s="31">
        <f>SUMIFS(G1265:G3130,K1265:K3130,"0",B1265:B3130,"5 1 1 1 3 12 31111 6 M78 03000 135 00I*")</f>
        <v>0</v>
      </c>
      <c r="H1264" s="31">
        <f t="shared" si="20"/>
        <v>526647.19999999995</v>
      </c>
      <c r="I1264" s="31"/>
      <c r="K1264" t="s">
        <v>13</v>
      </c>
    </row>
    <row r="1265" spans="2:11" ht="13" x14ac:dyDescent="0.15">
      <c r="B1265" s="29" t="s">
        <v>1841</v>
      </c>
      <c r="C1265" s="29" t="s">
        <v>32</v>
      </c>
      <c r="D1265" s="31">
        <f>SUMIFS(D1266:D3130,K1266:K3130,"0",B1266:B3130,"5 1 1 1 3 12 31111 6 M78 03000 135 00I 001*")-SUMIFS(E1266:E3130,K1266:K3130,"0",B1266:B3130,"5 1 1 1 3 12 31111 6 M78 03000 135 00I 001*")</f>
        <v>0</v>
      </c>
      <c r="E1265"/>
      <c r="F1265" s="31">
        <f>SUMIFS(F1266:F3130,K1266:K3130,"0",B1266:B3130,"5 1 1 1 3 12 31111 6 M78 03000 135 00I 001*")</f>
        <v>526647.19999999995</v>
      </c>
      <c r="G1265" s="31">
        <f>SUMIFS(G1266:G3130,K1266:K3130,"0",B1266:B3130,"5 1 1 1 3 12 31111 6 M78 03000 135 00I 001*")</f>
        <v>0</v>
      </c>
      <c r="H1265" s="31">
        <f t="shared" si="20"/>
        <v>526647.19999999995</v>
      </c>
      <c r="I1265" s="31"/>
      <c r="K1265" t="s">
        <v>13</v>
      </c>
    </row>
    <row r="1266" spans="2:11" ht="13" x14ac:dyDescent="0.15">
      <c r="B1266" s="29" t="s">
        <v>1842</v>
      </c>
      <c r="C1266" s="29" t="s">
        <v>1810</v>
      </c>
      <c r="D1266" s="31">
        <f>SUMIFS(D1267:D3130,K1267:K3130,"0",B1267:B3130,"5 1 1 1 3 12 31111 6 M78 03000 135 00I 001 11301*")-SUMIFS(E1267:E3130,K1267:K3130,"0",B1267:B3130,"5 1 1 1 3 12 31111 6 M78 03000 135 00I 001 11301*")</f>
        <v>0</v>
      </c>
      <c r="E1266"/>
      <c r="F1266" s="31">
        <f>SUMIFS(F1267:F3130,K1267:K3130,"0",B1267:B3130,"5 1 1 1 3 12 31111 6 M78 03000 135 00I 001 11301*")</f>
        <v>526647.19999999995</v>
      </c>
      <c r="G1266" s="31">
        <f>SUMIFS(G1267:G3130,K1267:K3130,"0",B1267:B3130,"5 1 1 1 3 12 31111 6 M78 03000 135 00I 001 11301*")</f>
        <v>0</v>
      </c>
      <c r="H1266" s="31">
        <f t="shared" si="20"/>
        <v>526647.19999999995</v>
      </c>
      <c r="I1266" s="31"/>
      <c r="K1266" t="s">
        <v>13</v>
      </c>
    </row>
    <row r="1267" spans="2:11" ht="22" x14ac:dyDescent="0.15">
      <c r="B1267" s="29" t="s">
        <v>1843</v>
      </c>
      <c r="C1267" s="29" t="s">
        <v>290</v>
      </c>
      <c r="D1267" s="31">
        <f>SUMIFS(D1268:D3130,K1268:K3130,"0",B1268:B3130,"5 1 1 1 3 12 31111 6 M78 03000 135 00I 001 11301 025*")-SUMIFS(E1268:E3130,K1268:K3130,"0",B1268:B3130,"5 1 1 1 3 12 31111 6 M78 03000 135 00I 001 11301 025*")</f>
        <v>0</v>
      </c>
      <c r="E1267"/>
      <c r="F1267" s="31">
        <f>SUMIFS(F1268:F3130,K1268:K3130,"0",B1268:B3130,"5 1 1 1 3 12 31111 6 M78 03000 135 00I 001 11301 025*")</f>
        <v>526647.19999999995</v>
      </c>
      <c r="G1267" s="31">
        <f>SUMIFS(G1268:G3130,K1268:K3130,"0",B1268:B3130,"5 1 1 1 3 12 31111 6 M78 03000 135 00I 001 11301 025*")</f>
        <v>0</v>
      </c>
      <c r="H1267" s="31">
        <f t="shared" si="20"/>
        <v>526647.19999999995</v>
      </c>
      <c r="I1267" s="31"/>
      <c r="K1267" t="s">
        <v>13</v>
      </c>
    </row>
    <row r="1268" spans="2:11" ht="22" x14ac:dyDescent="0.15">
      <c r="B1268" s="29" t="s">
        <v>1844</v>
      </c>
      <c r="C1268" s="29" t="s">
        <v>1813</v>
      </c>
      <c r="D1268" s="31">
        <f>SUMIFS(D1269:D3130,K1269:K3130,"0",B1269:B3130,"5 1 1 1 3 12 31111 6 M78 03000 135 00I 001 11301 025 2111100*")-SUMIFS(E1269:E3130,K1269:K3130,"0",B1269:B3130,"5 1 1 1 3 12 31111 6 M78 03000 135 00I 001 11301 025 2111100*")</f>
        <v>0</v>
      </c>
      <c r="E1268"/>
      <c r="F1268" s="31">
        <f>SUMIFS(F1269:F3130,K1269:K3130,"0",B1269:B3130,"5 1 1 1 3 12 31111 6 M78 03000 135 00I 001 11301 025 2111100*")</f>
        <v>526647.19999999995</v>
      </c>
      <c r="G1268" s="31">
        <f>SUMIFS(G1269:G3130,K1269:K3130,"0",B1269:B3130,"5 1 1 1 3 12 31111 6 M78 03000 135 00I 001 11301 025 2111100*")</f>
        <v>0</v>
      </c>
      <c r="H1268" s="31">
        <f t="shared" si="20"/>
        <v>526647.19999999995</v>
      </c>
      <c r="I1268" s="31"/>
      <c r="K1268" t="s">
        <v>13</v>
      </c>
    </row>
    <row r="1269" spans="2:11" ht="22" x14ac:dyDescent="0.15">
      <c r="B1269" s="29" t="s">
        <v>1845</v>
      </c>
      <c r="C1269" s="29" t="s">
        <v>275</v>
      </c>
      <c r="D1269" s="31">
        <f>SUMIFS(D1270:D3130,K1270:K3130,"0",B1270:B3130,"5 1 1 1 3 12 31111 6 M78 03000 135 00I 001 11301 025 2111100 2024*")-SUMIFS(E1270:E3130,K1270:K3130,"0",B1270:B3130,"5 1 1 1 3 12 31111 6 M78 03000 135 00I 001 11301 025 2111100 2024*")</f>
        <v>0</v>
      </c>
      <c r="E1269"/>
      <c r="F1269" s="31">
        <f>SUMIFS(F1270:F3130,K1270:K3130,"0",B1270:B3130,"5 1 1 1 3 12 31111 6 M78 03000 135 00I 001 11301 025 2111100 2024*")</f>
        <v>526647.19999999995</v>
      </c>
      <c r="G1269" s="31">
        <f>SUMIFS(G1270:G3130,K1270:K3130,"0",B1270:B3130,"5 1 1 1 3 12 31111 6 M78 03000 135 00I 001 11301 025 2111100 2024*")</f>
        <v>0</v>
      </c>
      <c r="H1269" s="31">
        <f t="shared" si="20"/>
        <v>526647.19999999995</v>
      </c>
      <c r="I1269" s="31"/>
      <c r="K1269" t="s">
        <v>13</v>
      </c>
    </row>
    <row r="1270" spans="2:11" ht="22" x14ac:dyDescent="0.15">
      <c r="B1270" s="29" t="s">
        <v>1846</v>
      </c>
      <c r="C1270" s="29" t="s">
        <v>277</v>
      </c>
      <c r="D1270" s="31">
        <f>SUMIFS(D1271:D3130,K1271:K3130,"0",B1271:B3130,"5 1 1 1 3 12 31111 6 M78 03000 135 00I 001 11301 025 2111100 2024 00000000*")-SUMIFS(E1271:E3130,K1271:K3130,"0",B1271:B3130,"5 1 1 1 3 12 31111 6 M78 03000 135 00I 001 11301 025 2111100 2024 00000000*")</f>
        <v>0</v>
      </c>
      <c r="E1270"/>
      <c r="F1270" s="31">
        <f>SUMIFS(F1271:F3130,K1271:K3130,"0",B1271:B3130,"5 1 1 1 3 12 31111 6 M78 03000 135 00I 001 11301 025 2111100 2024 00000000*")</f>
        <v>526647.19999999995</v>
      </c>
      <c r="G1270" s="31">
        <f>SUMIFS(G1271:G3130,K1271:K3130,"0",B1271:B3130,"5 1 1 1 3 12 31111 6 M78 03000 135 00I 001 11301 025 2111100 2024 00000000*")</f>
        <v>0</v>
      </c>
      <c r="H1270" s="31">
        <f t="shared" si="20"/>
        <v>526647.19999999995</v>
      </c>
      <c r="I1270" s="31"/>
      <c r="K1270" t="s">
        <v>13</v>
      </c>
    </row>
    <row r="1271" spans="2:11" ht="22" x14ac:dyDescent="0.15">
      <c r="B1271" s="29" t="s">
        <v>1847</v>
      </c>
      <c r="C1271" s="29" t="s">
        <v>581</v>
      </c>
      <c r="D1271" s="31">
        <f>SUMIFS(D1272:D3130,K1272:K3130,"0",B1272:B3130,"5 1 1 1 3 12 31111 6 M78 03000 135 00I 001 11301 025 2111100 2024 00000000 003*")-SUMIFS(E1272:E3130,K1272:K3130,"0",B1272:B3130,"5 1 1 1 3 12 31111 6 M78 03000 135 00I 001 11301 025 2111100 2024 00000000 003*")</f>
        <v>0</v>
      </c>
      <c r="E1271"/>
      <c r="F1271" s="31">
        <f>SUMIFS(F1272:F3130,K1272:K3130,"0",B1272:B3130,"5 1 1 1 3 12 31111 6 M78 03000 135 00I 001 11301 025 2111100 2024 00000000 003*")</f>
        <v>526647.19999999995</v>
      </c>
      <c r="G1271" s="31">
        <f>SUMIFS(G1272:G3130,K1272:K3130,"0",B1272:B3130,"5 1 1 1 3 12 31111 6 M78 03000 135 00I 001 11301 025 2111100 2024 00000000 003*")</f>
        <v>0</v>
      </c>
      <c r="H1271" s="31">
        <f t="shared" si="20"/>
        <v>526647.19999999995</v>
      </c>
      <c r="I1271" s="31"/>
      <c r="K1271" t="s">
        <v>13</v>
      </c>
    </row>
    <row r="1272" spans="2:11" ht="22" x14ac:dyDescent="0.15">
      <c r="B1272" s="29" t="s">
        <v>1848</v>
      </c>
      <c r="C1272" s="29" t="s">
        <v>1849</v>
      </c>
      <c r="D1272" s="31">
        <f>SUMIFS(D1273:D3130,K1273:K3130,"0",B1273:B3130,"5 1 1 1 3 12 31111 6 M78 03000 135 00I 001 11301 025 2111100 2024 00000000 003 001*")-SUMIFS(E1273:E3130,K1273:K3130,"0",B1273:B3130,"5 1 1 1 3 12 31111 6 M78 03000 135 00I 001 11301 025 2111100 2024 00000000 003 001*")</f>
        <v>0</v>
      </c>
      <c r="E1272"/>
      <c r="F1272" s="31">
        <f>SUMIFS(F1273:F3130,K1273:K3130,"0",B1273:B3130,"5 1 1 1 3 12 31111 6 M78 03000 135 00I 001 11301 025 2111100 2024 00000000 003 001*")</f>
        <v>526647.19999999995</v>
      </c>
      <c r="G1272" s="31">
        <f>SUMIFS(G1273:G3130,K1273:K3130,"0",B1273:B3130,"5 1 1 1 3 12 31111 6 M78 03000 135 00I 001 11301 025 2111100 2024 00000000 003 001*")</f>
        <v>0</v>
      </c>
      <c r="H1272" s="31">
        <f t="shared" si="20"/>
        <v>526647.19999999995</v>
      </c>
      <c r="I1272" s="31"/>
      <c r="K1272" t="s">
        <v>13</v>
      </c>
    </row>
    <row r="1273" spans="2:11" ht="22" x14ac:dyDescent="0.15">
      <c r="B1273" s="27" t="s">
        <v>1850</v>
      </c>
      <c r="C1273" s="27" t="s">
        <v>1820</v>
      </c>
      <c r="D1273" s="30">
        <v>0</v>
      </c>
      <c r="E1273" s="30"/>
      <c r="F1273" s="30">
        <v>526647.19999999995</v>
      </c>
      <c r="G1273" s="30">
        <v>0</v>
      </c>
      <c r="H1273" s="30">
        <f t="shared" si="20"/>
        <v>526647.19999999995</v>
      </c>
      <c r="I1273" s="30"/>
      <c r="K1273" t="s">
        <v>37</v>
      </c>
    </row>
    <row r="1274" spans="2:11" ht="13" x14ac:dyDescent="0.15">
      <c r="B1274" s="29" t="s">
        <v>1851</v>
      </c>
      <c r="C1274" s="29" t="s">
        <v>1852</v>
      </c>
      <c r="D1274" s="31">
        <f>SUMIFS(D1275:D3130,K1275:K3130,"0",B1275:B3130,"5 1 1 1 3 12 31111 6 M78 04000*")-SUMIFS(E1275:E3130,K1275:K3130,"0",B1275:B3130,"5 1 1 1 3 12 31111 6 M78 04000*")</f>
        <v>0</v>
      </c>
      <c r="E1274"/>
      <c r="F1274" s="31">
        <f>SUMIFS(F1275:F3130,K1275:K3130,"0",B1275:B3130,"5 1 1 1 3 12 31111 6 M78 04000*")</f>
        <v>658770.68000000005</v>
      </c>
      <c r="G1274" s="31">
        <f>SUMIFS(G1275:G3130,K1275:K3130,"0",B1275:B3130,"5 1 1 1 3 12 31111 6 M78 04000*")</f>
        <v>0</v>
      </c>
      <c r="H1274" s="31">
        <f t="shared" si="20"/>
        <v>658770.68000000005</v>
      </c>
      <c r="I1274" s="31"/>
      <c r="K1274" t="s">
        <v>13</v>
      </c>
    </row>
    <row r="1275" spans="2:11" ht="13" x14ac:dyDescent="0.15">
      <c r="B1275" s="29" t="s">
        <v>1853</v>
      </c>
      <c r="C1275" s="29" t="s">
        <v>634</v>
      </c>
      <c r="D1275" s="31">
        <f>SUMIFS(D1276:D3130,K1276:K3130,"0",B1276:B3130,"5 1 1 1 3 12 31111 6 M78 04000 152*")-SUMIFS(E1276:E3130,K1276:K3130,"0",B1276:B3130,"5 1 1 1 3 12 31111 6 M78 04000 152*")</f>
        <v>0</v>
      </c>
      <c r="E1275"/>
      <c r="F1275" s="31">
        <f>SUMIFS(F1276:F3130,K1276:K3130,"0",B1276:B3130,"5 1 1 1 3 12 31111 6 M78 04000 152*")</f>
        <v>658770.68000000005</v>
      </c>
      <c r="G1275" s="31">
        <f>SUMIFS(G1276:G3130,K1276:K3130,"0",B1276:B3130,"5 1 1 1 3 12 31111 6 M78 04000 152*")</f>
        <v>0</v>
      </c>
      <c r="H1275" s="31">
        <f t="shared" si="20"/>
        <v>658770.68000000005</v>
      </c>
      <c r="I1275" s="31"/>
      <c r="K1275" t="s">
        <v>13</v>
      </c>
    </row>
    <row r="1276" spans="2:11" ht="13" x14ac:dyDescent="0.15">
      <c r="B1276" s="29" t="s">
        <v>1854</v>
      </c>
      <c r="C1276" s="29" t="s">
        <v>285</v>
      </c>
      <c r="D1276" s="31">
        <f>SUMIFS(D1277:D3130,K1277:K3130,"0",B1277:B3130,"5 1 1 1 3 12 31111 6 M78 04000 152 00I*")-SUMIFS(E1277:E3130,K1277:K3130,"0",B1277:B3130,"5 1 1 1 3 12 31111 6 M78 04000 152 00I*")</f>
        <v>0</v>
      </c>
      <c r="E1276"/>
      <c r="F1276" s="31">
        <f>SUMIFS(F1277:F3130,K1277:K3130,"0",B1277:B3130,"5 1 1 1 3 12 31111 6 M78 04000 152 00I*")</f>
        <v>658770.68000000005</v>
      </c>
      <c r="G1276" s="31">
        <f>SUMIFS(G1277:G3130,K1277:K3130,"0",B1277:B3130,"5 1 1 1 3 12 31111 6 M78 04000 152 00I*")</f>
        <v>0</v>
      </c>
      <c r="H1276" s="31">
        <f t="shared" si="20"/>
        <v>658770.68000000005</v>
      </c>
      <c r="I1276" s="31"/>
      <c r="K1276" t="s">
        <v>13</v>
      </c>
    </row>
    <row r="1277" spans="2:11" ht="13" x14ac:dyDescent="0.15">
      <c r="B1277" s="29" t="s">
        <v>1855</v>
      </c>
      <c r="C1277" s="29" t="s">
        <v>32</v>
      </c>
      <c r="D1277" s="31">
        <f>SUMIFS(D1278:D3130,K1278:K3130,"0",B1278:B3130,"5 1 1 1 3 12 31111 6 M78 04000 152 00I 001*")-SUMIFS(E1278:E3130,K1278:K3130,"0",B1278:B3130,"5 1 1 1 3 12 31111 6 M78 04000 152 00I 001*")</f>
        <v>0</v>
      </c>
      <c r="E1277"/>
      <c r="F1277" s="31">
        <f>SUMIFS(F1278:F3130,K1278:K3130,"0",B1278:B3130,"5 1 1 1 3 12 31111 6 M78 04000 152 00I 001*")</f>
        <v>658770.68000000005</v>
      </c>
      <c r="G1277" s="31">
        <f>SUMIFS(G1278:G3130,K1278:K3130,"0",B1278:B3130,"5 1 1 1 3 12 31111 6 M78 04000 152 00I 001*")</f>
        <v>0</v>
      </c>
      <c r="H1277" s="31">
        <f t="shared" si="20"/>
        <v>658770.68000000005</v>
      </c>
      <c r="I1277" s="31"/>
      <c r="K1277" t="s">
        <v>13</v>
      </c>
    </row>
    <row r="1278" spans="2:11" ht="13" x14ac:dyDescent="0.15">
      <c r="B1278" s="29" t="s">
        <v>1856</v>
      </c>
      <c r="C1278" s="29" t="s">
        <v>1810</v>
      </c>
      <c r="D1278" s="31">
        <f>SUMIFS(D1279:D3130,K1279:K3130,"0",B1279:B3130,"5 1 1 1 3 12 31111 6 M78 04000 152 00I 001 11301*")-SUMIFS(E1279:E3130,K1279:K3130,"0",B1279:B3130,"5 1 1 1 3 12 31111 6 M78 04000 152 00I 001 11301*")</f>
        <v>0</v>
      </c>
      <c r="E1278"/>
      <c r="F1278" s="31">
        <f>SUMIFS(F1279:F3130,K1279:K3130,"0",B1279:B3130,"5 1 1 1 3 12 31111 6 M78 04000 152 00I 001 11301*")</f>
        <v>658770.68000000005</v>
      </c>
      <c r="G1278" s="31">
        <f>SUMIFS(G1279:G3130,K1279:K3130,"0",B1279:B3130,"5 1 1 1 3 12 31111 6 M78 04000 152 00I 001 11301*")</f>
        <v>0</v>
      </c>
      <c r="H1278" s="31">
        <f t="shared" si="20"/>
        <v>658770.68000000005</v>
      </c>
      <c r="I1278" s="31"/>
      <c r="K1278" t="s">
        <v>13</v>
      </c>
    </row>
    <row r="1279" spans="2:11" ht="22" x14ac:dyDescent="0.15">
      <c r="B1279" s="29" t="s">
        <v>1857</v>
      </c>
      <c r="C1279" s="29" t="s">
        <v>290</v>
      </c>
      <c r="D1279" s="31">
        <f>SUMIFS(D1280:D3130,K1280:K3130,"0",B1280:B3130,"5 1 1 1 3 12 31111 6 M78 04000 152 00I 001 11301 025*")-SUMIFS(E1280:E3130,K1280:K3130,"0",B1280:B3130,"5 1 1 1 3 12 31111 6 M78 04000 152 00I 001 11301 025*")</f>
        <v>0</v>
      </c>
      <c r="E1279"/>
      <c r="F1279" s="31">
        <f>SUMIFS(F1280:F3130,K1280:K3130,"0",B1280:B3130,"5 1 1 1 3 12 31111 6 M78 04000 152 00I 001 11301 025*")</f>
        <v>658770.68000000005</v>
      </c>
      <c r="G1279" s="31">
        <f>SUMIFS(G1280:G3130,K1280:K3130,"0",B1280:B3130,"5 1 1 1 3 12 31111 6 M78 04000 152 00I 001 11301 025*")</f>
        <v>0</v>
      </c>
      <c r="H1279" s="31">
        <f t="shared" si="20"/>
        <v>658770.68000000005</v>
      </c>
      <c r="I1279" s="31"/>
      <c r="K1279" t="s">
        <v>13</v>
      </c>
    </row>
    <row r="1280" spans="2:11" ht="22" x14ac:dyDescent="0.15">
      <c r="B1280" s="29" t="s">
        <v>1858</v>
      </c>
      <c r="C1280" s="29" t="s">
        <v>1813</v>
      </c>
      <c r="D1280" s="31">
        <f>SUMIFS(D1281:D3130,K1281:K3130,"0",B1281:B3130,"5 1 1 1 3 12 31111 6 M78 04000 152 00I 001 11301 025 2111100*")-SUMIFS(E1281:E3130,K1281:K3130,"0",B1281:B3130,"5 1 1 1 3 12 31111 6 M78 04000 152 00I 001 11301 025 2111100*")</f>
        <v>0</v>
      </c>
      <c r="E1280"/>
      <c r="F1280" s="31">
        <f>SUMIFS(F1281:F3130,K1281:K3130,"0",B1281:B3130,"5 1 1 1 3 12 31111 6 M78 04000 152 00I 001 11301 025 2111100*")</f>
        <v>658770.68000000005</v>
      </c>
      <c r="G1280" s="31">
        <f>SUMIFS(G1281:G3130,K1281:K3130,"0",B1281:B3130,"5 1 1 1 3 12 31111 6 M78 04000 152 00I 001 11301 025 2111100*")</f>
        <v>0</v>
      </c>
      <c r="H1280" s="31">
        <f t="shared" si="20"/>
        <v>658770.68000000005</v>
      </c>
      <c r="I1280" s="31"/>
      <c r="K1280" t="s">
        <v>13</v>
      </c>
    </row>
    <row r="1281" spans="2:11" ht="22" x14ac:dyDescent="0.15">
      <c r="B1281" s="29" t="s">
        <v>1859</v>
      </c>
      <c r="C1281" s="29" t="s">
        <v>275</v>
      </c>
      <c r="D1281" s="31">
        <f>SUMIFS(D1282:D3130,K1282:K3130,"0",B1282:B3130,"5 1 1 1 3 12 31111 6 M78 04000 152 00I 001 11301 025 2111100 2024*")-SUMIFS(E1282:E3130,K1282:K3130,"0",B1282:B3130,"5 1 1 1 3 12 31111 6 M78 04000 152 00I 001 11301 025 2111100 2024*")</f>
        <v>0</v>
      </c>
      <c r="E1281"/>
      <c r="F1281" s="31">
        <f>SUMIFS(F1282:F3130,K1282:K3130,"0",B1282:B3130,"5 1 1 1 3 12 31111 6 M78 04000 152 00I 001 11301 025 2111100 2024*")</f>
        <v>658770.68000000005</v>
      </c>
      <c r="G1281" s="31">
        <f>SUMIFS(G1282:G3130,K1282:K3130,"0",B1282:B3130,"5 1 1 1 3 12 31111 6 M78 04000 152 00I 001 11301 025 2111100 2024*")</f>
        <v>0</v>
      </c>
      <c r="H1281" s="31">
        <f t="shared" si="20"/>
        <v>658770.68000000005</v>
      </c>
      <c r="I1281" s="31"/>
      <c r="K1281" t="s">
        <v>13</v>
      </c>
    </row>
    <row r="1282" spans="2:11" ht="22" x14ac:dyDescent="0.15">
      <c r="B1282" s="29" t="s">
        <v>1860</v>
      </c>
      <c r="C1282" s="29" t="s">
        <v>277</v>
      </c>
      <c r="D1282" s="31">
        <f>SUMIFS(D1283:D3130,K1283:K3130,"0",B1283:B3130,"5 1 1 1 3 12 31111 6 M78 04000 152 00I 001 11301 025 2111100 2024 00000000*")-SUMIFS(E1283:E3130,K1283:K3130,"0",B1283:B3130,"5 1 1 1 3 12 31111 6 M78 04000 152 00I 001 11301 025 2111100 2024 00000000*")</f>
        <v>0</v>
      </c>
      <c r="E1282"/>
      <c r="F1282" s="31">
        <f>SUMIFS(F1283:F3130,K1283:K3130,"0",B1283:B3130,"5 1 1 1 3 12 31111 6 M78 04000 152 00I 001 11301 025 2111100 2024 00000000*")</f>
        <v>658770.68000000005</v>
      </c>
      <c r="G1282" s="31">
        <f>SUMIFS(G1283:G3130,K1283:K3130,"0",B1283:B3130,"5 1 1 1 3 12 31111 6 M78 04000 152 00I 001 11301 025 2111100 2024 00000000*")</f>
        <v>0</v>
      </c>
      <c r="H1282" s="31">
        <f t="shared" si="20"/>
        <v>658770.68000000005</v>
      </c>
      <c r="I1282" s="31"/>
      <c r="K1282" t="s">
        <v>13</v>
      </c>
    </row>
    <row r="1283" spans="2:11" ht="22" x14ac:dyDescent="0.15">
      <c r="B1283" s="29" t="s">
        <v>1861</v>
      </c>
      <c r="C1283" s="29" t="s">
        <v>581</v>
      </c>
      <c r="D1283" s="31">
        <f>SUMIFS(D1284:D3130,K1284:K3130,"0",B1284:B3130,"5 1 1 1 3 12 31111 6 M78 04000 152 00I 001 11301 025 2111100 2024 00000000 003*")-SUMIFS(E1284:E3130,K1284:K3130,"0",B1284:B3130,"5 1 1 1 3 12 31111 6 M78 04000 152 00I 001 11301 025 2111100 2024 00000000 003*")</f>
        <v>0</v>
      </c>
      <c r="E1283"/>
      <c r="F1283" s="31">
        <f>SUMIFS(F1284:F3130,K1284:K3130,"0",B1284:B3130,"5 1 1 1 3 12 31111 6 M78 04000 152 00I 001 11301 025 2111100 2024 00000000 003*")</f>
        <v>658770.68000000005</v>
      </c>
      <c r="G1283" s="31">
        <f>SUMIFS(G1284:G3130,K1284:K3130,"0",B1284:B3130,"5 1 1 1 3 12 31111 6 M78 04000 152 00I 001 11301 025 2111100 2024 00000000 003*")</f>
        <v>0</v>
      </c>
      <c r="H1283" s="31">
        <f t="shared" si="20"/>
        <v>658770.68000000005</v>
      </c>
      <c r="I1283" s="31"/>
      <c r="K1283" t="s">
        <v>13</v>
      </c>
    </row>
    <row r="1284" spans="2:11" ht="22" x14ac:dyDescent="0.15">
      <c r="B1284" s="29" t="s">
        <v>1862</v>
      </c>
      <c r="C1284" s="29" t="s">
        <v>1863</v>
      </c>
      <c r="D1284" s="31">
        <f>SUMIFS(D1285:D3130,K1285:K3130,"0",B1285:B3130,"5 1 1 1 3 12 31111 6 M78 04000 152 00I 001 11301 025 2111100 2024 00000000 003 001*")-SUMIFS(E1285:E3130,K1285:K3130,"0",B1285:B3130,"5 1 1 1 3 12 31111 6 M78 04000 152 00I 001 11301 025 2111100 2024 00000000 003 001*")</f>
        <v>0</v>
      </c>
      <c r="E1284"/>
      <c r="F1284" s="31">
        <f>SUMIFS(F1285:F3130,K1285:K3130,"0",B1285:B3130,"5 1 1 1 3 12 31111 6 M78 04000 152 00I 001 11301 025 2111100 2024 00000000 003 001*")</f>
        <v>658770.68000000005</v>
      </c>
      <c r="G1284" s="31">
        <f>SUMIFS(G1285:G3130,K1285:K3130,"0",B1285:B3130,"5 1 1 1 3 12 31111 6 M78 04000 152 00I 001 11301 025 2111100 2024 00000000 003 001*")</f>
        <v>0</v>
      </c>
      <c r="H1284" s="31">
        <f t="shared" si="20"/>
        <v>658770.68000000005</v>
      </c>
      <c r="I1284" s="31"/>
      <c r="K1284" t="s">
        <v>13</v>
      </c>
    </row>
    <row r="1285" spans="2:11" ht="22" x14ac:dyDescent="0.15">
      <c r="B1285" s="27" t="s">
        <v>1864</v>
      </c>
      <c r="C1285" s="27" t="s">
        <v>1865</v>
      </c>
      <c r="D1285" s="30">
        <v>0</v>
      </c>
      <c r="E1285" s="30"/>
      <c r="F1285" s="30">
        <v>658770.68000000005</v>
      </c>
      <c r="G1285" s="30">
        <v>0</v>
      </c>
      <c r="H1285" s="30">
        <f t="shared" si="20"/>
        <v>658770.68000000005</v>
      </c>
      <c r="I1285" s="30"/>
      <c r="K1285" t="s">
        <v>37</v>
      </c>
    </row>
    <row r="1286" spans="2:11" ht="13" x14ac:dyDescent="0.15">
      <c r="B1286" s="29" t="s">
        <v>1866</v>
      </c>
      <c r="C1286" s="29" t="s">
        <v>1867</v>
      </c>
      <c r="D1286" s="31">
        <f>SUMIFS(D1287:D3130,K1287:K3130,"0",B1287:B3130,"5 1 1 1 3 12 31111 6 M78 05000*")-SUMIFS(E1287:E3130,K1287:K3130,"0",B1287:B3130,"5 1 1 1 3 12 31111 6 M78 05000*")</f>
        <v>0</v>
      </c>
      <c r="E1286"/>
      <c r="F1286" s="31">
        <f>SUMIFS(F1287:F3130,K1287:K3130,"0",B1287:B3130,"5 1 1 1 3 12 31111 6 M78 05000*")</f>
        <v>1739060.72</v>
      </c>
      <c r="G1286" s="31">
        <f>SUMIFS(G1287:G3130,K1287:K3130,"0",B1287:B3130,"5 1 1 1 3 12 31111 6 M78 05000*")</f>
        <v>0</v>
      </c>
      <c r="H1286" s="31">
        <f t="shared" si="20"/>
        <v>1739060.72</v>
      </c>
      <c r="I1286" s="31"/>
      <c r="K1286" t="s">
        <v>13</v>
      </c>
    </row>
    <row r="1287" spans="2:11" ht="13" x14ac:dyDescent="0.15">
      <c r="B1287" s="29" t="s">
        <v>1868</v>
      </c>
      <c r="C1287" s="29" t="s">
        <v>1869</v>
      </c>
      <c r="D1287" s="31">
        <f>SUMIFS(D1288:D3130,K1288:K3130,"0",B1288:B3130,"5 1 1 1 3 12 31111 6 M78 05000 111*")-SUMIFS(E1288:E3130,K1288:K3130,"0",B1288:B3130,"5 1 1 1 3 12 31111 6 M78 05000 111*")</f>
        <v>0</v>
      </c>
      <c r="E1287"/>
      <c r="F1287" s="31">
        <f>SUMIFS(F1288:F3130,K1288:K3130,"0",B1288:B3130,"5 1 1 1 3 12 31111 6 M78 05000 111*")</f>
        <v>1739060.72</v>
      </c>
      <c r="G1287" s="31">
        <f>SUMIFS(G1288:G3130,K1288:K3130,"0",B1288:B3130,"5 1 1 1 3 12 31111 6 M78 05000 111*")</f>
        <v>0</v>
      </c>
      <c r="H1287" s="31">
        <f t="shared" si="20"/>
        <v>1739060.72</v>
      </c>
      <c r="I1287" s="31"/>
      <c r="K1287" t="s">
        <v>13</v>
      </c>
    </row>
    <row r="1288" spans="2:11" ht="13" x14ac:dyDescent="0.15">
      <c r="B1288" s="29" t="s">
        <v>1870</v>
      </c>
      <c r="C1288" s="29" t="s">
        <v>265</v>
      </c>
      <c r="D1288" s="31">
        <f>SUMIFS(D1289:D3130,K1289:K3130,"0",B1289:B3130,"5 1 1 1 3 12 31111 6 M78 05000 111 00C*")-SUMIFS(E1289:E3130,K1289:K3130,"0",B1289:B3130,"5 1 1 1 3 12 31111 6 M78 05000 111 00C*")</f>
        <v>0</v>
      </c>
      <c r="E1288"/>
      <c r="F1288" s="31">
        <f>SUMIFS(F1289:F3130,K1289:K3130,"0",B1289:B3130,"5 1 1 1 3 12 31111 6 M78 05000 111 00C*")</f>
        <v>1739060.72</v>
      </c>
      <c r="G1288" s="31">
        <f>SUMIFS(G1289:G3130,K1289:K3130,"0",B1289:B3130,"5 1 1 1 3 12 31111 6 M78 05000 111 00C*")</f>
        <v>0</v>
      </c>
      <c r="H1288" s="31">
        <f t="shared" si="20"/>
        <v>1739060.72</v>
      </c>
      <c r="I1288" s="31"/>
      <c r="K1288" t="s">
        <v>13</v>
      </c>
    </row>
    <row r="1289" spans="2:11" ht="13" x14ac:dyDescent="0.15">
      <c r="B1289" s="29" t="s">
        <v>1871</v>
      </c>
      <c r="C1289" s="29" t="s">
        <v>32</v>
      </c>
      <c r="D1289" s="31">
        <f>SUMIFS(D1290:D3130,K1290:K3130,"0",B1290:B3130,"5 1 1 1 3 12 31111 6 M78 05000 111 00C 001*")-SUMIFS(E1290:E3130,K1290:K3130,"0",B1290:B3130,"5 1 1 1 3 12 31111 6 M78 05000 111 00C 001*")</f>
        <v>0</v>
      </c>
      <c r="E1289"/>
      <c r="F1289" s="31">
        <f>SUMIFS(F1290:F3130,K1290:K3130,"0",B1290:B3130,"5 1 1 1 3 12 31111 6 M78 05000 111 00C 001*")</f>
        <v>1739060.72</v>
      </c>
      <c r="G1289" s="31">
        <f>SUMIFS(G1290:G3130,K1290:K3130,"0",B1290:B3130,"5 1 1 1 3 12 31111 6 M78 05000 111 00C 001*")</f>
        <v>0</v>
      </c>
      <c r="H1289" s="31">
        <f t="shared" si="20"/>
        <v>1739060.72</v>
      </c>
      <c r="I1289" s="31"/>
      <c r="K1289" t="s">
        <v>13</v>
      </c>
    </row>
    <row r="1290" spans="2:11" ht="13" x14ac:dyDescent="0.15">
      <c r="B1290" s="29" t="s">
        <v>1872</v>
      </c>
      <c r="C1290" s="29" t="s">
        <v>1810</v>
      </c>
      <c r="D1290" s="31">
        <f>SUMIFS(D1291:D3130,K1291:K3130,"0",B1291:B3130,"5 1 1 1 3 12 31111 6 M78 05000 111 00C 001 11301*")-SUMIFS(E1291:E3130,K1291:K3130,"0",B1291:B3130,"5 1 1 1 3 12 31111 6 M78 05000 111 00C 001 11301*")</f>
        <v>0</v>
      </c>
      <c r="E1290"/>
      <c r="F1290" s="31">
        <f>SUMIFS(F1291:F3130,K1291:K3130,"0",B1291:B3130,"5 1 1 1 3 12 31111 6 M78 05000 111 00C 001 11301*")</f>
        <v>1739060.72</v>
      </c>
      <c r="G1290" s="31">
        <f>SUMIFS(G1291:G3130,K1291:K3130,"0",B1291:B3130,"5 1 1 1 3 12 31111 6 M78 05000 111 00C 001 11301*")</f>
        <v>0</v>
      </c>
      <c r="H1290" s="31">
        <f t="shared" si="20"/>
        <v>1739060.72</v>
      </c>
      <c r="I1290" s="31"/>
      <c r="K1290" t="s">
        <v>13</v>
      </c>
    </row>
    <row r="1291" spans="2:11" ht="22" x14ac:dyDescent="0.15">
      <c r="B1291" s="29" t="s">
        <v>1873</v>
      </c>
      <c r="C1291" s="29" t="s">
        <v>271</v>
      </c>
      <c r="D1291" s="31">
        <f>SUMIFS(D1292:D3130,K1292:K3130,"0",B1292:B3130,"5 1 1 1 3 12 31111 6 M78 05000 111 00C 001 11301 015*")-SUMIFS(E1292:E3130,K1292:K3130,"0",B1292:B3130,"5 1 1 1 3 12 31111 6 M78 05000 111 00C 001 11301 015*")</f>
        <v>0</v>
      </c>
      <c r="E1291"/>
      <c r="F1291" s="31">
        <f>SUMIFS(F1292:F3130,K1292:K3130,"0",B1292:B3130,"5 1 1 1 3 12 31111 6 M78 05000 111 00C 001 11301 015*")</f>
        <v>1739060.72</v>
      </c>
      <c r="G1291" s="31">
        <f>SUMIFS(G1292:G3130,K1292:K3130,"0",B1292:B3130,"5 1 1 1 3 12 31111 6 M78 05000 111 00C 001 11301 015*")</f>
        <v>0</v>
      </c>
      <c r="H1291" s="31">
        <f t="shared" ref="H1291:H1354" si="21">D1291 + F1291 - G1291</f>
        <v>1739060.72</v>
      </c>
      <c r="I1291" s="31"/>
      <c r="K1291" t="s">
        <v>13</v>
      </c>
    </row>
    <row r="1292" spans="2:11" ht="22" x14ac:dyDescent="0.15">
      <c r="B1292" s="29" t="s">
        <v>1874</v>
      </c>
      <c r="C1292" s="29" t="s">
        <v>1813</v>
      </c>
      <c r="D1292" s="31">
        <f>SUMIFS(D1293:D3130,K1293:K3130,"0",B1293:B3130,"5 1 1 1 3 12 31111 6 M78 05000 111 00C 001 11301 015 2111100*")-SUMIFS(E1293:E3130,K1293:K3130,"0",B1293:B3130,"5 1 1 1 3 12 31111 6 M78 05000 111 00C 001 11301 015 2111100*")</f>
        <v>0</v>
      </c>
      <c r="E1292"/>
      <c r="F1292" s="31">
        <f>SUMIFS(F1293:F3130,K1293:K3130,"0",B1293:B3130,"5 1 1 1 3 12 31111 6 M78 05000 111 00C 001 11301 015 2111100*")</f>
        <v>1739060.72</v>
      </c>
      <c r="G1292" s="31">
        <f>SUMIFS(G1293:G3130,K1293:K3130,"0",B1293:B3130,"5 1 1 1 3 12 31111 6 M78 05000 111 00C 001 11301 015 2111100*")</f>
        <v>0</v>
      </c>
      <c r="H1292" s="31">
        <f t="shared" si="21"/>
        <v>1739060.72</v>
      </c>
      <c r="I1292" s="31"/>
      <c r="K1292" t="s">
        <v>13</v>
      </c>
    </row>
    <row r="1293" spans="2:11" ht="22" x14ac:dyDescent="0.15">
      <c r="B1293" s="29" t="s">
        <v>1875</v>
      </c>
      <c r="C1293" s="29" t="s">
        <v>275</v>
      </c>
      <c r="D1293" s="31">
        <f>SUMIFS(D1294:D3130,K1294:K3130,"0",B1294:B3130,"5 1 1 1 3 12 31111 6 M78 05000 111 00C 001 11301 015 2111100 2024*")-SUMIFS(E1294:E3130,K1294:K3130,"0",B1294:B3130,"5 1 1 1 3 12 31111 6 M78 05000 111 00C 001 11301 015 2111100 2024*")</f>
        <v>0</v>
      </c>
      <c r="E1293"/>
      <c r="F1293" s="31">
        <f>SUMIFS(F1294:F3130,K1294:K3130,"0",B1294:B3130,"5 1 1 1 3 12 31111 6 M78 05000 111 00C 001 11301 015 2111100 2024*")</f>
        <v>1739060.72</v>
      </c>
      <c r="G1293" s="31">
        <f>SUMIFS(G1294:G3130,K1294:K3130,"0",B1294:B3130,"5 1 1 1 3 12 31111 6 M78 05000 111 00C 001 11301 015 2111100 2024*")</f>
        <v>0</v>
      </c>
      <c r="H1293" s="31">
        <f t="shared" si="21"/>
        <v>1739060.72</v>
      </c>
      <c r="I1293" s="31"/>
      <c r="K1293" t="s">
        <v>13</v>
      </c>
    </row>
    <row r="1294" spans="2:11" ht="22" x14ac:dyDescent="0.15">
      <c r="B1294" s="29" t="s">
        <v>1876</v>
      </c>
      <c r="C1294" s="29" t="s">
        <v>277</v>
      </c>
      <c r="D1294" s="31">
        <f>SUMIFS(D1295:D3130,K1295:K3130,"0",B1295:B3130,"5 1 1 1 3 12 31111 6 M78 05000 111 00C 001 11301 015 2111100 2024 00000000*")-SUMIFS(E1295:E3130,K1295:K3130,"0",B1295:B3130,"5 1 1 1 3 12 31111 6 M78 05000 111 00C 001 11301 015 2111100 2024 00000000*")</f>
        <v>0</v>
      </c>
      <c r="E1294"/>
      <c r="F1294" s="31">
        <f>SUMIFS(F1295:F3130,K1295:K3130,"0",B1295:B3130,"5 1 1 1 3 12 31111 6 M78 05000 111 00C 001 11301 015 2111100 2024 00000000*")</f>
        <v>1739060.72</v>
      </c>
      <c r="G1294" s="31">
        <f>SUMIFS(G1295:G3130,K1295:K3130,"0",B1295:B3130,"5 1 1 1 3 12 31111 6 M78 05000 111 00C 001 11301 015 2111100 2024 00000000*")</f>
        <v>0</v>
      </c>
      <c r="H1294" s="31">
        <f t="shared" si="21"/>
        <v>1739060.72</v>
      </c>
      <c r="I1294" s="31"/>
      <c r="K1294" t="s">
        <v>13</v>
      </c>
    </row>
    <row r="1295" spans="2:11" ht="22" x14ac:dyDescent="0.15">
      <c r="B1295" s="29" t="s">
        <v>1877</v>
      </c>
      <c r="C1295" s="29" t="s">
        <v>32</v>
      </c>
      <c r="D1295" s="31">
        <f>SUMIFS(D1296:D3130,K1296:K3130,"0",B1296:B3130,"5 1 1 1 3 12 31111 6 M78 05000 111 00C 001 11301 015 2111100 2024 00000000 001*")-SUMIFS(E1296:E3130,K1296:K3130,"0",B1296:B3130,"5 1 1 1 3 12 31111 6 M78 05000 111 00C 001 11301 015 2111100 2024 00000000 001*")</f>
        <v>0</v>
      </c>
      <c r="E1295"/>
      <c r="F1295" s="31">
        <f>SUMIFS(F1296:F3130,K1296:K3130,"0",B1296:B3130,"5 1 1 1 3 12 31111 6 M78 05000 111 00C 001 11301 015 2111100 2024 00000000 001*")</f>
        <v>1739060.72</v>
      </c>
      <c r="G1295" s="31">
        <f>SUMIFS(G1296:G3130,K1296:K3130,"0",B1296:B3130,"5 1 1 1 3 12 31111 6 M78 05000 111 00C 001 11301 015 2111100 2024 00000000 001*")</f>
        <v>0</v>
      </c>
      <c r="H1295" s="31">
        <f t="shared" si="21"/>
        <v>1739060.72</v>
      </c>
      <c r="I1295" s="31"/>
      <c r="K1295" t="s">
        <v>13</v>
      </c>
    </row>
    <row r="1296" spans="2:11" ht="22" x14ac:dyDescent="0.15">
      <c r="B1296" s="29" t="s">
        <v>1878</v>
      </c>
      <c r="C1296" s="29" t="s">
        <v>1879</v>
      </c>
      <c r="D1296" s="31">
        <f>SUMIFS(D1297:D3130,K1297:K3130,"0",B1297:B3130,"5 1 1 1 3 12 31111 6 M78 05000 111 00C 001 11301 015 2111100 2024 00000000 001 001*")-SUMIFS(E1297:E3130,K1297:K3130,"0",B1297:B3130,"5 1 1 1 3 12 31111 6 M78 05000 111 00C 001 11301 015 2111100 2024 00000000 001 001*")</f>
        <v>0</v>
      </c>
      <c r="E1296"/>
      <c r="F1296" s="31">
        <f>SUMIFS(F1297:F3130,K1297:K3130,"0",B1297:B3130,"5 1 1 1 3 12 31111 6 M78 05000 111 00C 001 11301 015 2111100 2024 00000000 001 001*")</f>
        <v>1739060.72</v>
      </c>
      <c r="G1296" s="31">
        <f>SUMIFS(G1297:G3130,K1297:K3130,"0",B1297:B3130,"5 1 1 1 3 12 31111 6 M78 05000 111 00C 001 11301 015 2111100 2024 00000000 001 001*")</f>
        <v>0</v>
      </c>
      <c r="H1296" s="31">
        <f t="shared" si="21"/>
        <v>1739060.72</v>
      </c>
      <c r="I1296" s="31"/>
      <c r="K1296" t="s">
        <v>13</v>
      </c>
    </row>
    <row r="1297" spans="2:11" ht="22" x14ac:dyDescent="0.15">
      <c r="B1297" s="27" t="s">
        <v>1880</v>
      </c>
      <c r="C1297" s="27" t="s">
        <v>1820</v>
      </c>
      <c r="D1297" s="30">
        <v>0</v>
      </c>
      <c r="E1297" s="30"/>
      <c r="F1297" s="30">
        <v>1739060.72</v>
      </c>
      <c r="G1297" s="30">
        <v>0</v>
      </c>
      <c r="H1297" s="30">
        <f t="shared" si="21"/>
        <v>1739060.72</v>
      </c>
      <c r="I1297" s="30"/>
      <c r="K1297" t="s">
        <v>37</v>
      </c>
    </row>
    <row r="1298" spans="2:11" ht="13" x14ac:dyDescent="0.15">
      <c r="B1298" s="29" t="s">
        <v>1881</v>
      </c>
      <c r="C1298" s="29" t="s">
        <v>1882</v>
      </c>
      <c r="D1298" s="31">
        <f>SUMIFS(D1299:D3130,K1299:K3130,"0",B1299:B3130,"5 1 1 1 3 12 31111 6 M78 06000*")-SUMIFS(E1299:E3130,K1299:K3130,"0",B1299:B3130,"5 1 1 1 3 12 31111 6 M78 06000*")</f>
        <v>0</v>
      </c>
      <c r="E1298"/>
      <c r="F1298" s="31">
        <f>SUMIFS(F1299:F3130,K1299:K3130,"0",B1299:B3130,"5 1 1 1 3 12 31111 6 M78 06000*")</f>
        <v>189755.6</v>
      </c>
      <c r="G1298" s="31">
        <f>SUMIFS(G1299:G3130,K1299:K3130,"0",B1299:B3130,"5 1 1 1 3 12 31111 6 M78 06000*")</f>
        <v>0</v>
      </c>
      <c r="H1298" s="31">
        <f t="shared" si="21"/>
        <v>189755.6</v>
      </c>
      <c r="I1298" s="31"/>
      <c r="K1298" t="s">
        <v>13</v>
      </c>
    </row>
    <row r="1299" spans="2:11" ht="13" x14ac:dyDescent="0.15">
      <c r="B1299" s="29" t="s">
        <v>1883</v>
      </c>
      <c r="C1299" s="29" t="s">
        <v>1884</v>
      </c>
      <c r="D1299" s="31">
        <f>SUMIFS(D1300:D3130,K1300:K3130,"0",B1300:B3130,"5 1 1 1 3 12 31111 6 M78 06000 132*")-SUMIFS(E1300:E3130,K1300:K3130,"0",B1300:B3130,"5 1 1 1 3 12 31111 6 M78 06000 132*")</f>
        <v>0</v>
      </c>
      <c r="E1299"/>
      <c r="F1299" s="31">
        <f>SUMIFS(F1300:F3130,K1300:K3130,"0",B1300:B3130,"5 1 1 1 3 12 31111 6 M78 06000 132*")</f>
        <v>189755.6</v>
      </c>
      <c r="G1299" s="31">
        <f>SUMIFS(G1300:G3130,K1300:K3130,"0",B1300:B3130,"5 1 1 1 3 12 31111 6 M78 06000 132*")</f>
        <v>0</v>
      </c>
      <c r="H1299" s="31">
        <f t="shared" si="21"/>
        <v>189755.6</v>
      </c>
      <c r="I1299" s="31"/>
      <c r="K1299" t="s">
        <v>13</v>
      </c>
    </row>
    <row r="1300" spans="2:11" ht="13" x14ac:dyDescent="0.15">
      <c r="B1300" s="29" t="s">
        <v>1885</v>
      </c>
      <c r="C1300" s="29" t="s">
        <v>265</v>
      </c>
      <c r="D1300" s="31">
        <f>SUMIFS(D1301:D3130,K1301:K3130,"0",B1301:B3130,"5 1 1 1 3 12 31111 6 M78 06000 132 00C*")-SUMIFS(E1301:E3130,K1301:K3130,"0",B1301:B3130,"5 1 1 1 3 12 31111 6 M78 06000 132 00C*")</f>
        <v>0</v>
      </c>
      <c r="E1300"/>
      <c r="F1300" s="31">
        <f>SUMIFS(F1301:F3130,K1301:K3130,"0",B1301:B3130,"5 1 1 1 3 12 31111 6 M78 06000 132 00C*")</f>
        <v>189755.6</v>
      </c>
      <c r="G1300" s="31">
        <f>SUMIFS(G1301:G3130,K1301:K3130,"0",B1301:B3130,"5 1 1 1 3 12 31111 6 M78 06000 132 00C*")</f>
        <v>0</v>
      </c>
      <c r="H1300" s="31">
        <f t="shared" si="21"/>
        <v>189755.6</v>
      </c>
      <c r="I1300" s="31"/>
      <c r="K1300" t="s">
        <v>13</v>
      </c>
    </row>
    <row r="1301" spans="2:11" ht="13" x14ac:dyDescent="0.15">
      <c r="B1301" s="29" t="s">
        <v>1886</v>
      </c>
      <c r="C1301" s="29" t="s">
        <v>32</v>
      </c>
      <c r="D1301" s="31">
        <f>SUMIFS(D1302:D3130,K1302:K3130,"0",B1302:B3130,"5 1 1 1 3 12 31111 6 M78 06000 132 00C 001*")-SUMIFS(E1302:E3130,K1302:K3130,"0",B1302:B3130,"5 1 1 1 3 12 31111 6 M78 06000 132 00C 001*")</f>
        <v>0</v>
      </c>
      <c r="E1301"/>
      <c r="F1301" s="31">
        <f>SUMIFS(F1302:F3130,K1302:K3130,"0",B1302:B3130,"5 1 1 1 3 12 31111 6 M78 06000 132 00C 001*")</f>
        <v>189755.6</v>
      </c>
      <c r="G1301" s="31">
        <f>SUMIFS(G1302:G3130,K1302:K3130,"0",B1302:B3130,"5 1 1 1 3 12 31111 6 M78 06000 132 00C 001*")</f>
        <v>0</v>
      </c>
      <c r="H1301" s="31">
        <f t="shared" si="21"/>
        <v>189755.6</v>
      </c>
      <c r="I1301" s="31"/>
      <c r="K1301" t="s">
        <v>13</v>
      </c>
    </row>
    <row r="1302" spans="2:11" ht="13" x14ac:dyDescent="0.15">
      <c r="B1302" s="29" t="s">
        <v>1887</v>
      </c>
      <c r="C1302" s="29" t="s">
        <v>1810</v>
      </c>
      <c r="D1302" s="31">
        <f>SUMIFS(D1303:D3130,K1303:K3130,"0",B1303:B3130,"5 1 1 1 3 12 31111 6 M78 06000 132 00C 001 11301*")-SUMIFS(E1303:E3130,K1303:K3130,"0",B1303:B3130,"5 1 1 1 3 12 31111 6 M78 06000 132 00C 001 11301*")</f>
        <v>0</v>
      </c>
      <c r="E1302"/>
      <c r="F1302" s="31">
        <f>SUMIFS(F1303:F3130,K1303:K3130,"0",B1303:B3130,"5 1 1 1 3 12 31111 6 M78 06000 132 00C 001 11301*")</f>
        <v>174500</v>
      </c>
      <c r="G1302" s="31">
        <f>SUMIFS(G1303:G3130,K1303:K3130,"0",B1303:B3130,"5 1 1 1 3 12 31111 6 M78 06000 132 00C 001 11301*")</f>
        <v>0</v>
      </c>
      <c r="H1302" s="31">
        <f t="shared" si="21"/>
        <v>174500</v>
      </c>
      <c r="I1302" s="31"/>
      <c r="K1302" t="s">
        <v>13</v>
      </c>
    </row>
    <row r="1303" spans="2:11" ht="22" x14ac:dyDescent="0.15">
      <c r="B1303" s="29" t="s">
        <v>1888</v>
      </c>
      <c r="C1303" s="29" t="s">
        <v>271</v>
      </c>
      <c r="D1303" s="31">
        <f>SUMIFS(D1304:D3130,K1304:K3130,"0",B1304:B3130,"5 1 1 1 3 12 31111 6 M78 06000 132 00C 001 11301 015*")-SUMIFS(E1304:E3130,K1304:K3130,"0",B1304:B3130,"5 1 1 1 3 12 31111 6 M78 06000 132 00C 001 11301 015*")</f>
        <v>0</v>
      </c>
      <c r="E1303"/>
      <c r="F1303" s="31">
        <f>SUMIFS(F1304:F3130,K1304:K3130,"0",B1304:B3130,"5 1 1 1 3 12 31111 6 M78 06000 132 00C 001 11301 015*")</f>
        <v>174500</v>
      </c>
      <c r="G1303" s="31">
        <f>SUMIFS(G1304:G3130,K1304:K3130,"0",B1304:B3130,"5 1 1 1 3 12 31111 6 M78 06000 132 00C 001 11301 015*")</f>
        <v>0</v>
      </c>
      <c r="H1303" s="31">
        <f t="shared" si="21"/>
        <v>174500</v>
      </c>
      <c r="I1303" s="31"/>
      <c r="K1303" t="s">
        <v>13</v>
      </c>
    </row>
    <row r="1304" spans="2:11" ht="22" x14ac:dyDescent="0.15">
      <c r="B1304" s="29" t="s">
        <v>1889</v>
      </c>
      <c r="C1304" s="29" t="s">
        <v>1813</v>
      </c>
      <c r="D1304" s="31">
        <f>SUMIFS(D1305:D3130,K1305:K3130,"0",B1305:B3130,"5 1 1 1 3 12 31111 6 M78 06000 132 00C 001 11301 015 2111100*")-SUMIFS(E1305:E3130,K1305:K3130,"0",B1305:B3130,"5 1 1 1 3 12 31111 6 M78 06000 132 00C 001 11301 015 2111100*")</f>
        <v>0</v>
      </c>
      <c r="E1304"/>
      <c r="F1304" s="31">
        <f>SUMIFS(F1305:F3130,K1305:K3130,"0",B1305:B3130,"5 1 1 1 3 12 31111 6 M78 06000 132 00C 001 11301 015 2111100*")</f>
        <v>174500</v>
      </c>
      <c r="G1304" s="31">
        <f>SUMIFS(G1305:G3130,K1305:K3130,"0",B1305:B3130,"5 1 1 1 3 12 31111 6 M78 06000 132 00C 001 11301 015 2111100*")</f>
        <v>0</v>
      </c>
      <c r="H1304" s="31">
        <f t="shared" si="21"/>
        <v>174500</v>
      </c>
      <c r="I1304" s="31"/>
      <c r="K1304" t="s">
        <v>13</v>
      </c>
    </row>
    <row r="1305" spans="2:11" ht="22" x14ac:dyDescent="0.15">
      <c r="B1305" s="29" t="s">
        <v>1890</v>
      </c>
      <c r="C1305" s="29" t="s">
        <v>275</v>
      </c>
      <c r="D1305" s="31">
        <f>SUMIFS(D1306:D3130,K1306:K3130,"0",B1306:B3130,"5 1 1 1 3 12 31111 6 M78 06000 132 00C 001 11301 015 2111100 2024*")-SUMIFS(E1306:E3130,K1306:K3130,"0",B1306:B3130,"5 1 1 1 3 12 31111 6 M78 06000 132 00C 001 11301 015 2111100 2024*")</f>
        <v>0</v>
      </c>
      <c r="E1305"/>
      <c r="F1305" s="31">
        <f>SUMIFS(F1306:F3130,K1306:K3130,"0",B1306:B3130,"5 1 1 1 3 12 31111 6 M78 06000 132 00C 001 11301 015 2111100 2024*")</f>
        <v>174500</v>
      </c>
      <c r="G1305" s="31">
        <f>SUMIFS(G1306:G3130,K1306:K3130,"0",B1306:B3130,"5 1 1 1 3 12 31111 6 M78 06000 132 00C 001 11301 015 2111100 2024*")</f>
        <v>0</v>
      </c>
      <c r="H1305" s="31">
        <f t="shared" si="21"/>
        <v>174500</v>
      </c>
      <c r="I1305" s="31"/>
      <c r="K1305" t="s">
        <v>13</v>
      </c>
    </row>
    <row r="1306" spans="2:11" ht="22" x14ac:dyDescent="0.15">
      <c r="B1306" s="29" t="s">
        <v>1891</v>
      </c>
      <c r="C1306" s="29" t="s">
        <v>277</v>
      </c>
      <c r="D1306" s="31">
        <f>SUMIFS(D1307:D3130,K1307:K3130,"0",B1307:B3130,"5 1 1 1 3 12 31111 6 M78 06000 132 00C 001 11301 015 2111100 2024 00000000*")-SUMIFS(E1307:E3130,K1307:K3130,"0",B1307:B3130,"5 1 1 1 3 12 31111 6 M78 06000 132 00C 001 11301 015 2111100 2024 00000000*")</f>
        <v>0</v>
      </c>
      <c r="E1306"/>
      <c r="F1306" s="31">
        <f>SUMIFS(F1307:F3130,K1307:K3130,"0",B1307:B3130,"5 1 1 1 3 12 31111 6 M78 06000 132 00C 001 11301 015 2111100 2024 00000000*")</f>
        <v>174500</v>
      </c>
      <c r="G1306" s="31">
        <f>SUMIFS(G1307:G3130,K1307:K3130,"0",B1307:B3130,"5 1 1 1 3 12 31111 6 M78 06000 132 00C 001 11301 015 2111100 2024 00000000*")</f>
        <v>0</v>
      </c>
      <c r="H1306" s="31">
        <f t="shared" si="21"/>
        <v>174500</v>
      </c>
      <c r="I1306" s="31"/>
      <c r="K1306" t="s">
        <v>13</v>
      </c>
    </row>
    <row r="1307" spans="2:11" ht="22" x14ac:dyDescent="0.15">
      <c r="B1307" s="29" t="s">
        <v>1892</v>
      </c>
      <c r="C1307" s="29" t="s">
        <v>32</v>
      </c>
      <c r="D1307" s="31">
        <f>SUMIFS(D1308:D3130,K1308:K3130,"0",B1308:B3130,"5 1 1 1 3 12 31111 6 M78 06000 132 00C 001 11301 015 2111100 2024 00000000 001*")-SUMIFS(E1308:E3130,K1308:K3130,"0",B1308:B3130,"5 1 1 1 3 12 31111 6 M78 06000 132 00C 001 11301 015 2111100 2024 00000000 001*")</f>
        <v>0</v>
      </c>
      <c r="E1307"/>
      <c r="F1307" s="31">
        <f>SUMIFS(F1308:F3130,K1308:K3130,"0",B1308:B3130,"5 1 1 1 3 12 31111 6 M78 06000 132 00C 001 11301 015 2111100 2024 00000000 001*")</f>
        <v>174500</v>
      </c>
      <c r="G1307" s="31">
        <f>SUMIFS(G1308:G3130,K1308:K3130,"0",B1308:B3130,"5 1 1 1 3 12 31111 6 M78 06000 132 00C 001 11301 015 2111100 2024 00000000 001*")</f>
        <v>0</v>
      </c>
      <c r="H1307" s="31">
        <f t="shared" si="21"/>
        <v>174500</v>
      </c>
      <c r="I1307" s="31"/>
      <c r="K1307" t="s">
        <v>13</v>
      </c>
    </row>
    <row r="1308" spans="2:11" ht="22" x14ac:dyDescent="0.15">
      <c r="B1308" s="29" t="s">
        <v>1893</v>
      </c>
      <c r="C1308" s="29" t="s">
        <v>1894</v>
      </c>
      <c r="D1308" s="31">
        <f>SUMIFS(D1309:D3130,K1309:K3130,"0",B1309:B3130,"5 1 1 1 3 12 31111 6 M78 06000 132 00C 001 11301 015 2111100 2024 00000000 001 001*")-SUMIFS(E1309:E3130,K1309:K3130,"0",B1309:B3130,"5 1 1 1 3 12 31111 6 M78 06000 132 00C 001 11301 015 2111100 2024 00000000 001 001*")</f>
        <v>0</v>
      </c>
      <c r="E1308"/>
      <c r="F1308" s="31">
        <f>SUMIFS(F1309:F3130,K1309:K3130,"0",B1309:B3130,"5 1 1 1 3 12 31111 6 M78 06000 132 00C 001 11301 015 2111100 2024 00000000 001 001*")</f>
        <v>174500</v>
      </c>
      <c r="G1308" s="31">
        <f>SUMIFS(G1309:G3130,K1309:K3130,"0",B1309:B3130,"5 1 1 1 3 12 31111 6 M78 06000 132 00C 001 11301 015 2111100 2024 00000000 001 001*")</f>
        <v>0</v>
      </c>
      <c r="H1308" s="31">
        <f t="shared" si="21"/>
        <v>174500</v>
      </c>
      <c r="I1308" s="31"/>
      <c r="K1308" t="s">
        <v>13</v>
      </c>
    </row>
    <row r="1309" spans="2:11" ht="22" x14ac:dyDescent="0.15">
      <c r="B1309" s="27" t="s">
        <v>1895</v>
      </c>
      <c r="C1309" s="27" t="s">
        <v>1820</v>
      </c>
      <c r="D1309" s="30">
        <v>0</v>
      </c>
      <c r="E1309" s="30"/>
      <c r="F1309" s="30">
        <v>174500</v>
      </c>
      <c r="G1309" s="30">
        <v>0</v>
      </c>
      <c r="H1309" s="30">
        <f t="shared" si="21"/>
        <v>174500</v>
      </c>
      <c r="I1309" s="30"/>
      <c r="K1309" t="s">
        <v>37</v>
      </c>
    </row>
    <row r="1310" spans="2:11" ht="13" x14ac:dyDescent="0.15">
      <c r="B1310" s="29" t="s">
        <v>1896</v>
      </c>
      <c r="C1310" s="29" t="s">
        <v>1897</v>
      </c>
      <c r="D1310" s="31">
        <f>SUMIFS(D1311:D3130,K1311:K3130,"0",B1311:B3130,"5 1 1 1 3 12 31111 6 M78 06000 132 00C 001 13403*")-SUMIFS(E1311:E3130,K1311:K3130,"0",B1311:B3130,"5 1 1 1 3 12 31111 6 M78 06000 132 00C 001 13403*")</f>
        <v>0</v>
      </c>
      <c r="E1310"/>
      <c r="F1310" s="31">
        <f>SUMIFS(F1311:F3130,K1311:K3130,"0",B1311:B3130,"5 1 1 1 3 12 31111 6 M78 06000 132 00C 001 13403*")</f>
        <v>15255.6</v>
      </c>
      <c r="G1310" s="31">
        <f>SUMIFS(G1311:G3130,K1311:K3130,"0",B1311:B3130,"5 1 1 1 3 12 31111 6 M78 06000 132 00C 001 13403*")</f>
        <v>0</v>
      </c>
      <c r="H1310" s="31">
        <f t="shared" si="21"/>
        <v>15255.6</v>
      </c>
      <c r="I1310" s="31"/>
      <c r="K1310" t="s">
        <v>13</v>
      </c>
    </row>
    <row r="1311" spans="2:11" ht="22" x14ac:dyDescent="0.15">
      <c r="B1311" s="29" t="s">
        <v>1898</v>
      </c>
      <c r="C1311" s="29" t="s">
        <v>271</v>
      </c>
      <c r="D1311" s="31">
        <f>SUMIFS(D1312:D3130,K1312:K3130,"0",B1312:B3130,"5 1 1 1 3 12 31111 6 M78 06000 132 00C 001 13403 015*")-SUMIFS(E1312:E3130,K1312:K3130,"0",B1312:B3130,"5 1 1 1 3 12 31111 6 M78 06000 132 00C 001 13403 015*")</f>
        <v>0</v>
      </c>
      <c r="E1311"/>
      <c r="F1311" s="31">
        <f>SUMIFS(F1312:F3130,K1312:K3130,"0",B1312:B3130,"5 1 1 1 3 12 31111 6 M78 06000 132 00C 001 13403 015*")</f>
        <v>15255.6</v>
      </c>
      <c r="G1311" s="31">
        <f>SUMIFS(G1312:G3130,K1312:K3130,"0",B1312:B3130,"5 1 1 1 3 12 31111 6 M78 06000 132 00C 001 13403 015*")</f>
        <v>0</v>
      </c>
      <c r="H1311" s="31">
        <f t="shared" si="21"/>
        <v>15255.6</v>
      </c>
      <c r="I1311" s="31"/>
      <c r="K1311" t="s">
        <v>13</v>
      </c>
    </row>
    <row r="1312" spans="2:11" ht="22" x14ac:dyDescent="0.15">
      <c r="B1312" s="29" t="s">
        <v>1899</v>
      </c>
      <c r="C1312" s="29" t="s">
        <v>1813</v>
      </c>
      <c r="D1312" s="31">
        <f>SUMIFS(D1313:D3130,K1313:K3130,"0",B1313:B3130,"5 1 1 1 3 12 31111 6 M78 06000 132 00C 001 13403 015 2111100*")-SUMIFS(E1313:E3130,K1313:K3130,"0",B1313:B3130,"5 1 1 1 3 12 31111 6 M78 06000 132 00C 001 13403 015 2111100*")</f>
        <v>0</v>
      </c>
      <c r="E1312"/>
      <c r="F1312" s="31">
        <f>SUMIFS(F1313:F3130,K1313:K3130,"0",B1313:B3130,"5 1 1 1 3 12 31111 6 M78 06000 132 00C 001 13403 015 2111100*")</f>
        <v>15255.6</v>
      </c>
      <c r="G1312" s="31">
        <f>SUMIFS(G1313:G3130,K1313:K3130,"0",B1313:B3130,"5 1 1 1 3 12 31111 6 M78 06000 132 00C 001 13403 015 2111100*")</f>
        <v>0</v>
      </c>
      <c r="H1312" s="31">
        <f t="shared" si="21"/>
        <v>15255.6</v>
      </c>
      <c r="I1312" s="31"/>
      <c r="K1312" t="s">
        <v>13</v>
      </c>
    </row>
    <row r="1313" spans="2:11" ht="22" x14ac:dyDescent="0.15">
      <c r="B1313" s="29" t="s">
        <v>1900</v>
      </c>
      <c r="C1313" s="29" t="s">
        <v>275</v>
      </c>
      <c r="D1313" s="31">
        <f>SUMIFS(D1314:D3130,K1314:K3130,"0",B1314:B3130,"5 1 1 1 3 12 31111 6 M78 06000 132 00C 001 13403 015 2111100 2024*")-SUMIFS(E1314:E3130,K1314:K3130,"0",B1314:B3130,"5 1 1 1 3 12 31111 6 M78 06000 132 00C 001 13403 015 2111100 2024*")</f>
        <v>0</v>
      </c>
      <c r="E1313"/>
      <c r="F1313" s="31">
        <f>SUMIFS(F1314:F3130,K1314:K3130,"0",B1314:B3130,"5 1 1 1 3 12 31111 6 M78 06000 132 00C 001 13403 015 2111100 2024*")</f>
        <v>15255.6</v>
      </c>
      <c r="G1313" s="31">
        <f>SUMIFS(G1314:G3130,K1314:K3130,"0",B1314:B3130,"5 1 1 1 3 12 31111 6 M78 06000 132 00C 001 13403 015 2111100 2024*")</f>
        <v>0</v>
      </c>
      <c r="H1313" s="31">
        <f t="shared" si="21"/>
        <v>15255.6</v>
      </c>
      <c r="I1313" s="31"/>
      <c r="K1313" t="s">
        <v>13</v>
      </c>
    </row>
    <row r="1314" spans="2:11" ht="22" x14ac:dyDescent="0.15">
      <c r="B1314" s="27" t="s">
        <v>1901</v>
      </c>
      <c r="C1314" s="27" t="s">
        <v>277</v>
      </c>
      <c r="D1314" s="30">
        <v>0</v>
      </c>
      <c r="E1314" s="30"/>
      <c r="F1314" s="30">
        <v>15255.6</v>
      </c>
      <c r="G1314" s="30">
        <v>0</v>
      </c>
      <c r="H1314" s="30">
        <f t="shared" si="21"/>
        <v>15255.6</v>
      </c>
      <c r="I1314" s="30"/>
      <c r="K1314" t="s">
        <v>37</v>
      </c>
    </row>
    <row r="1315" spans="2:11" ht="13" x14ac:dyDescent="0.15">
      <c r="B1315" s="29" t="s">
        <v>1902</v>
      </c>
      <c r="C1315" s="29" t="s">
        <v>8</v>
      </c>
      <c r="D1315" s="31">
        <f>SUMIFS(D1316:D3130,K1316:K3130,"0",B1316:B3130,"5 1 1 1 3 12 31111 6 M78 07000*")-SUMIFS(E1316:E3130,K1316:K3130,"0",B1316:B3130,"5 1 1 1 3 12 31111 6 M78 07000*")</f>
        <v>0</v>
      </c>
      <c r="E1315"/>
      <c r="F1315" s="31">
        <f>SUMIFS(F1316:F3130,K1316:K3130,"0",B1316:B3130,"5 1 1 1 3 12 31111 6 M78 07000*")</f>
        <v>597060</v>
      </c>
      <c r="G1315" s="31">
        <f>SUMIFS(G1316:G3130,K1316:K3130,"0",B1316:B3130,"5 1 1 1 3 12 31111 6 M78 07000*")</f>
        <v>0</v>
      </c>
      <c r="H1315" s="31">
        <f t="shared" si="21"/>
        <v>597060</v>
      </c>
      <c r="I1315" s="31"/>
      <c r="K1315" t="s">
        <v>13</v>
      </c>
    </row>
    <row r="1316" spans="2:11" ht="13" x14ac:dyDescent="0.15">
      <c r="B1316" s="29" t="s">
        <v>1903</v>
      </c>
      <c r="C1316" s="29" t="s">
        <v>588</v>
      </c>
      <c r="D1316" s="31">
        <f>SUMIFS(D1317:D3130,K1317:K3130,"0",B1317:B3130,"5 1 1 1 3 12 31111 6 M78 07000 151*")-SUMIFS(E1317:E3130,K1317:K3130,"0",B1317:B3130,"5 1 1 1 3 12 31111 6 M78 07000 151*")</f>
        <v>0</v>
      </c>
      <c r="E1316"/>
      <c r="F1316" s="31">
        <f>SUMIFS(F1317:F3130,K1317:K3130,"0",B1317:B3130,"5 1 1 1 3 12 31111 6 M78 07000 151*")</f>
        <v>597060</v>
      </c>
      <c r="G1316" s="31">
        <f>SUMIFS(G1317:G3130,K1317:K3130,"0",B1317:B3130,"5 1 1 1 3 12 31111 6 M78 07000 151*")</f>
        <v>0</v>
      </c>
      <c r="H1316" s="31">
        <f t="shared" si="21"/>
        <v>597060</v>
      </c>
      <c r="I1316" s="31"/>
      <c r="K1316" t="s">
        <v>13</v>
      </c>
    </row>
    <row r="1317" spans="2:11" ht="13" x14ac:dyDescent="0.15">
      <c r="B1317" s="29" t="s">
        <v>1904</v>
      </c>
      <c r="C1317" s="29" t="s">
        <v>265</v>
      </c>
      <c r="D1317" s="31">
        <f>SUMIFS(D1318:D3130,K1318:K3130,"0",B1318:B3130,"5 1 1 1 3 12 31111 6 M78 07000 151 00C*")-SUMIFS(E1318:E3130,K1318:K3130,"0",B1318:B3130,"5 1 1 1 3 12 31111 6 M78 07000 151 00C*")</f>
        <v>0</v>
      </c>
      <c r="E1317"/>
      <c r="F1317" s="31">
        <f>SUMIFS(F1318:F3130,K1318:K3130,"0",B1318:B3130,"5 1 1 1 3 12 31111 6 M78 07000 151 00C*")</f>
        <v>597060</v>
      </c>
      <c r="G1317" s="31">
        <f>SUMIFS(G1318:G3130,K1318:K3130,"0",B1318:B3130,"5 1 1 1 3 12 31111 6 M78 07000 151 00C*")</f>
        <v>0</v>
      </c>
      <c r="H1317" s="31">
        <f t="shared" si="21"/>
        <v>597060</v>
      </c>
      <c r="I1317" s="31"/>
      <c r="K1317" t="s">
        <v>13</v>
      </c>
    </row>
    <row r="1318" spans="2:11" ht="13" x14ac:dyDescent="0.15">
      <c r="B1318" s="29" t="s">
        <v>1905</v>
      </c>
      <c r="C1318" s="29" t="s">
        <v>32</v>
      </c>
      <c r="D1318" s="31">
        <f>SUMIFS(D1319:D3130,K1319:K3130,"0",B1319:B3130,"5 1 1 1 3 12 31111 6 M78 07000 151 00C 001*")-SUMIFS(E1319:E3130,K1319:K3130,"0",B1319:B3130,"5 1 1 1 3 12 31111 6 M78 07000 151 00C 001*")</f>
        <v>0</v>
      </c>
      <c r="E1318"/>
      <c r="F1318" s="31">
        <f>SUMIFS(F1319:F3130,K1319:K3130,"0",B1319:B3130,"5 1 1 1 3 12 31111 6 M78 07000 151 00C 001*")</f>
        <v>597060</v>
      </c>
      <c r="G1318" s="31">
        <f>SUMIFS(G1319:G3130,K1319:K3130,"0",B1319:B3130,"5 1 1 1 3 12 31111 6 M78 07000 151 00C 001*")</f>
        <v>0</v>
      </c>
      <c r="H1318" s="31">
        <f t="shared" si="21"/>
        <v>597060</v>
      </c>
      <c r="I1318" s="31"/>
      <c r="K1318" t="s">
        <v>13</v>
      </c>
    </row>
    <row r="1319" spans="2:11" ht="13" x14ac:dyDescent="0.15">
      <c r="B1319" s="29" t="s">
        <v>1906</v>
      </c>
      <c r="C1319" s="29" t="s">
        <v>1810</v>
      </c>
      <c r="D1319" s="31">
        <f>SUMIFS(D1320:D3130,K1320:K3130,"0",B1320:B3130,"5 1 1 1 3 12 31111 6 M78 07000 151 00C 001 11301*")-SUMIFS(E1320:E3130,K1320:K3130,"0",B1320:B3130,"5 1 1 1 3 12 31111 6 M78 07000 151 00C 001 11301*")</f>
        <v>0</v>
      </c>
      <c r="E1319"/>
      <c r="F1319" s="31">
        <f>SUMIFS(F1320:F3130,K1320:K3130,"0",B1320:B3130,"5 1 1 1 3 12 31111 6 M78 07000 151 00C 001 11301*")</f>
        <v>597060</v>
      </c>
      <c r="G1319" s="31">
        <f>SUMIFS(G1320:G3130,K1320:K3130,"0",B1320:B3130,"5 1 1 1 3 12 31111 6 M78 07000 151 00C 001 11301*")</f>
        <v>0</v>
      </c>
      <c r="H1319" s="31">
        <f t="shared" si="21"/>
        <v>597060</v>
      </c>
      <c r="I1319" s="31"/>
      <c r="K1319" t="s">
        <v>13</v>
      </c>
    </row>
    <row r="1320" spans="2:11" ht="22" x14ac:dyDescent="0.15">
      <c r="B1320" s="29" t="s">
        <v>1907</v>
      </c>
      <c r="C1320" s="29" t="s">
        <v>271</v>
      </c>
      <c r="D1320" s="31">
        <f>SUMIFS(D1321:D3130,K1321:K3130,"0",B1321:B3130,"5 1 1 1 3 12 31111 6 M78 07000 151 00C 001 11301 015*")-SUMIFS(E1321:E3130,K1321:K3130,"0",B1321:B3130,"5 1 1 1 3 12 31111 6 M78 07000 151 00C 001 11301 015*")</f>
        <v>0</v>
      </c>
      <c r="E1320"/>
      <c r="F1320" s="31">
        <f>SUMIFS(F1321:F3130,K1321:K3130,"0",B1321:B3130,"5 1 1 1 3 12 31111 6 M78 07000 151 00C 001 11301 015*")</f>
        <v>597060</v>
      </c>
      <c r="G1320" s="31">
        <f>SUMIFS(G1321:G3130,K1321:K3130,"0",B1321:B3130,"5 1 1 1 3 12 31111 6 M78 07000 151 00C 001 11301 015*")</f>
        <v>0</v>
      </c>
      <c r="H1320" s="31">
        <f t="shared" si="21"/>
        <v>597060</v>
      </c>
      <c r="I1320" s="31"/>
      <c r="K1320" t="s">
        <v>13</v>
      </c>
    </row>
    <row r="1321" spans="2:11" ht="22" x14ac:dyDescent="0.15">
      <c r="B1321" s="29" t="s">
        <v>1908</v>
      </c>
      <c r="C1321" s="29" t="s">
        <v>1813</v>
      </c>
      <c r="D1321" s="31">
        <f>SUMIFS(D1322:D3130,K1322:K3130,"0",B1322:B3130,"5 1 1 1 3 12 31111 6 M78 07000 151 00C 001 11301 015 2111100*")-SUMIFS(E1322:E3130,K1322:K3130,"0",B1322:B3130,"5 1 1 1 3 12 31111 6 M78 07000 151 00C 001 11301 015 2111100*")</f>
        <v>0</v>
      </c>
      <c r="E1321"/>
      <c r="F1321" s="31">
        <f>SUMIFS(F1322:F3130,K1322:K3130,"0",B1322:B3130,"5 1 1 1 3 12 31111 6 M78 07000 151 00C 001 11301 015 2111100*")</f>
        <v>597060</v>
      </c>
      <c r="G1321" s="31">
        <f>SUMIFS(G1322:G3130,K1322:K3130,"0",B1322:B3130,"5 1 1 1 3 12 31111 6 M78 07000 151 00C 001 11301 015 2111100*")</f>
        <v>0</v>
      </c>
      <c r="H1321" s="31">
        <f t="shared" si="21"/>
        <v>597060</v>
      </c>
      <c r="I1321" s="31"/>
      <c r="K1321" t="s">
        <v>13</v>
      </c>
    </row>
    <row r="1322" spans="2:11" ht="22" x14ac:dyDescent="0.15">
      <c r="B1322" s="29" t="s">
        <v>1909</v>
      </c>
      <c r="C1322" s="29" t="s">
        <v>275</v>
      </c>
      <c r="D1322" s="31">
        <f>SUMIFS(D1323:D3130,K1323:K3130,"0",B1323:B3130,"5 1 1 1 3 12 31111 6 M78 07000 151 00C 001 11301 015 2111100 2024*")-SUMIFS(E1323:E3130,K1323:K3130,"0",B1323:B3130,"5 1 1 1 3 12 31111 6 M78 07000 151 00C 001 11301 015 2111100 2024*")</f>
        <v>0</v>
      </c>
      <c r="E1322"/>
      <c r="F1322" s="31">
        <f>SUMIFS(F1323:F3130,K1323:K3130,"0",B1323:B3130,"5 1 1 1 3 12 31111 6 M78 07000 151 00C 001 11301 015 2111100 2024*")</f>
        <v>597060</v>
      </c>
      <c r="G1322" s="31">
        <f>SUMIFS(G1323:G3130,K1323:K3130,"0",B1323:B3130,"5 1 1 1 3 12 31111 6 M78 07000 151 00C 001 11301 015 2111100 2024*")</f>
        <v>0</v>
      </c>
      <c r="H1322" s="31">
        <f t="shared" si="21"/>
        <v>597060</v>
      </c>
      <c r="I1322" s="31"/>
      <c r="K1322" t="s">
        <v>13</v>
      </c>
    </row>
    <row r="1323" spans="2:11" ht="22" x14ac:dyDescent="0.15">
      <c r="B1323" s="29" t="s">
        <v>1910</v>
      </c>
      <c r="C1323" s="29" t="s">
        <v>277</v>
      </c>
      <c r="D1323" s="31">
        <f>SUMIFS(D1324:D3130,K1324:K3130,"0",B1324:B3130,"5 1 1 1 3 12 31111 6 M78 07000 151 00C 001 11301 015 2111100 2024 00000000*")-SUMIFS(E1324:E3130,K1324:K3130,"0",B1324:B3130,"5 1 1 1 3 12 31111 6 M78 07000 151 00C 001 11301 015 2111100 2024 00000000*")</f>
        <v>0</v>
      </c>
      <c r="E1323"/>
      <c r="F1323" s="31">
        <f>SUMIFS(F1324:F3130,K1324:K3130,"0",B1324:B3130,"5 1 1 1 3 12 31111 6 M78 07000 151 00C 001 11301 015 2111100 2024 00000000*")</f>
        <v>597060</v>
      </c>
      <c r="G1323" s="31">
        <f>SUMIFS(G1324:G3130,K1324:K3130,"0",B1324:B3130,"5 1 1 1 3 12 31111 6 M78 07000 151 00C 001 11301 015 2111100 2024 00000000*")</f>
        <v>0</v>
      </c>
      <c r="H1323" s="31">
        <f t="shared" si="21"/>
        <v>597060</v>
      </c>
      <c r="I1323" s="31"/>
      <c r="K1323" t="s">
        <v>13</v>
      </c>
    </row>
    <row r="1324" spans="2:11" ht="22" x14ac:dyDescent="0.15">
      <c r="B1324" s="29" t="s">
        <v>1911</v>
      </c>
      <c r="C1324" s="29" t="s">
        <v>32</v>
      </c>
      <c r="D1324" s="31">
        <f>SUMIFS(D1325:D3130,K1325:K3130,"0",B1325:B3130,"5 1 1 1 3 12 31111 6 M78 07000 151 00C 001 11301 015 2111100 2024 00000000 001*")-SUMIFS(E1325:E3130,K1325:K3130,"0",B1325:B3130,"5 1 1 1 3 12 31111 6 M78 07000 151 00C 001 11301 015 2111100 2024 00000000 001*")</f>
        <v>0</v>
      </c>
      <c r="E1324"/>
      <c r="F1324" s="31">
        <f>SUMIFS(F1325:F3130,K1325:K3130,"0",B1325:B3130,"5 1 1 1 3 12 31111 6 M78 07000 151 00C 001 11301 015 2111100 2024 00000000 001*")</f>
        <v>597060</v>
      </c>
      <c r="G1324" s="31">
        <f>SUMIFS(G1325:G3130,K1325:K3130,"0",B1325:B3130,"5 1 1 1 3 12 31111 6 M78 07000 151 00C 001 11301 015 2111100 2024 00000000 001*")</f>
        <v>0</v>
      </c>
      <c r="H1324" s="31">
        <f t="shared" si="21"/>
        <v>597060</v>
      </c>
      <c r="I1324" s="31"/>
      <c r="K1324" t="s">
        <v>13</v>
      </c>
    </row>
    <row r="1325" spans="2:11" ht="22" x14ac:dyDescent="0.15">
      <c r="B1325" s="29" t="s">
        <v>1912</v>
      </c>
      <c r="C1325" s="29" t="s">
        <v>1913</v>
      </c>
      <c r="D1325" s="31">
        <f>SUMIFS(D1326:D3130,K1326:K3130,"0",B1326:B3130,"5 1 1 1 3 12 31111 6 M78 07000 151 00C 001 11301 015 2111100 2024 00000000 001 001*")-SUMIFS(E1326:E3130,K1326:K3130,"0",B1326:B3130,"5 1 1 1 3 12 31111 6 M78 07000 151 00C 001 11301 015 2111100 2024 00000000 001 001*")</f>
        <v>0</v>
      </c>
      <c r="E1325"/>
      <c r="F1325" s="31">
        <f>SUMIFS(F1326:F3130,K1326:K3130,"0",B1326:B3130,"5 1 1 1 3 12 31111 6 M78 07000 151 00C 001 11301 015 2111100 2024 00000000 001 001*")</f>
        <v>597060</v>
      </c>
      <c r="G1325" s="31">
        <f>SUMIFS(G1326:G3130,K1326:K3130,"0",B1326:B3130,"5 1 1 1 3 12 31111 6 M78 07000 151 00C 001 11301 015 2111100 2024 00000000 001 001*")</f>
        <v>0</v>
      </c>
      <c r="H1325" s="31">
        <f t="shared" si="21"/>
        <v>597060</v>
      </c>
      <c r="I1325" s="31"/>
      <c r="K1325" t="s">
        <v>13</v>
      </c>
    </row>
    <row r="1326" spans="2:11" ht="22" x14ac:dyDescent="0.15">
      <c r="B1326" s="27" t="s">
        <v>1914</v>
      </c>
      <c r="C1326" s="27" t="s">
        <v>1820</v>
      </c>
      <c r="D1326" s="30">
        <v>0</v>
      </c>
      <c r="E1326" s="30"/>
      <c r="F1326" s="30">
        <v>597060</v>
      </c>
      <c r="G1326" s="30">
        <v>0</v>
      </c>
      <c r="H1326" s="30">
        <f t="shared" si="21"/>
        <v>597060</v>
      </c>
      <c r="I1326" s="30"/>
      <c r="K1326" t="s">
        <v>37</v>
      </c>
    </row>
    <row r="1327" spans="2:11" ht="13" x14ac:dyDescent="0.15">
      <c r="B1327" s="29" t="s">
        <v>1915</v>
      </c>
      <c r="C1327" s="29" t="s">
        <v>1916</v>
      </c>
      <c r="D1327" s="31">
        <f>SUMIFS(D1328:D3130,K1328:K3130,"0",B1328:B3130,"5 1 1 1 3 12 31111 6 M78 08000*")-SUMIFS(E1328:E3130,K1328:K3130,"0",B1328:B3130,"5 1 1 1 3 12 31111 6 M78 08000*")</f>
        <v>0</v>
      </c>
      <c r="E1327"/>
      <c r="F1327" s="31">
        <f>SUMIFS(F1328:F3130,K1328:K3130,"0",B1328:B3130,"5 1 1 1 3 12 31111 6 M78 08000*")</f>
        <v>79200</v>
      </c>
      <c r="G1327" s="31">
        <f>SUMIFS(G1328:G3130,K1328:K3130,"0",B1328:B3130,"5 1 1 1 3 12 31111 6 M78 08000*")</f>
        <v>0</v>
      </c>
      <c r="H1327" s="31">
        <f t="shared" si="21"/>
        <v>79200</v>
      </c>
      <c r="I1327" s="31"/>
      <c r="K1327" t="s">
        <v>13</v>
      </c>
    </row>
    <row r="1328" spans="2:11" ht="13" x14ac:dyDescent="0.15">
      <c r="B1328" s="29" t="s">
        <v>1917</v>
      </c>
      <c r="C1328" s="29" t="s">
        <v>263</v>
      </c>
      <c r="D1328" s="31">
        <f>SUMIFS(D1329:D3130,K1329:K3130,"0",B1329:B3130,"5 1 1 1 3 12 31111 6 M78 08000 134*")-SUMIFS(E1329:E3130,K1329:K3130,"0",B1329:B3130,"5 1 1 1 3 12 31111 6 M78 08000 134*")</f>
        <v>0</v>
      </c>
      <c r="E1328"/>
      <c r="F1328" s="31">
        <f>SUMIFS(F1329:F3130,K1329:K3130,"0",B1329:B3130,"5 1 1 1 3 12 31111 6 M78 08000 134*")</f>
        <v>79200</v>
      </c>
      <c r="G1328" s="31">
        <f>SUMIFS(G1329:G3130,K1329:K3130,"0",B1329:B3130,"5 1 1 1 3 12 31111 6 M78 08000 134*")</f>
        <v>0</v>
      </c>
      <c r="H1328" s="31">
        <f t="shared" si="21"/>
        <v>79200</v>
      </c>
      <c r="I1328" s="31"/>
      <c r="K1328" t="s">
        <v>13</v>
      </c>
    </row>
    <row r="1329" spans="2:11" ht="13" x14ac:dyDescent="0.15">
      <c r="B1329" s="29" t="s">
        <v>1918</v>
      </c>
      <c r="C1329" s="29" t="s">
        <v>265</v>
      </c>
      <c r="D1329" s="31">
        <f>SUMIFS(D1330:D3130,K1330:K3130,"0",B1330:B3130,"5 1 1 1 3 12 31111 6 M78 08000 134 00C*")-SUMIFS(E1330:E3130,K1330:K3130,"0",B1330:B3130,"5 1 1 1 3 12 31111 6 M78 08000 134 00C*")</f>
        <v>0</v>
      </c>
      <c r="E1329"/>
      <c r="F1329" s="31">
        <f>SUMIFS(F1330:F3130,K1330:K3130,"0",B1330:B3130,"5 1 1 1 3 12 31111 6 M78 08000 134 00C*")</f>
        <v>79200</v>
      </c>
      <c r="G1329" s="31">
        <f>SUMIFS(G1330:G3130,K1330:K3130,"0",B1330:B3130,"5 1 1 1 3 12 31111 6 M78 08000 134 00C*")</f>
        <v>0</v>
      </c>
      <c r="H1329" s="31">
        <f t="shared" si="21"/>
        <v>79200</v>
      </c>
      <c r="I1329" s="31"/>
      <c r="K1329" t="s">
        <v>13</v>
      </c>
    </row>
    <row r="1330" spans="2:11" ht="13" x14ac:dyDescent="0.15">
      <c r="B1330" s="29" t="s">
        <v>1919</v>
      </c>
      <c r="C1330" s="29" t="s">
        <v>32</v>
      </c>
      <c r="D1330" s="31">
        <f>SUMIFS(D1331:D3130,K1331:K3130,"0",B1331:B3130,"5 1 1 1 3 12 31111 6 M78 08000 134 00C 001*")-SUMIFS(E1331:E3130,K1331:K3130,"0",B1331:B3130,"5 1 1 1 3 12 31111 6 M78 08000 134 00C 001*")</f>
        <v>0</v>
      </c>
      <c r="E1330"/>
      <c r="F1330" s="31">
        <f>SUMIFS(F1331:F3130,K1331:K3130,"0",B1331:B3130,"5 1 1 1 3 12 31111 6 M78 08000 134 00C 001*")</f>
        <v>79200</v>
      </c>
      <c r="G1330" s="31">
        <f>SUMIFS(G1331:G3130,K1331:K3130,"0",B1331:B3130,"5 1 1 1 3 12 31111 6 M78 08000 134 00C 001*")</f>
        <v>0</v>
      </c>
      <c r="H1330" s="31">
        <f t="shared" si="21"/>
        <v>79200</v>
      </c>
      <c r="I1330" s="31"/>
      <c r="K1330" t="s">
        <v>13</v>
      </c>
    </row>
    <row r="1331" spans="2:11" ht="13" x14ac:dyDescent="0.15">
      <c r="B1331" s="29" t="s">
        <v>1920</v>
      </c>
      <c r="C1331" s="29" t="s">
        <v>1810</v>
      </c>
      <c r="D1331" s="31">
        <f>SUMIFS(D1332:D3130,K1332:K3130,"0",B1332:B3130,"5 1 1 1 3 12 31111 6 M78 08000 134 00C 001 11301*")-SUMIFS(E1332:E3130,K1332:K3130,"0",B1332:B3130,"5 1 1 1 3 12 31111 6 M78 08000 134 00C 001 11301*")</f>
        <v>0</v>
      </c>
      <c r="E1331"/>
      <c r="F1331" s="31">
        <f>SUMIFS(F1332:F3130,K1332:K3130,"0",B1332:B3130,"5 1 1 1 3 12 31111 6 M78 08000 134 00C 001 11301*")</f>
        <v>79200</v>
      </c>
      <c r="G1331" s="31">
        <f>SUMIFS(G1332:G3130,K1332:K3130,"0",B1332:B3130,"5 1 1 1 3 12 31111 6 M78 08000 134 00C 001 11301*")</f>
        <v>0</v>
      </c>
      <c r="H1331" s="31">
        <f t="shared" si="21"/>
        <v>79200</v>
      </c>
      <c r="I1331" s="31"/>
      <c r="K1331" t="s">
        <v>13</v>
      </c>
    </row>
    <row r="1332" spans="2:11" ht="22" x14ac:dyDescent="0.15">
      <c r="B1332" s="29" t="s">
        <v>1921</v>
      </c>
      <c r="C1332" s="29" t="s">
        <v>271</v>
      </c>
      <c r="D1332" s="31">
        <f>SUMIFS(D1333:D3130,K1333:K3130,"0",B1333:B3130,"5 1 1 1 3 12 31111 6 M78 08000 134 00C 001 11301 015*")-SUMIFS(E1333:E3130,K1333:K3130,"0",B1333:B3130,"5 1 1 1 3 12 31111 6 M78 08000 134 00C 001 11301 015*")</f>
        <v>0</v>
      </c>
      <c r="E1332"/>
      <c r="F1332" s="31">
        <f>SUMIFS(F1333:F3130,K1333:K3130,"0",B1333:B3130,"5 1 1 1 3 12 31111 6 M78 08000 134 00C 001 11301 015*")</f>
        <v>79200</v>
      </c>
      <c r="G1332" s="31">
        <f>SUMIFS(G1333:G3130,K1333:K3130,"0",B1333:B3130,"5 1 1 1 3 12 31111 6 M78 08000 134 00C 001 11301 015*")</f>
        <v>0</v>
      </c>
      <c r="H1332" s="31">
        <f t="shared" si="21"/>
        <v>79200</v>
      </c>
      <c r="I1332" s="31"/>
      <c r="K1332" t="s">
        <v>13</v>
      </c>
    </row>
    <row r="1333" spans="2:11" ht="22" x14ac:dyDescent="0.15">
      <c r="B1333" s="29" t="s">
        <v>1922</v>
      </c>
      <c r="C1333" s="29" t="s">
        <v>1813</v>
      </c>
      <c r="D1333" s="31">
        <f>SUMIFS(D1334:D3130,K1334:K3130,"0",B1334:B3130,"5 1 1 1 3 12 31111 6 M78 08000 134 00C 001 11301 015 2111100*")-SUMIFS(E1334:E3130,K1334:K3130,"0",B1334:B3130,"5 1 1 1 3 12 31111 6 M78 08000 134 00C 001 11301 015 2111100*")</f>
        <v>0</v>
      </c>
      <c r="E1333"/>
      <c r="F1333" s="31">
        <f>SUMIFS(F1334:F3130,K1334:K3130,"0",B1334:B3130,"5 1 1 1 3 12 31111 6 M78 08000 134 00C 001 11301 015 2111100*")</f>
        <v>79200</v>
      </c>
      <c r="G1333" s="31">
        <f>SUMIFS(G1334:G3130,K1334:K3130,"0",B1334:B3130,"5 1 1 1 3 12 31111 6 M78 08000 134 00C 001 11301 015 2111100*")</f>
        <v>0</v>
      </c>
      <c r="H1333" s="31">
        <f t="shared" si="21"/>
        <v>79200</v>
      </c>
      <c r="I1333" s="31"/>
      <c r="K1333" t="s">
        <v>13</v>
      </c>
    </row>
    <row r="1334" spans="2:11" ht="22" x14ac:dyDescent="0.15">
      <c r="B1334" s="29" t="s">
        <v>1923</v>
      </c>
      <c r="C1334" s="29" t="s">
        <v>275</v>
      </c>
      <c r="D1334" s="31">
        <f>SUMIFS(D1335:D3130,K1335:K3130,"0",B1335:B3130,"5 1 1 1 3 12 31111 6 M78 08000 134 00C 001 11301 015 2111100 2024*")-SUMIFS(E1335:E3130,K1335:K3130,"0",B1335:B3130,"5 1 1 1 3 12 31111 6 M78 08000 134 00C 001 11301 015 2111100 2024*")</f>
        <v>0</v>
      </c>
      <c r="E1334"/>
      <c r="F1334" s="31">
        <f>SUMIFS(F1335:F3130,K1335:K3130,"0",B1335:B3130,"5 1 1 1 3 12 31111 6 M78 08000 134 00C 001 11301 015 2111100 2024*")</f>
        <v>79200</v>
      </c>
      <c r="G1334" s="31">
        <f>SUMIFS(G1335:G3130,K1335:K3130,"0",B1335:B3130,"5 1 1 1 3 12 31111 6 M78 08000 134 00C 001 11301 015 2111100 2024*")</f>
        <v>0</v>
      </c>
      <c r="H1334" s="31">
        <f t="shared" si="21"/>
        <v>79200</v>
      </c>
      <c r="I1334" s="31"/>
      <c r="K1334" t="s">
        <v>13</v>
      </c>
    </row>
    <row r="1335" spans="2:11" ht="22" x14ac:dyDescent="0.15">
      <c r="B1335" s="29" t="s">
        <v>1924</v>
      </c>
      <c r="C1335" s="29" t="s">
        <v>277</v>
      </c>
      <c r="D1335" s="31">
        <f>SUMIFS(D1336:D3130,K1336:K3130,"0",B1336:B3130,"5 1 1 1 3 12 31111 6 M78 08000 134 00C 001 11301 015 2111100 2024 00000000*")-SUMIFS(E1336:E3130,K1336:K3130,"0",B1336:B3130,"5 1 1 1 3 12 31111 6 M78 08000 134 00C 001 11301 015 2111100 2024 00000000*")</f>
        <v>0</v>
      </c>
      <c r="E1335"/>
      <c r="F1335" s="31">
        <f>SUMIFS(F1336:F3130,K1336:K3130,"0",B1336:B3130,"5 1 1 1 3 12 31111 6 M78 08000 134 00C 001 11301 015 2111100 2024 00000000*")</f>
        <v>79200</v>
      </c>
      <c r="G1335" s="31">
        <f>SUMIFS(G1336:G3130,K1336:K3130,"0",B1336:B3130,"5 1 1 1 3 12 31111 6 M78 08000 134 00C 001 11301 015 2111100 2024 00000000*")</f>
        <v>0</v>
      </c>
      <c r="H1335" s="31">
        <f t="shared" si="21"/>
        <v>79200</v>
      </c>
      <c r="I1335" s="31"/>
      <c r="K1335" t="s">
        <v>13</v>
      </c>
    </row>
    <row r="1336" spans="2:11" ht="22" x14ac:dyDescent="0.15">
      <c r="B1336" s="29" t="s">
        <v>1925</v>
      </c>
      <c r="C1336" s="29" t="s">
        <v>32</v>
      </c>
      <c r="D1336" s="31">
        <f>SUMIFS(D1337:D3130,K1337:K3130,"0",B1337:B3130,"5 1 1 1 3 12 31111 6 M78 08000 134 00C 001 11301 015 2111100 2024 00000000 001*")-SUMIFS(E1337:E3130,K1337:K3130,"0",B1337:B3130,"5 1 1 1 3 12 31111 6 M78 08000 134 00C 001 11301 015 2111100 2024 00000000 001*")</f>
        <v>0</v>
      </c>
      <c r="E1336"/>
      <c r="F1336" s="31">
        <f>SUMIFS(F1337:F3130,K1337:K3130,"0",B1337:B3130,"5 1 1 1 3 12 31111 6 M78 08000 134 00C 001 11301 015 2111100 2024 00000000 001*")</f>
        <v>79200</v>
      </c>
      <c r="G1336" s="31">
        <f>SUMIFS(G1337:G3130,K1337:K3130,"0",B1337:B3130,"5 1 1 1 3 12 31111 6 M78 08000 134 00C 001 11301 015 2111100 2024 00000000 001*")</f>
        <v>0</v>
      </c>
      <c r="H1336" s="31">
        <f t="shared" si="21"/>
        <v>79200</v>
      </c>
      <c r="I1336" s="31"/>
      <c r="K1336" t="s">
        <v>13</v>
      </c>
    </row>
    <row r="1337" spans="2:11" ht="22" x14ac:dyDescent="0.15">
      <c r="B1337" s="29" t="s">
        <v>1926</v>
      </c>
      <c r="C1337" s="29" t="s">
        <v>1927</v>
      </c>
      <c r="D1337" s="31">
        <f>SUMIFS(D1338:D3130,K1338:K3130,"0",B1338:B3130,"5 1 1 1 3 12 31111 6 M78 08000 134 00C 001 11301 015 2111100 2024 00000000 001 001*")-SUMIFS(E1338:E3130,K1338:K3130,"0",B1338:B3130,"5 1 1 1 3 12 31111 6 M78 08000 134 00C 001 11301 015 2111100 2024 00000000 001 001*")</f>
        <v>0</v>
      </c>
      <c r="E1337"/>
      <c r="F1337" s="31">
        <f>SUMIFS(F1338:F3130,K1338:K3130,"0",B1338:B3130,"5 1 1 1 3 12 31111 6 M78 08000 134 00C 001 11301 015 2111100 2024 00000000 001 001*")</f>
        <v>79200</v>
      </c>
      <c r="G1337" s="31">
        <f>SUMIFS(G1338:G3130,K1338:K3130,"0",B1338:B3130,"5 1 1 1 3 12 31111 6 M78 08000 134 00C 001 11301 015 2111100 2024 00000000 001 001*")</f>
        <v>0</v>
      </c>
      <c r="H1337" s="31">
        <f t="shared" si="21"/>
        <v>79200</v>
      </c>
      <c r="I1337" s="31"/>
      <c r="K1337" t="s">
        <v>13</v>
      </c>
    </row>
    <row r="1338" spans="2:11" ht="22" x14ac:dyDescent="0.15">
      <c r="B1338" s="27" t="s">
        <v>1928</v>
      </c>
      <c r="C1338" s="27" t="s">
        <v>1820</v>
      </c>
      <c r="D1338" s="30">
        <v>0</v>
      </c>
      <c r="E1338" s="30"/>
      <c r="F1338" s="30">
        <v>79200</v>
      </c>
      <c r="G1338" s="30">
        <v>0</v>
      </c>
      <c r="H1338" s="30">
        <f t="shared" si="21"/>
        <v>79200</v>
      </c>
      <c r="I1338" s="30"/>
      <c r="K1338" t="s">
        <v>37</v>
      </c>
    </row>
    <row r="1339" spans="2:11" ht="13" x14ac:dyDescent="0.15">
      <c r="B1339" s="29" t="s">
        <v>1929</v>
      </c>
      <c r="C1339" s="29" t="s">
        <v>261</v>
      </c>
      <c r="D1339" s="31">
        <f>SUMIFS(D1340:D3130,K1340:K3130,"0",B1340:B3130,"5 1 1 1 3 12 31111 6 M78 09000*")-SUMIFS(E1340:E3130,K1340:K3130,"0",B1340:B3130,"5 1 1 1 3 12 31111 6 M78 09000*")</f>
        <v>0</v>
      </c>
      <c r="E1339"/>
      <c r="F1339" s="31">
        <f>SUMIFS(F1340:F3130,K1340:K3130,"0",B1340:B3130,"5 1 1 1 3 12 31111 6 M78 09000*")</f>
        <v>533235</v>
      </c>
      <c r="G1339" s="31">
        <f>SUMIFS(G1340:G3130,K1340:K3130,"0",B1340:B3130,"5 1 1 1 3 12 31111 6 M78 09000*")</f>
        <v>0</v>
      </c>
      <c r="H1339" s="31">
        <f t="shared" si="21"/>
        <v>533235</v>
      </c>
      <c r="I1339" s="31"/>
      <c r="K1339" t="s">
        <v>13</v>
      </c>
    </row>
    <row r="1340" spans="2:11" ht="13" x14ac:dyDescent="0.15">
      <c r="B1340" s="29" t="s">
        <v>1930</v>
      </c>
      <c r="C1340" s="29" t="s">
        <v>263</v>
      </c>
      <c r="D1340" s="31">
        <f>SUMIFS(D1341:D3130,K1341:K3130,"0",B1341:B3130,"5 1 1 1 3 12 31111 6 M78 09000 134*")-SUMIFS(E1341:E3130,K1341:K3130,"0",B1341:B3130,"5 1 1 1 3 12 31111 6 M78 09000 134*")</f>
        <v>0</v>
      </c>
      <c r="E1340"/>
      <c r="F1340" s="31">
        <f>SUMIFS(F1341:F3130,K1341:K3130,"0",B1341:B3130,"5 1 1 1 3 12 31111 6 M78 09000 134*")</f>
        <v>533235</v>
      </c>
      <c r="G1340" s="31">
        <f>SUMIFS(G1341:G3130,K1341:K3130,"0",B1341:B3130,"5 1 1 1 3 12 31111 6 M78 09000 134*")</f>
        <v>0</v>
      </c>
      <c r="H1340" s="31">
        <f t="shared" si="21"/>
        <v>533235</v>
      </c>
      <c r="I1340" s="31"/>
      <c r="K1340" t="s">
        <v>13</v>
      </c>
    </row>
    <row r="1341" spans="2:11" ht="13" x14ac:dyDescent="0.15">
      <c r="B1341" s="29" t="s">
        <v>1931</v>
      </c>
      <c r="C1341" s="29" t="s">
        <v>265</v>
      </c>
      <c r="D1341" s="31">
        <f>SUMIFS(D1342:D3130,K1342:K3130,"0",B1342:B3130,"5 1 1 1 3 12 31111 6 M78 09000 134 00C*")-SUMIFS(E1342:E3130,K1342:K3130,"0",B1342:B3130,"5 1 1 1 3 12 31111 6 M78 09000 134 00C*")</f>
        <v>0</v>
      </c>
      <c r="E1341"/>
      <c r="F1341" s="31">
        <f>SUMIFS(F1342:F3130,K1342:K3130,"0",B1342:B3130,"5 1 1 1 3 12 31111 6 M78 09000 134 00C*")</f>
        <v>533235</v>
      </c>
      <c r="G1341" s="31">
        <f>SUMIFS(G1342:G3130,K1342:K3130,"0",B1342:B3130,"5 1 1 1 3 12 31111 6 M78 09000 134 00C*")</f>
        <v>0</v>
      </c>
      <c r="H1341" s="31">
        <f t="shared" si="21"/>
        <v>533235</v>
      </c>
      <c r="I1341" s="31"/>
      <c r="K1341" t="s">
        <v>13</v>
      </c>
    </row>
    <row r="1342" spans="2:11" ht="13" x14ac:dyDescent="0.15">
      <c r="B1342" s="29" t="s">
        <v>1932</v>
      </c>
      <c r="C1342" s="29" t="s">
        <v>32</v>
      </c>
      <c r="D1342" s="31">
        <f>SUMIFS(D1343:D3130,K1343:K3130,"0",B1343:B3130,"5 1 1 1 3 12 31111 6 M78 09000 134 00C 001*")-SUMIFS(E1343:E3130,K1343:K3130,"0",B1343:B3130,"5 1 1 1 3 12 31111 6 M78 09000 134 00C 001*")</f>
        <v>0</v>
      </c>
      <c r="E1342"/>
      <c r="F1342" s="31">
        <f>SUMIFS(F1343:F3130,K1343:K3130,"0",B1343:B3130,"5 1 1 1 3 12 31111 6 M78 09000 134 00C 001*")</f>
        <v>533235</v>
      </c>
      <c r="G1342" s="31">
        <f>SUMIFS(G1343:G3130,K1343:K3130,"0",B1343:B3130,"5 1 1 1 3 12 31111 6 M78 09000 134 00C 001*")</f>
        <v>0</v>
      </c>
      <c r="H1342" s="31">
        <f t="shared" si="21"/>
        <v>533235</v>
      </c>
      <c r="I1342" s="31"/>
      <c r="K1342" t="s">
        <v>13</v>
      </c>
    </row>
    <row r="1343" spans="2:11" ht="13" x14ac:dyDescent="0.15">
      <c r="B1343" s="29" t="s">
        <v>1933</v>
      </c>
      <c r="C1343" s="29" t="s">
        <v>1810</v>
      </c>
      <c r="D1343" s="31">
        <f>SUMIFS(D1344:D3130,K1344:K3130,"0",B1344:B3130,"5 1 1 1 3 12 31111 6 M78 09000 134 00C 001 11301*")-SUMIFS(E1344:E3130,K1344:K3130,"0",B1344:B3130,"5 1 1 1 3 12 31111 6 M78 09000 134 00C 001 11301*")</f>
        <v>0</v>
      </c>
      <c r="E1343"/>
      <c r="F1343" s="31">
        <f>SUMIFS(F1344:F3130,K1344:K3130,"0",B1344:B3130,"5 1 1 1 3 12 31111 6 M78 09000 134 00C 001 11301*")</f>
        <v>533235</v>
      </c>
      <c r="G1343" s="31">
        <f>SUMIFS(G1344:G3130,K1344:K3130,"0",B1344:B3130,"5 1 1 1 3 12 31111 6 M78 09000 134 00C 001 11301*")</f>
        <v>0</v>
      </c>
      <c r="H1343" s="31">
        <f t="shared" si="21"/>
        <v>533235</v>
      </c>
      <c r="I1343" s="31"/>
      <c r="K1343" t="s">
        <v>13</v>
      </c>
    </row>
    <row r="1344" spans="2:11" ht="22" x14ac:dyDescent="0.15">
      <c r="B1344" s="29" t="s">
        <v>1934</v>
      </c>
      <c r="C1344" s="29" t="s">
        <v>271</v>
      </c>
      <c r="D1344" s="31">
        <f>SUMIFS(D1345:D3130,K1345:K3130,"0",B1345:B3130,"5 1 1 1 3 12 31111 6 M78 09000 134 00C 001 11301 015*")-SUMIFS(E1345:E3130,K1345:K3130,"0",B1345:B3130,"5 1 1 1 3 12 31111 6 M78 09000 134 00C 001 11301 015*")</f>
        <v>0</v>
      </c>
      <c r="E1344"/>
      <c r="F1344" s="31">
        <f>SUMIFS(F1345:F3130,K1345:K3130,"0",B1345:B3130,"5 1 1 1 3 12 31111 6 M78 09000 134 00C 001 11301 015*")</f>
        <v>533235</v>
      </c>
      <c r="G1344" s="31">
        <f>SUMIFS(G1345:G3130,K1345:K3130,"0",B1345:B3130,"5 1 1 1 3 12 31111 6 M78 09000 134 00C 001 11301 015*")</f>
        <v>0</v>
      </c>
      <c r="H1344" s="31">
        <f t="shared" si="21"/>
        <v>533235</v>
      </c>
      <c r="I1344" s="31"/>
      <c r="K1344" t="s">
        <v>13</v>
      </c>
    </row>
    <row r="1345" spans="2:11" ht="22" x14ac:dyDescent="0.15">
      <c r="B1345" s="29" t="s">
        <v>1935</v>
      </c>
      <c r="C1345" s="29" t="s">
        <v>1813</v>
      </c>
      <c r="D1345" s="31">
        <f>SUMIFS(D1346:D3130,K1346:K3130,"0",B1346:B3130,"5 1 1 1 3 12 31111 6 M78 09000 134 00C 001 11301 015 2111100*")-SUMIFS(E1346:E3130,K1346:K3130,"0",B1346:B3130,"5 1 1 1 3 12 31111 6 M78 09000 134 00C 001 11301 015 2111100*")</f>
        <v>0</v>
      </c>
      <c r="E1345"/>
      <c r="F1345" s="31">
        <f>SUMIFS(F1346:F3130,K1346:K3130,"0",B1346:B3130,"5 1 1 1 3 12 31111 6 M78 09000 134 00C 001 11301 015 2111100*")</f>
        <v>533235</v>
      </c>
      <c r="G1345" s="31">
        <f>SUMIFS(G1346:G3130,K1346:K3130,"0",B1346:B3130,"5 1 1 1 3 12 31111 6 M78 09000 134 00C 001 11301 015 2111100*")</f>
        <v>0</v>
      </c>
      <c r="H1345" s="31">
        <f t="shared" si="21"/>
        <v>533235</v>
      </c>
      <c r="I1345" s="31"/>
      <c r="K1345" t="s">
        <v>13</v>
      </c>
    </row>
    <row r="1346" spans="2:11" ht="22" x14ac:dyDescent="0.15">
      <c r="B1346" s="29" t="s">
        <v>1936</v>
      </c>
      <c r="C1346" s="29" t="s">
        <v>275</v>
      </c>
      <c r="D1346" s="31">
        <f>SUMIFS(D1347:D3130,K1347:K3130,"0",B1347:B3130,"5 1 1 1 3 12 31111 6 M78 09000 134 00C 001 11301 015 2111100 2024*")-SUMIFS(E1347:E3130,K1347:K3130,"0",B1347:B3130,"5 1 1 1 3 12 31111 6 M78 09000 134 00C 001 11301 015 2111100 2024*")</f>
        <v>0</v>
      </c>
      <c r="E1346"/>
      <c r="F1346" s="31">
        <f>SUMIFS(F1347:F3130,K1347:K3130,"0",B1347:B3130,"5 1 1 1 3 12 31111 6 M78 09000 134 00C 001 11301 015 2111100 2024*")</f>
        <v>533235</v>
      </c>
      <c r="G1346" s="31">
        <f>SUMIFS(G1347:G3130,K1347:K3130,"0",B1347:B3130,"5 1 1 1 3 12 31111 6 M78 09000 134 00C 001 11301 015 2111100 2024*")</f>
        <v>0</v>
      </c>
      <c r="H1346" s="31">
        <f t="shared" si="21"/>
        <v>533235</v>
      </c>
      <c r="I1346" s="31"/>
      <c r="K1346" t="s">
        <v>13</v>
      </c>
    </row>
    <row r="1347" spans="2:11" ht="22" x14ac:dyDescent="0.15">
      <c r="B1347" s="29" t="s">
        <v>1937</v>
      </c>
      <c r="C1347" s="29" t="s">
        <v>277</v>
      </c>
      <c r="D1347" s="31">
        <f>SUMIFS(D1348:D3130,K1348:K3130,"0",B1348:B3130,"5 1 1 1 3 12 31111 6 M78 09000 134 00C 001 11301 015 2111100 2024 00000000*")-SUMIFS(E1348:E3130,K1348:K3130,"0",B1348:B3130,"5 1 1 1 3 12 31111 6 M78 09000 134 00C 001 11301 015 2111100 2024 00000000*")</f>
        <v>0</v>
      </c>
      <c r="E1347"/>
      <c r="F1347" s="31">
        <f>SUMIFS(F1348:F3130,K1348:K3130,"0",B1348:B3130,"5 1 1 1 3 12 31111 6 M78 09000 134 00C 001 11301 015 2111100 2024 00000000*")</f>
        <v>533235</v>
      </c>
      <c r="G1347" s="31">
        <f>SUMIFS(G1348:G3130,K1348:K3130,"0",B1348:B3130,"5 1 1 1 3 12 31111 6 M78 09000 134 00C 001 11301 015 2111100 2024 00000000*")</f>
        <v>0</v>
      </c>
      <c r="H1347" s="31">
        <f t="shared" si="21"/>
        <v>533235</v>
      </c>
      <c r="I1347" s="31"/>
      <c r="K1347" t="s">
        <v>13</v>
      </c>
    </row>
    <row r="1348" spans="2:11" ht="22" x14ac:dyDescent="0.15">
      <c r="B1348" s="29" t="s">
        <v>1938</v>
      </c>
      <c r="C1348" s="29" t="s">
        <v>32</v>
      </c>
      <c r="D1348" s="31">
        <f>SUMIFS(D1349:D3130,K1349:K3130,"0",B1349:B3130,"5 1 1 1 3 12 31111 6 M78 09000 134 00C 001 11301 015 2111100 2024 00000000 001*")-SUMIFS(E1349:E3130,K1349:K3130,"0",B1349:B3130,"5 1 1 1 3 12 31111 6 M78 09000 134 00C 001 11301 015 2111100 2024 00000000 001*")</f>
        <v>0</v>
      </c>
      <c r="E1348"/>
      <c r="F1348" s="31">
        <f>SUMIFS(F1349:F3130,K1349:K3130,"0",B1349:B3130,"5 1 1 1 3 12 31111 6 M78 09000 134 00C 001 11301 015 2111100 2024 00000000 001*")</f>
        <v>533235</v>
      </c>
      <c r="G1348" s="31">
        <f>SUMIFS(G1349:G3130,K1349:K3130,"0",B1349:B3130,"5 1 1 1 3 12 31111 6 M78 09000 134 00C 001 11301 015 2111100 2024 00000000 001*")</f>
        <v>0</v>
      </c>
      <c r="H1348" s="31">
        <f t="shared" si="21"/>
        <v>533235</v>
      </c>
      <c r="I1348" s="31"/>
      <c r="K1348" t="s">
        <v>13</v>
      </c>
    </row>
    <row r="1349" spans="2:11" ht="22" x14ac:dyDescent="0.15">
      <c r="B1349" s="29" t="s">
        <v>1939</v>
      </c>
      <c r="C1349" s="29" t="s">
        <v>1940</v>
      </c>
      <c r="D1349" s="31">
        <f>SUMIFS(D1350:D3130,K1350:K3130,"0",B1350:B3130,"5 1 1 1 3 12 31111 6 M78 09000 134 00C 001 11301 015 2111100 2024 00000000 001 001*")-SUMIFS(E1350:E3130,K1350:K3130,"0",B1350:B3130,"5 1 1 1 3 12 31111 6 M78 09000 134 00C 001 11301 015 2111100 2024 00000000 001 001*")</f>
        <v>0</v>
      </c>
      <c r="E1349"/>
      <c r="F1349" s="31">
        <f>SUMIFS(F1350:F3130,K1350:K3130,"0",B1350:B3130,"5 1 1 1 3 12 31111 6 M78 09000 134 00C 001 11301 015 2111100 2024 00000000 001 001*")</f>
        <v>533235</v>
      </c>
      <c r="G1349" s="31">
        <f>SUMIFS(G1350:G3130,K1350:K3130,"0",B1350:B3130,"5 1 1 1 3 12 31111 6 M78 09000 134 00C 001 11301 015 2111100 2024 00000000 001 001*")</f>
        <v>0</v>
      </c>
      <c r="H1349" s="31">
        <f t="shared" si="21"/>
        <v>533235</v>
      </c>
      <c r="I1349" s="31"/>
      <c r="K1349" t="s">
        <v>13</v>
      </c>
    </row>
    <row r="1350" spans="2:11" ht="22" x14ac:dyDescent="0.15">
      <c r="B1350" s="27" t="s">
        <v>1941</v>
      </c>
      <c r="C1350" s="27" t="s">
        <v>1820</v>
      </c>
      <c r="D1350" s="30">
        <v>0</v>
      </c>
      <c r="E1350" s="30"/>
      <c r="F1350" s="30">
        <v>533235</v>
      </c>
      <c r="G1350" s="30">
        <v>0</v>
      </c>
      <c r="H1350" s="30">
        <f t="shared" si="21"/>
        <v>533235</v>
      </c>
      <c r="I1350" s="30"/>
      <c r="K1350" t="s">
        <v>37</v>
      </c>
    </row>
    <row r="1351" spans="2:11" ht="13" x14ac:dyDescent="0.15">
      <c r="B1351" s="29" t="s">
        <v>1942</v>
      </c>
      <c r="C1351" s="29" t="s">
        <v>1943</v>
      </c>
      <c r="D1351" s="31">
        <f>SUMIFS(D1352:D3130,K1352:K3130,"0",B1352:B3130,"5 1 1 1 3 12 31111 6 M78 11000*")-SUMIFS(E1352:E3130,K1352:K3130,"0",B1352:B3130,"5 1 1 1 3 12 31111 6 M78 11000*")</f>
        <v>0</v>
      </c>
      <c r="E1351"/>
      <c r="F1351" s="31">
        <f>SUMIFS(F1352:F3130,K1352:K3130,"0",B1352:B3130,"5 1 1 1 3 12 31111 6 M78 11000*")</f>
        <v>255600</v>
      </c>
      <c r="G1351" s="31">
        <f>SUMIFS(G1352:G3130,K1352:K3130,"0",B1352:B3130,"5 1 1 1 3 12 31111 6 M78 11000*")</f>
        <v>0</v>
      </c>
      <c r="H1351" s="31">
        <f t="shared" si="21"/>
        <v>255600</v>
      </c>
      <c r="I1351" s="31"/>
      <c r="K1351" t="s">
        <v>13</v>
      </c>
    </row>
    <row r="1352" spans="2:11" ht="13" x14ac:dyDescent="0.15">
      <c r="B1352" s="29" t="s">
        <v>1944</v>
      </c>
      <c r="C1352" s="29" t="s">
        <v>1945</v>
      </c>
      <c r="D1352" s="31">
        <f>SUMIFS(D1353:D3130,K1353:K3130,"0",B1353:B3130,"5 1 1 1 3 12 31111 6 M78 11000 263*")-SUMIFS(E1353:E3130,K1353:K3130,"0",B1353:B3130,"5 1 1 1 3 12 31111 6 M78 11000 263*")</f>
        <v>0</v>
      </c>
      <c r="E1352"/>
      <c r="F1352" s="31">
        <f>SUMIFS(F1353:F3130,K1353:K3130,"0",B1353:B3130,"5 1 1 1 3 12 31111 6 M78 11000 263*")</f>
        <v>255600</v>
      </c>
      <c r="G1352" s="31">
        <f>SUMIFS(G1353:G3130,K1353:K3130,"0",B1353:B3130,"5 1 1 1 3 12 31111 6 M78 11000 263*")</f>
        <v>0</v>
      </c>
      <c r="H1352" s="31">
        <f t="shared" si="21"/>
        <v>255600</v>
      </c>
      <c r="I1352" s="31"/>
      <c r="K1352" t="s">
        <v>13</v>
      </c>
    </row>
    <row r="1353" spans="2:11" ht="13" x14ac:dyDescent="0.15">
      <c r="B1353" s="29" t="s">
        <v>1946</v>
      </c>
      <c r="C1353" s="29" t="s">
        <v>265</v>
      </c>
      <c r="D1353" s="31">
        <f>SUMIFS(D1354:D3130,K1354:K3130,"0",B1354:B3130,"5 1 1 1 3 12 31111 6 M78 11000 263 00C*")-SUMIFS(E1354:E3130,K1354:K3130,"0",B1354:B3130,"5 1 1 1 3 12 31111 6 M78 11000 263 00C*")</f>
        <v>0</v>
      </c>
      <c r="E1353"/>
      <c r="F1353" s="31">
        <f>SUMIFS(F1354:F3130,K1354:K3130,"0",B1354:B3130,"5 1 1 1 3 12 31111 6 M78 11000 263 00C*")</f>
        <v>255600</v>
      </c>
      <c r="G1353" s="31">
        <f>SUMIFS(G1354:G3130,K1354:K3130,"0",B1354:B3130,"5 1 1 1 3 12 31111 6 M78 11000 263 00C*")</f>
        <v>0</v>
      </c>
      <c r="H1353" s="31">
        <f t="shared" si="21"/>
        <v>255600</v>
      </c>
      <c r="I1353" s="31"/>
      <c r="K1353" t="s">
        <v>13</v>
      </c>
    </row>
    <row r="1354" spans="2:11" ht="13" x14ac:dyDescent="0.15">
      <c r="B1354" s="29" t="s">
        <v>1947</v>
      </c>
      <c r="C1354" s="29" t="s">
        <v>32</v>
      </c>
      <c r="D1354" s="31">
        <f>SUMIFS(D1355:D3130,K1355:K3130,"0",B1355:B3130,"5 1 1 1 3 12 31111 6 M78 11000 263 00C 001*")-SUMIFS(E1355:E3130,K1355:K3130,"0",B1355:B3130,"5 1 1 1 3 12 31111 6 M78 11000 263 00C 001*")</f>
        <v>0</v>
      </c>
      <c r="E1354"/>
      <c r="F1354" s="31">
        <f>SUMIFS(F1355:F3130,K1355:K3130,"0",B1355:B3130,"5 1 1 1 3 12 31111 6 M78 11000 263 00C 001*")</f>
        <v>255600</v>
      </c>
      <c r="G1354" s="31">
        <f>SUMIFS(G1355:G3130,K1355:K3130,"0",B1355:B3130,"5 1 1 1 3 12 31111 6 M78 11000 263 00C 001*")</f>
        <v>0</v>
      </c>
      <c r="H1354" s="31">
        <f t="shared" si="21"/>
        <v>255600</v>
      </c>
      <c r="I1354" s="31"/>
      <c r="K1354" t="s">
        <v>13</v>
      </c>
    </row>
    <row r="1355" spans="2:11" ht="13" x14ac:dyDescent="0.15">
      <c r="B1355" s="29" t="s">
        <v>1948</v>
      </c>
      <c r="C1355" s="29" t="s">
        <v>1810</v>
      </c>
      <c r="D1355" s="31">
        <f>SUMIFS(D1356:D3130,K1356:K3130,"0",B1356:B3130,"5 1 1 1 3 12 31111 6 M78 11000 263 00C 001 11301*")-SUMIFS(E1356:E3130,K1356:K3130,"0",B1356:B3130,"5 1 1 1 3 12 31111 6 M78 11000 263 00C 001 11301*")</f>
        <v>0</v>
      </c>
      <c r="E1355"/>
      <c r="F1355" s="31">
        <f>SUMIFS(F1356:F3130,K1356:K3130,"0",B1356:B3130,"5 1 1 1 3 12 31111 6 M78 11000 263 00C 001 11301*")</f>
        <v>255600</v>
      </c>
      <c r="G1355" s="31">
        <f>SUMIFS(G1356:G3130,K1356:K3130,"0",B1356:B3130,"5 1 1 1 3 12 31111 6 M78 11000 263 00C 001 11301*")</f>
        <v>0</v>
      </c>
      <c r="H1355" s="31">
        <f t="shared" ref="H1355:H1418" si="22">D1355 + F1355 - G1355</f>
        <v>255600</v>
      </c>
      <c r="I1355" s="31"/>
      <c r="K1355" t="s">
        <v>13</v>
      </c>
    </row>
    <row r="1356" spans="2:11" ht="22" x14ac:dyDescent="0.15">
      <c r="B1356" s="29" t="s">
        <v>1949</v>
      </c>
      <c r="C1356" s="29" t="s">
        <v>271</v>
      </c>
      <c r="D1356" s="31">
        <f>SUMIFS(D1357:D3130,K1357:K3130,"0",B1357:B3130,"5 1 1 1 3 12 31111 6 M78 11000 263 00C 001 11301 015*")-SUMIFS(E1357:E3130,K1357:K3130,"0",B1357:B3130,"5 1 1 1 3 12 31111 6 M78 11000 263 00C 001 11301 015*")</f>
        <v>0</v>
      </c>
      <c r="E1356"/>
      <c r="F1356" s="31">
        <f>SUMIFS(F1357:F3130,K1357:K3130,"0",B1357:B3130,"5 1 1 1 3 12 31111 6 M78 11000 263 00C 001 11301 015*")</f>
        <v>255600</v>
      </c>
      <c r="G1356" s="31">
        <f>SUMIFS(G1357:G3130,K1357:K3130,"0",B1357:B3130,"5 1 1 1 3 12 31111 6 M78 11000 263 00C 001 11301 015*")</f>
        <v>0</v>
      </c>
      <c r="H1356" s="31">
        <f t="shared" si="22"/>
        <v>255600</v>
      </c>
      <c r="I1356" s="31"/>
      <c r="K1356" t="s">
        <v>13</v>
      </c>
    </row>
    <row r="1357" spans="2:11" ht="22" x14ac:dyDescent="0.15">
      <c r="B1357" s="29" t="s">
        <v>1950</v>
      </c>
      <c r="C1357" s="29" t="s">
        <v>1813</v>
      </c>
      <c r="D1357" s="31">
        <f>SUMIFS(D1358:D3130,K1358:K3130,"0",B1358:B3130,"5 1 1 1 3 12 31111 6 M78 11000 263 00C 001 11301 015 2111100*")-SUMIFS(E1358:E3130,K1358:K3130,"0",B1358:B3130,"5 1 1 1 3 12 31111 6 M78 11000 263 00C 001 11301 015 2111100*")</f>
        <v>0</v>
      </c>
      <c r="E1357"/>
      <c r="F1357" s="31">
        <f>SUMIFS(F1358:F3130,K1358:K3130,"0",B1358:B3130,"5 1 1 1 3 12 31111 6 M78 11000 263 00C 001 11301 015 2111100*")</f>
        <v>255600</v>
      </c>
      <c r="G1357" s="31">
        <f>SUMIFS(G1358:G3130,K1358:K3130,"0",B1358:B3130,"5 1 1 1 3 12 31111 6 M78 11000 263 00C 001 11301 015 2111100*")</f>
        <v>0</v>
      </c>
      <c r="H1357" s="31">
        <f t="shared" si="22"/>
        <v>255600</v>
      </c>
      <c r="I1357" s="31"/>
      <c r="K1357" t="s">
        <v>13</v>
      </c>
    </row>
    <row r="1358" spans="2:11" ht="22" x14ac:dyDescent="0.15">
      <c r="B1358" s="29" t="s">
        <v>1951</v>
      </c>
      <c r="C1358" s="29" t="s">
        <v>275</v>
      </c>
      <c r="D1358" s="31">
        <f>SUMIFS(D1359:D3130,K1359:K3130,"0",B1359:B3130,"5 1 1 1 3 12 31111 6 M78 11000 263 00C 001 11301 015 2111100 2024*")-SUMIFS(E1359:E3130,K1359:K3130,"0",B1359:B3130,"5 1 1 1 3 12 31111 6 M78 11000 263 00C 001 11301 015 2111100 2024*")</f>
        <v>0</v>
      </c>
      <c r="E1358"/>
      <c r="F1358" s="31">
        <f>SUMIFS(F1359:F3130,K1359:K3130,"0",B1359:B3130,"5 1 1 1 3 12 31111 6 M78 11000 263 00C 001 11301 015 2111100 2024*")</f>
        <v>255600</v>
      </c>
      <c r="G1358" s="31">
        <f>SUMIFS(G1359:G3130,K1359:K3130,"0",B1359:B3130,"5 1 1 1 3 12 31111 6 M78 11000 263 00C 001 11301 015 2111100 2024*")</f>
        <v>0</v>
      </c>
      <c r="H1358" s="31">
        <f t="shared" si="22"/>
        <v>255600</v>
      </c>
      <c r="I1358" s="31"/>
      <c r="K1358" t="s">
        <v>13</v>
      </c>
    </row>
    <row r="1359" spans="2:11" ht="22" x14ac:dyDescent="0.15">
      <c r="B1359" s="29" t="s">
        <v>1952</v>
      </c>
      <c r="C1359" s="29" t="s">
        <v>277</v>
      </c>
      <c r="D1359" s="31">
        <f>SUMIFS(D1360:D3130,K1360:K3130,"0",B1360:B3130,"5 1 1 1 3 12 31111 6 M78 11000 263 00C 001 11301 015 2111100 2024 00000000*")-SUMIFS(E1360:E3130,K1360:K3130,"0",B1360:B3130,"5 1 1 1 3 12 31111 6 M78 11000 263 00C 001 11301 015 2111100 2024 00000000*")</f>
        <v>0</v>
      </c>
      <c r="E1359"/>
      <c r="F1359" s="31">
        <f>SUMIFS(F1360:F3130,K1360:K3130,"0",B1360:B3130,"5 1 1 1 3 12 31111 6 M78 11000 263 00C 001 11301 015 2111100 2024 00000000*")</f>
        <v>255600</v>
      </c>
      <c r="G1359" s="31">
        <f>SUMIFS(G1360:G3130,K1360:K3130,"0",B1360:B3130,"5 1 1 1 3 12 31111 6 M78 11000 263 00C 001 11301 015 2111100 2024 00000000*")</f>
        <v>0</v>
      </c>
      <c r="H1359" s="31">
        <f t="shared" si="22"/>
        <v>255600</v>
      </c>
      <c r="I1359" s="31"/>
      <c r="K1359" t="s">
        <v>13</v>
      </c>
    </row>
    <row r="1360" spans="2:11" ht="22" x14ac:dyDescent="0.15">
      <c r="B1360" s="29" t="s">
        <v>1953</v>
      </c>
      <c r="C1360" s="29" t="s">
        <v>32</v>
      </c>
      <c r="D1360" s="31">
        <f>SUMIFS(D1361:D3130,K1361:K3130,"0",B1361:B3130,"5 1 1 1 3 12 31111 6 M78 11000 263 00C 001 11301 015 2111100 2024 00000000 001*")-SUMIFS(E1361:E3130,K1361:K3130,"0",B1361:B3130,"5 1 1 1 3 12 31111 6 M78 11000 263 00C 001 11301 015 2111100 2024 00000000 001*")</f>
        <v>0</v>
      </c>
      <c r="E1360"/>
      <c r="F1360" s="31">
        <f>SUMIFS(F1361:F3130,K1361:K3130,"0",B1361:B3130,"5 1 1 1 3 12 31111 6 M78 11000 263 00C 001 11301 015 2111100 2024 00000000 001*")</f>
        <v>255600</v>
      </c>
      <c r="G1360" s="31">
        <f>SUMIFS(G1361:G3130,K1361:K3130,"0",B1361:B3130,"5 1 1 1 3 12 31111 6 M78 11000 263 00C 001 11301 015 2111100 2024 00000000 001*")</f>
        <v>0</v>
      </c>
      <c r="H1360" s="31">
        <f t="shared" si="22"/>
        <v>255600</v>
      </c>
      <c r="I1360" s="31"/>
      <c r="K1360" t="s">
        <v>13</v>
      </c>
    </row>
    <row r="1361" spans="2:11" ht="22" x14ac:dyDescent="0.15">
      <c r="B1361" s="29" t="s">
        <v>1954</v>
      </c>
      <c r="C1361" s="29" t="s">
        <v>1955</v>
      </c>
      <c r="D1361" s="31">
        <f>SUMIFS(D1362:D3130,K1362:K3130,"0",B1362:B3130,"5 1 1 1 3 12 31111 6 M78 11000 263 00C 001 11301 015 2111100 2024 00000000 001 001*")-SUMIFS(E1362:E3130,K1362:K3130,"0",B1362:B3130,"5 1 1 1 3 12 31111 6 M78 11000 263 00C 001 11301 015 2111100 2024 00000000 001 001*")</f>
        <v>0</v>
      </c>
      <c r="E1361"/>
      <c r="F1361" s="31">
        <f>SUMIFS(F1362:F3130,K1362:K3130,"0",B1362:B3130,"5 1 1 1 3 12 31111 6 M78 11000 263 00C 001 11301 015 2111100 2024 00000000 001 001*")</f>
        <v>255600</v>
      </c>
      <c r="G1361" s="31">
        <f>SUMIFS(G1362:G3130,K1362:K3130,"0",B1362:B3130,"5 1 1 1 3 12 31111 6 M78 11000 263 00C 001 11301 015 2111100 2024 00000000 001 001*")</f>
        <v>0</v>
      </c>
      <c r="H1361" s="31">
        <f t="shared" si="22"/>
        <v>255600</v>
      </c>
      <c r="I1361" s="31"/>
      <c r="K1361" t="s">
        <v>13</v>
      </c>
    </row>
    <row r="1362" spans="2:11" ht="22" x14ac:dyDescent="0.15">
      <c r="B1362" s="27" t="s">
        <v>1956</v>
      </c>
      <c r="C1362" s="27" t="s">
        <v>1820</v>
      </c>
      <c r="D1362" s="30">
        <v>0</v>
      </c>
      <c r="E1362" s="30"/>
      <c r="F1362" s="30">
        <v>255600</v>
      </c>
      <c r="G1362" s="30">
        <v>0</v>
      </c>
      <c r="H1362" s="30">
        <f t="shared" si="22"/>
        <v>255600</v>
      </c>
      <c r="I1362" s="30"/>
      <c r="K1362" t="s">
        <v>37</v>
      </c>
    </row>
    <row r="1363" spans="2:11" ht="13" x14ac:dyDescent="0.15">
      <c r="B1363" s="29" t="s">
        <v>1957</v>
      </c>
      <c r="C1363" s="29" t="s">
        <v>1958</v>
      </c>
      <c r="D1363" s="31">
        <f>SUMIFS(D1364:D3130,K1364:K3130,"0",B1364:B3130,"5 1 1 1 3 12 31111 6 M78 12000*")-SUMIFS(E1364:E3130,K1364:K3130,"0",B1364:B3130,"5 1 1 1 3 12 31111 6 M78 12000*")</f>
        <v>0</v>
      </c>
      <c r="E1363"/>
      <c r="F1363" s="31">
        <f>SUMIFS(F1364:F3130,K1364:K3130,"0",B1364:B3130,"5 1 1 1 3 12 31111 6 M78 12000*")</f>
        <v>835219.42</v>
      </c>
      <c r="G1363" s="31">
        <f>SUMIFS(G1364:G3130,K1364:K3130,"0",B1364:B3130,"5 1 1 1 3 12 31111 6 M78 12000*")</f>
        <v>0</v>
      </c>
      <c r="H1363" s="31">
        <f t="shared" si="22"/>
        <v>835219.42</v>
      </c>
      <c r="I1363" s="31"/>
      <c r="K1363" t="s">
        <v>13</v>
      </c>
    </row>
    <row r="1364" spans="2:11" ht="13" x14ac:dyDescent="0.15">
      <c r="B1364" s="29" t="s">
        <v>1959</v>
      </c>
      <c r="C1364" s="29" t="s">
        <v>1960</v>
      </c>
      <c r="D1364" s="31">
        <f>SUMIFS(D1365:D3130,K1365:K3130,"0",B1365:B3130,"5 1 1 1 3 12 31111 6 M78 12000 265*")-SUMIFS(E1365:E3130,K1365:K3130,"0",B1365:B3130,"5 1 1 1 3 12 31111 6 M78 12000 265*")</f>
        <v>0</v>
      </c>
      <c r="E1364"/>
      <c r="F1364" s="31">
        <f>SUMIFS(F1365:F3130,K1365:K3130,"0",B1365:B3130,"5 1 1 1 3 12 31111 6 M78 12000 265*")</f>
        <v>835219.42</v>
      </c>
      <c r="G1364" s="31">
        <f>SUMIFS(G1365:G3130,K1365:K3130,"0",B1365:B3130,"5 1 1 1 3 12 31111 6 M78 12000 265*")</f>
        <v>0</v>
      </c>
      <c r="H1364" s="31">
        <f t="shared" si="22"/>
        <v>835219.42</v>
      </c>
      <c r="I1364" s="31"/>
      <c r="K1364" t="s">
        <v>13</v>
      </c>
    </row>
    <row r="1365" spans="2:11" ht="13" x14ac:dyDescent="0.15">
      <c r="B1365" s="29" t="s">
        <v>1961</v>
      </c>
      <c r="C1365" s="29" t="s">
        <v>265</v>
      </c>
      <c r="D1365" s="31">
        <f>SUMIFS(D1366:D3130,K1366:K3130,"0",B1366:B3130,"5 1 1 1 3 12 31111 6 M78 12000 265 00C*")-SUMIFS(E1366:E3130,K1366:K3130,"0",B1366:B3130,"5 1 1 1 3 12 31111 6 M78 12000 265 00C*")</f>
        <v>0</v>
      </c>
      <c r="E1365"/>
      <c r="F1365" s="31">
        <f>SUMIFS(F1366:F3130,K1366:K3130,"0",B1366:B3130,"5 1 1 1 3 12 31111 6 M78 12000 265 00C*")</f>
        <v>835219.42</v>
      </c>
      <c r="G1365" s="31">
        <f>SUMIFS(G1366:G3130,K1366:K3130,"0",B1366:B3130,"5 1 1 1 3 12 31111 6 M78 12000 265 00C*")</f>
        <v>0</v>
      </c>
      <c r="H1365" s="31">
        <f t="shared" si="22"/>
        <v>835219.42</v>
      </c>
      <c r="I1365" s="31"/>
      <c r="K1365" t="s">
        <v>13</v>
      </c>
    </row>
    <row r="1366" spans="2:11" ht="13" x14ac:dyDescent="0.15">
      <c r="B1366" s="29" t="s">
        <v>1962</v>
      </c>
      <c r="C1366" s="29" t="s">
        <v>32</v>
      </c>
      <c r="D1366" s="31">
        <f>SUMIFS(D1367:D3130,K1367:K3130,"0",B1367:B3130,"5 1 1 1 3 12 31111 6 M78 12000 265 00C 001*")-SUMIFS(E1367:E3130,K1367:K3130,"0",B1367:B3130,"5 1 1 1 3 12 31111 6 M78 12000 265 00C 001*")</f>
        <v>0</v>
      </c>
      <c r="E1366"/>
      <c r="F1366" s="31">
        <f>SUMIFS(F1367:F3130,K1367:K3130,"0",B1367:B3130,"5 1 1 1 3 12 31111 6 M78 12000 265 00C 001*")</f>
        <v>835219.42</v>
      </c>
      <c r="G1366" s="31">
        <f>SUMIFS(G1367:G3130,K1367:K3130,"0",B1367:B3130,"5 1 1 1 3 12 31111 6 M78 12000 265 00C 001*")</f>
        <v>0</v>
      </c>
      <c r="H1366" s="31">
        <f t="shared" si="22"/>
        <v>835219.42</v>
      </c>
      <c r="I1366" s="31"/>
      <c r="K1366" t="s">
        <v>13</v>
      </c>
    </row>
    <row r="1367" spans="2:11" ht="13" x14ac:dyDescent="0.15">
      <c r="B1367" s="29" t="s">
        <v>1963</v>
      </c>
      <c r="C1367" s="29" t="s">
        <v>1810</v>
      </c>
      <c r="D1367" s="31">
        <f>SUMIFS(D1368:D3130,K1368:K3130,"0",B1368:B3130,"5 1 1 1 3 12 31111 6 M78 12000 265 00C 001 11301*")-SUMIFS(E1368:E3130,K1368:K3130,"0",B1368:B3130,"5 1 1 1 3 12 31111 6 M78 12000 265 00C 001 11301*")</f>
        <v>0</v>
      </c>
      <c r="E1367"/>
      <c r="F1367" s="31">
        <f>SUMIFS(F1368:F3130,K1368:K3130,"0",B1368:B3130,"5 1 1 1 3 12 31111 6 M78 12000 265 00C 001 11301*")</f>
        <v>835219.42</v>
      </c>
      <c r="G1367" s="31">
        <f>SUMIFS(G1368:G3130,K1368:K3130,"0",B1368:B3130,"5 1 1 1 3 12 31111 6 M78 12000 265 00C 001 11301*")</f>
        <v>0</v>
      </c>
      <c r="H1367" s="31">
        <f t="shared" si="22"/>
        <v>835219.42</v>
      </c>
      <c r="I1367" s="31"/>
      <c r="K1367" t="s">
        <v>13</v>
      </c>
    </row>
    <row r="1368" spans="2:11" ht="22" x14ac:dyDescent="0.15">
      <c r="B1368" s="29" t="s">
        <v>1964</v>
      </c>
      <c r="C1368" s="29" t="s">
        <v>271</v>
      </c>
      <c r="D1368" s="31">
        <f>SUMIFS(D1369:D3130,K1369:K3130,"0",B1369:B3130,"5 1 1 1 3 12 31111 6 M78 12000 265 00C 001 11301 015*")-SUMIFS(E1369:E3130,K1369:K3130,"0",B1369:B3130,"5 1 1 1 3 12 31111 6 M78 12000 265 00C 001 11301 015*")</f>
        <v>0</v>
      </c>
      <c r="E1368"/>
      <c r="F1368" s="31">
        <f>SUMIFS(F1369:F3130,K1369:K3130,"0",B1369:B3130,"5 1 1 1 3 12 31111 6 M78 12000 265 00C 001 11301 015*")</f>
        <v>835219.42</v>
      </c>
      <c r="G1368" s="31">
        <f>SUMIFS(G1369:G3130,K1369:K3130,"0",B1369:B3130,"5 1 1 1 3 12 31111 6 M78 12000 265 00C 001 11301 015*")</f>
        <v>0</v>
      </c>
      <c r="H1368" s="31">
        <f t="shared" si="22"/>
        <v>835219.42</v>
      </c>
      <c r="I1368" s="31"/>
      <c r="K1368" t="s">
        <v>13</v>
      </c>
    </row>
    <row r="1369" spans="2:11" ht="22" x14ac:dyDescent="0.15">
      <c r="B1369" s="29" t="s">
        <v>1965</v>
      </c>
      <c r="C1369" s="29" t="s">
        <v>1813</v>
      </c>
      <c r="D1369" s="31">
        <f>SUMIFS(D1370:D3130,K1370:K3130,"0",B1370:B3130,"5 1 1 1 3 12 31111 6 M78 12000 265 00C 001 11301 015 2111100*")-SUMIFS(E1370:E3130,K1370:K3130,"0",B1370:B3130,"5 1 1 1 3 12 31111 6 M78 12000 265 00C 001 11301 015 2111100*")</f>
        <v>0</v>
      </c>
      <c r="E1369"/>
      <c r="F1369" s="31">
        <f>SUMIFS(F1370:F3130,K1370:K3130,"0",B1370:B3130,"5 1 1 1 3 12 31111 6 M78 12000 265 00C 001 11301 015 2111100*")</f>
        <v>835219.42</v>
      </c>
      <c r="G1369" s="31">
        <f>SUMIFS(G1370:G3130,K1370:K3130,"0",B1370:B3130,"5 1 1 1 3 12 31111 6 M78 12000 265 00C 001 11301 015 2111100*")</f>
        <v>0</v>
      </c>
      <c r="H1369" s="31">
        <f t="shared" si="22"/>
        <v>835219.42</v>
      </c>
      <c r="I1369" s="31"/>
      <c r="K1369" t="s">
        <v>13</v>
      </c>
    </row>
    <row r="1370" spans="2:11" ht="22" x14ac:dyDescent="0.15">
      <c r="B1370" s="29" t="s">
        <v>1966</v>
      </c>
      <c r="C1370" s="29" t="s">
        <v>275</v>
      </c>
      <c r="D1370" s="31">
        <f>SUMIFS(D1371:D3130,K1371:K3130,"0",B1371:B3130,"5 1 1 1 3 12 31111 6 M78 12000 265 00C 001 11301 015 2111100 2024*")-SUMIFS(E1371:E3130,K1371:K3130,"0",B1371:B3130,"5 1 1 1 3 12 31111 6 M78 12000 265 00C 001 11301 015 2111100 2024*")</f>
        <v>0</v>
      </c>
      <c r="E1370"/>
      <c r="F1370" s="31">
        <f>SUMIFS(F1371:F3130,K1371:K3130,"0",B1371:B3130,"5 1 1 1 3 12 31111 6 M78 12000 265 00C 001 11301 015 2111100 2024*")</f>
        <v>835219.42</v>
      </c>
      <c r="G1370" s="31">
        <f>SUMIFS(G1371:G3130,K1371:K3130,"0",B1371:B3130,"5 1 1 1 3 12 31111 6 M78 12000 265 00C 001 11301 015 2111100 2024*")</f>
        <v>0</v>
      </c>
      <c r="H1370" s="31">
        <f t="shared" si="22"/>
        <v>835219.42</v>
      </c>
      <c r="I1370" s="31"/>
      <c r="K1370" t="s">
        <v>13</v>
      </c>
    </row>
    <row r="1371" spans="2:11" ht="22" x14ac:dyDescent="0.15">
      <c r="B1371" s="29" t="s">
        <v>1967</v>
      </c>
      <c r="C1371" s="29" t="s">
        <v>277</v>
      </c>
      <c r="D1371" s="31">
        <f>SUMIFS(D1372:D3130,K1372:K3130,"0",B1372:B3130,"5 1 1 1 3 12 31111 6 M78 12000 265 00C 001 11301 015 2111100 2024 00000000*")-SUMIFS(E1372:E3130,K1372:K3130,"0",B1372:B3130,"5 1 1 1 3 12 31111 6 M78 12000 265 00C 001 11301 015 2111100 2024 00000000*")</f>
        <v>0</v>
      </c>
      <c r="E1371"/>
      <c r="F1371" s="31">
        <f>SUMIFS(F1372:F3130,K1372:K3130,"0",B1372:B3130,"5 1 1 1 3 12 31111 6 M78 12000 265 00C 001 11301 015 2111100 2024 00000000*")</f>
        <v>835219.42</v>
      </c>
      <c r="G1371" s="31">
        <f>SUMIFS(G1372:G3130,K1372:K3130,"0",B1372:B3130,"5 1 1 1 3 12 31111 6 M78 12000 265 00C 001 11301 015 2111100 2024 00000000*")</f>
        <v>0</v>
      </c>
      <c r="H1371" s="31">
        <f t="shared" si="22"/>
        <v>835219.42</v>
      </c>
      <c r="I1371" s="31"/>
      <c r="K1371" t="s">
        <v>13</v>
      </c>
    </row>
    <row r="1372" spans="2:11" ht="22" x14ac:dyDescent="0.15">
      <c r="B1372" s="29" t="s">
        <v>1968</v>
      </c>
      <c r="C1372" s="29" t="s">
        <v>32</v>
      </c>
      <c r="D1372" s="31">
        <f>SUMIFS(D1373:D3130,K1373:K3130,"0",B1373:B3130,"5 1 1 1 3 12 31111 6 M78 12000 265 00C 001 11301 015 2111100 2024 00000000 001*")-SUMIFS(E1373:E3130,K1373:K3130,"0",B1373:B3130,"5 1 1 1 3 12 31111 6 M78 12000 265 00C 001 11301 015 2111100 2024 00000000 001*")</f>
        <v>0</v>
      </c>
      <c r="E1372"/>
      <c r="F1372" s="31">
        <f>SUMIFS(F1373:F3130,K1373:K3130,"0",B1373:B3130,"5 1 1 1 3 12 31111 6 M78 12000 265 00C 001 11301 015 2111100 2024 00000000 001*")</f>
        <v>835219.42</v>
      </c>
      <c r="G1372" s="31">
        <f>SUMIFS(G1373:G3130,K1373:K3130,"0",B1373:B3130,"5 1 1 1 3 12 31111 6 M78 12000 265 00C 001 11301 015 2111100 2024 00000000 001*")</f>
        <v>0</v>
      </c>
      <c r="H1372" s="31">
        <f t="shared" si="22"/>
        <v>835219.42</v>
      </c>
      <c r="I1372" s="31"/>
      <c r="K1372" t="s">
        <v>13</v>
      </c>
    </row>
    <row r="1373" spans="2:11" ht="22" x14ac:dyDescent="0.15">
      <c r="B1373" s="29" t="s">
        <v>1969</v>
      </c>
      <c r="C1373" s="29" t="s">
        <v>1970</v>
      </c>
      <c r="D1373" s="31">
        <f>SUMIFS(D1374:D3130,K1374:K3130,"0",B1374:B3130,"5 1 1 1 3 12 31111 6 M78 12000 265 00C 001 11301 015 2111100 2024 00000000 001 001*")-SUMIFS(E1374:E3130,K1374:K3130,"0",B1374:B3130,"5 1 1 1 3 12 31111 6 M78 12000 265 00C 001 11301 015 2111100 2024 00000000 001 001*")</f>
        <v>0</v>
      </c>
      <c r="E1373"/>
      <c r="F1373" s="31">
        <f>SUMIFS(F1374:F3130,K1374:K3130,"0",B1374:B3130,"5 1 1 1 3 12 31111 6 M78 12000 265 00C 001 11301 015 2111100 2024 00000000 001 001*")</f>
        <v>835219.42</v>
      </c>
      <c r="G1373" s="31">
        <f>SUMIFS(G1374:G3130,K1374:K3130,"0",B1374:B3130,"5 1 1 1 3 12 31111 6 M78 12000 265 00C 001 11301 015 2111100 2024 00000000 001 001*")</f>
        <v>0</v>
      </c>
      <c r="H1373" s="31">
        <f t="shared" si="22"/>
        <v>835219.42</v>
      </c>
      <c r="I1373" s="31"/>
      <c r="K1373" t="s">
        <v>13</v>
      </c>
    </row>
    <row r="1374" spans="2:11" ht="22" x14ac:dyDescent="0.15">
      <c r="B1374" s="27" t="s">
        <v>1971</v>
      </c>
      <c r="C1374" s="27" t="s">
        <v>1820</v>
      </c>
      <c r="D1374" s="30">
        <v>0</v>
      </c>
      <c r="E1374" s="30"/>
      <c r="F1374" s="30">
        <v>835219.42</v>
      </c>
      <c r="G1374" s="30">
        <v>0</v>
      </c>
      <c r="H1374" s="30">
        <f t="shared" si="22"/>
        <v>835219.42</v>
      </c>
      <c r="I1374" s="30"/>
      <c r="K1374" t="s">
        <v>37</v>
      </c>
    </row>
    <row r="1375" spans="2:11" ht="13" x14ac:dyDescent="0.15">
      <c r="B1375" s="29" t="s">
        <v>1972</v>
      </c>
      <c r="C1375" s="29" t="s">
        <v>1973</v>
      </c>
      <c r="D1375" s="31">
        <f>SUMIFS(D1376:D3130,K1376:K3130,"0",B1376:B3130,"5 1 1 1 3 12 31111 6 M78 13000*")-SUMIFS(E1376:E3130,K1376:K3130,"0",B1376:B3130,"5 1 1 1 3 12 31111 6 M78 13000*")</f>
        <v>0</v>
      </c>
      <c r="E1375"/>
      <c r="F1375" s="31">
        <f>SUMIFS(F1376:F3130,K1376:K3130,"0",B1376:B3130,"5 1 1 1 3 12 31111 6 M78 13000*")</f>
        <v>149400</v>
      </c>
      <c r="G1375" s="31">
        <f>SUMIFS(G1376:G3130,K1376:K3130,"0",B1376:B3130,"5 1 1 1 3 12 31111 6 M78 13000*")</f>
        <v>0</v>
      </c>
      <c r="H1375" s="31">
        <f t="shared" si="22"/>
        <v>149400</v>
      </c>
      <c r="I1375" s="31"/>
      <c r="K1375" t="s">
        <v>13</v>
      </c>
    </row>
    <row r="1376" spans="2:11" ht="13" x14ac:dyDescent="0.15">
      <c r="B1376" s="29" t="s">
        <v>1974</v>
      </c>
      <c r="C1376" s="29" t="s">
        <v>588</v>
      </c>
      <c r="D1376" s="31">
        <f>SUMIFS(D1377:D3130,K1377:K3130,"0",B1377:B3130,"5 1 1 1 3 12 31111 6 M78 13000 151*")-SUMIFS(E1377:E3130,K1377:K3130,"0",B1377:B3130,"5 1 1 1 3 12 31111 6 M78 13000 151*")</f>
        <v>0</v>
      </c>
      <c r="E1376"/>
      <c r="F1376" s="31">
        <f>SUMIFS(F1377:F3130,K1377:K3130,"0",B1377:B3130,"5 1 1 1 3 12 31111 6 M78 13000 151*")</f>
        <v>149400</v>
      </c>
      <c r="G1376" s="31">
        <f>SUMIFS(G1377:G3130,K1377:K3130,"0",B1377:B3130,"5 1 1 1 3 12 31111 6 M78 13000 151*")</f>
        <v>0</v>
      </c>
      <c r="H1376" s="31">
        <f t="shared" si="22"/>
        <v>149400</v>
      </c>
      <c r="I1376" s="31"/>
      <c r="K1376" t="s">
        <v>13</v>
      </c>
    </row>
    <row r="1377" spans="2:11" ht="13" x14ac:dyDescent="0.15">
      <c r="B1377" s="29" t="s">
        <v>1975</v>
      </c>
      <c r="C1377" s="29" t="s">
        <v>265</v>
      </c>
      <c r="D1377" s="31">
        <f>SUMIFS(D1378:D3130,K1378:K3130,"0",B1378:B3130,"5 1 1 1 3 12 31111 6 M78 13000 151 00C*")-SUMIFS(E1378:E3130,K1378:K3130,"0",B1378:B3130,"5 1 1 1 3 12 31111 6 M78 13000 151 00C*")</f>
        <v>0</v>
      </c>
      <c r="E1377"/>
      <c r="F1377" s="31">
        <f>SUMIFS(F1378:F3130,K1378:K3130,"0",B1378:B3130,"5 1 1 1 3 12 31111 6 M78 13000 151 00C*")</f>
        <v>149400</v>
      </c>
      <c r="G1377" s="31">
        <f>SUMIFS(G1378:G3130,K1378:K3130,"0",B1378:B3130,"5 1 1 1 3 12 31111 6 M78 13000 151 00C*")</f>
        <v>0</v>
      </c>
      <c r="H1377" s="31">
        <f t="shared" si="22"/>
        <v>149400</v>
      </c>
      <c r="I1377" s="31"/>
      <c r="K1377" t="s">
        <v>13</v>
      </c>
    </row>
    <row r="1378" spans="2:11" ht="13" x14ac:dyDescent="0.15">
      <c r="B1378" s="29" t="s">
        <v>1976</v>
      </c>
      <c r="C1378" s="29" t="s">
        <v>32</v>
      </c>
      <c r="D1378" s="31">
        <f>SUMIFS(D1379:D3130,K1379:K3130,"0",B1379:B3130,"5 1 1 1 3 12 31111 6 M78 13000 151 00C 001*")-SUMIFS(E1379:E3130,K1379:K3130,"0",B1379:B3130,"5 1 1 1 3 12 31111 6 M78 13000 151 00C 001*")</f>
        <v>0</v>
      </c>
      <c r="E1378"/>
      <c r="F1378" s="31">
        <f>SUMIFS(F1379:F3130,K1379:K3130,"0",B1379:B3130,"5 1 1 1 3 12 31111 6 M78 13000 151 00C 001*")</f>
        <v>149400</v>
      </c>
      <c r="G1378" s="31">
        <f>SUMIFS(G1379:G3130,K1379:K3130,"0",B1379:B3130,"5 1 1 1 3 12 31111 6 M78 13000 151 00C 001*")</f>
        <v>0</v>
      </c>
      <c r="H1378" s="31">
        <f t="shared" si="22"/>
        <v>149400</v>
      </c>
      <c r="I1378" s="31"/>
      <c r="K1378" t="s">
        <v>13</v>
      </c>
    </row>
    <row r="1379" spans="2:11" ht="13" x14ac:dyDescent="0.15">
      <c r="B1379" s="29" t="s">
        <v>1977</v>
      </c>
      <c r="C1379" s="29" t="s">
        <v>1810</v>
      </c>
      <c r="D1379" s="31">
        <f>SUMIFS(D1380:D3130,K1380:K3130,"0",B1380:B3130,"5 1 1 1 3 12 31111 6 M78 13000 151 00C 001 11301*")-SUMIFS(E1380:E3130,K1380:K3130,"0",B1380:B3130,"5 1 1 1 3 12 31111 6 M78 13000 151 00C 001 11301*")</f>
        <v>0</v>
      </c>
      <c r="E1379"/>
      <c r="F1379" s="31">
        <f>SUMIFS(F1380:F3130,K1380:K3130,"0",B1380:B3130,"5 1 1 1 3 12 31111 6 M78 13000 151 00C 001 11301*")</f>
        <v>149400</v>
      </c>
      <c r="G1379" s="31">
        <f>SUMIFS(G1380:G3130,K1380:K3130,"0",B1380:B3130,"5 1 1 1 3 12 31111 6 M78 13000 151 00C 001 11301*")</f>
        <v>0</v>
      </c>
      <c r="H1379" s="31">
        <f t="shared" si="22"/>
        <v>149400</v>
      </c>
      <c r="I1379" s="31"/>
      <c r="K1379" t="s">
        <v>13</v>
      </c>
    </row>
    <row r="1380" spans="2:11" ht="22" x14ac:dyDescent="0.15">
      <c r="B1380" s="29" t="s">
        <v>1978</v>
      </c>
      <c r="C1380" s="29" t="s">
        <v>271</v>
      </c>
      <c r="D1380" s="31">
        <f>SUMIFS(D1381:D3130,K1381:K3130,"0",B1381:B3130,"5 1 1 1 3 12 31111 6 M78 13000 151 00C 001 11301 015*")-SUMIFS(E1381:E3130,K1381:K3130,"0",B1381:B3130,"5 1 1 1 3 12 31111 6 M78 13000 151 00C 001 11301 015*")</f>
        <v>0</v>
      </c>
      <c r="E1380"/>
      <c r="F1380" s="31">
        <f>SUMIFS(F1381:F3130,K1381:K3130,"0",B1381:B3130,"5 1 1 1 3 12 31111 6 M78 13000 151 00C 001 11301 015*")</f>
        <v>149400</v>
      </c>
      <c r="G1380" s="31">
        <f>SUMIFS(G1381:G3130,K1381:K3130,"0",B1381:B3130,"5 1 1 1 3 12 31111 6 M78 13000 151 00C 001 11301 015*")</f>
        <v>0</v>
      </c>
      <c r="H1380" s="31">
        <f t="shared" si="22"/>
        <v>149400</v>
      </c>
      <c r="I1380" s="31"/>
      <c r="K1380" t="s">
        <v>13</v>
      </c>
    </row>
    <row r="1381" spans="2:11" ht="22" x14ac:dyDescent="0.15">
      <c r="B1381" s="29" t="s">
        <v>1979</v>
      </c>
      <c r="C1381" s="29" t="s">
        <v>1813</v>
      </c>
      <c r="D1381" s="31">
        <f>SUMIFS(D1382:D3130,K1382:K3130,"0",B1382:B3130,"5 1 1 1 3 12 31111 6 M78 13000 151 00C 001 11301 015 2111100*")-SUMIFS(E1382:E3130,K1382:K3130,"0",B1382:B3130,"5 1 1 1 3 12 31111 6 M78 13000 151 00C 001 11301 015 2111100*")</f>
        <v>0</v>
      </c>
      <c r="E1381"/>
      <c r="F1381" s="31">
        <f>SUMIFS(F1382:F3130,K1382:K3130,"0",B1382:B3130,"5 1 1 1 3 12 31111 6 M78 13000 151 00C 001 11301 015 2111100*")</f>
        <v>149400</v>
      </c>
      <c r="G1381" s="31">
        <f>SUMIFS(G1382:G3130,K1382:K3130,"0",B1382:B3130,"5 1 1 1 3 12 31111 6 M78 13000 151 00C 001 11301 015 2111100*")</f>
        <v>0</v>
      </c>
      <c r="H1381" s="31">
        <f t="shared" si="22"/>
        <v>149400</v>
      </c>
      <c r="I1381" s="31"/>
      <c r="K1381" t="s">
        <v>13</v>
      </c>
    </row>
    <row r="1382" spans="2:11" ht="22" x14ac:dyDescent="0.15">
      <c r="B1382" s="29" t="s">
        <v>1980</v>
      </c>
      <c r="C1382" s="29" t="s">
        <v>275</v>
      </c>
      <c r="D1382" s="31">
        <f>SUMIFS(D1383:D3130,K1383:K3130,"0",B1383:B3130,"5 1 1 1 3 12 31111 6 M78 13000 151 00C 001 11301 015 2111100 2024*")-SUMIFS(E1383:E3130,K1383:K3130,"0",B1383:B3130,"5 1 1 1 3 12 31111 6 M78 13000 151 00C 001 11301 015 2111100 2024*")</f>
        <v>0</v>
      </c>
      <c r="E1382"/>
      <c r="F1382" s="31">
        <f>SUMIFS(F1383:F3130,K1383:K3130,"0",B1383:B3130,"5 1 1 1 3 12 31111 6 M78 13000 151 00C 001 11301 015 2111100 2024*")</f>
        <v>149400</v>
      </c>
      <c r="G1382" s="31">
        <f>SUMIFS(G1383:G3130,K1383:K3130,"0",B1383:B3130,"5 1 1 1 3 12 31111 6 M78 13000 151 00C 001 11301 015 2111100 2024*")</f>
        <v>0</v>
      </c>
      <c r="H1382" s="31">
        <f t="shared" si="22"/>
        <v>149400</v>
      </c>
      <c r="I1382" s="31"/>
      <c r="K1382" t="s">
        <v>13</v>
      </c>
    </row>
    <row r="1383" spans="2:11" ht="22" x14ac:dyDescent="0.15">
      <c r="B1383" s="29" t="s">
        <v>1981</v>
      </c>
      <c r="C1383" s="29" t="s">
        <v>277</v>
      </c>
      <c r="D1383" s="31">
        <f>SUMIFS(D1384:D3130,K1384:K3130,"0",B1384:B3130,"5 1 1 1 3 12 31111 6 M78 13000 151 00C 001 11301 015 2111100 2024 00000000*")-SUMIFS(E1384:E3130,K1384:K3130,"0",B1384:B3130,"5 1 1 1 3 12 31111 6 M78 13000 151 00C 001 11301 015 2111100 2024 00000000*")</f>
        <v>0</v>
      </c>
      <c r="E1383"/>
      <c r="F1383" s="31">
        <f>SUMIFS(F1384:F3130,K1384:K3130,"0",B1384:B3130,"5 1 1 1 3 12 31111 6 M78 13000 151 00C 001 11301 015 2111100 2024 00000000*")</f>
        <v>149400</v>
      </c>
      <c r="G1383" s="31">
        <f>SUMIFS(G1384:G3130,K1384:K3130,"0",B1384:B3130,"5 1 1 1 3 12 31111 6 M78 13000 151 00C 001 11301 015 2111100 2024 00000000*")</f>
        <v>0</v>
      </c>
      <c r="H1383" s="31">
        <f t="shared" si="22"/>
        <v>149400</v>
      </c>
      <c r="I1383" s="31"/>
      <c r="K1383" t="s">
        <v>13</v>
      </c>
    </row>
    <row r="1384" spans="2:11" ht="22" x14ac:dyDescent="0.15">
      <c r="B1384" s="29" t="s">
        <v>1982</v>
      </c>
      <c r="C1384" s="29" t="s">
        <v>32</v>
      </c>
      <c r="D1384" s="31">
        <f>SUMIFS(D1385:D3130,K1385:K3130,"0",B1385:B3130,"5 1 1 1 3 12 31111 6 M78 13000 151 00C 001 11301 015 2111100 2024 00000000 001*")-SUMIFS(E1385:E3130,K1385:K3130,"0",B1385:B3130,"5 1 1 1 3 12 31111 6 M78 13000 151 00C 001 11301 015 2111100 2024 00000000 001*")</f>
        <v>0</v>
      </c>
      <c r="E1384"/>
      <c r="F1384" s="31">
        <f>SUMIFS(F1385:F3130,K1385:K3130,"0",B1385:B3130,"5 1 1 1 3 12 31111 6 M78 13000 151 00C 001 11301 015 2111100 2024 00000000 001*")</f>
        <v>149400</v>
      </c>
      <c r="G1384" s="31">
        <f>SUMIFS(G1385:G3130,K1385:K3130,"0",B1385:B3130,"5 1 1 1 3 12 31111 6 M78 13000 151 00C 001 11301 015 2111100 2024 00000000 001*")</f>
        <v>0</v>
      </c>
      <c r="H1384" s="31">
        <f t="shared" si="22"/>
        <v>149400</v>
      </c>
      <c r="I1384" s="31"/>
      <c r="K1384" t="s">
        <v>13</v>
      </c>
    </row>
    <row r="1385" spans="2:11" ht="22" x14ac:dyDescent="0.15">
      <c r="B1385" s="29" t="s">
        <v>1983</v>
      </c>
      <c r="C1385" s="29" t="s">
        <v>1984</v>
      </c>
      <c r="D1385" s="31">
        <f>SUMIFS(D1386:D3130,K1386:K3130,"0",B1386:B3130,"5 1 1 1 3 12 31111 6 M78 13000 151 00C 001 11301 015 2111100 2024 00000000 001 001*")-SUMIFS(E1386:E3130,K1386:K3130,"0",B1386:B3130,"5 1 1 1 3 12 31111 6 M78 13000 151 00C 001 11301 015 2111100 2024 00000000 001 001*")</f>
        <v>0</v>
      </c>
      <c r="E1385"/>
      <c r="F1385" s="31">
        <f>SUMIFS(F1386:F3130,K1386:K3130,"0",B1386:B3130,"5 1 1 1 3 12 31111 6 M78 13000 151 00C 001 11301 015 2111100 2024 00000000 001 001*")</f>
        <v>149400</v>
      </c>
      <c r="G1385" s="31">
        <f>SUMIFS(G1386:G3130,K1386:K3130,"0",B1386:B3130,"5 1 1 1 3 12 31111 6 M78 13000 151 00C 001 11301 015 2111100 2024 00000000 001 001*")</f>
        <v>0</v>
      </c>
      <c r="H1385" s="31">
        <f t="shared" si="22"/>
        <v>149400</v>
      </c>
      <c r="I1385" s="31"/>
      <c r="K1385" t="s">
        <v>13</v>
      </c>
    </row>
    <row r="1386" spans="2:11" ht="22" x14ac:dyDescent="0.15">
      <c r="B1386" s="27" t="s">
        <v>1985</v>
      </c>
      <c r="C1386" s="27" t="s">
        <v>1820</v>
      </c>
      <c r="D1386" s="30">
        <v>0</v>
      </c>
      <c r="E1386" s="30"/>
      <c r="F1386" s="30">
        <v>149400</v>
      </c>
      <c r="G1386" s="30">
        <v>0</v>
      </c>
      <c r="H1386" s="30">
        <f t="shared" si="22"/>
        <v>149400</v>
      </c>
      <c r="I1386" s="30"/>
      <c r="K1386" t="s">
        <v>37</v>
      </c>
    </row>
    <row r="1387" spans="2:11" ht="13" x14ac:dyDescent="0.15">
      <c r="B1387" s="29" t="s">
        <v>1986</v>
      </c>
      <c r="C1387" s="29" t="s">
        <v>1987</v>
      </c>
      <c r="D1387" s="31">
        <f>SUMIFS(D1388:D3130,K1388:K3130,"0",B1388:B3130,"5 1 1 1 3 12 31111 6 M78 14000*")-SUMIFS(E1388:E3130,K1388:K3130,"0",B1388:B3130,"5 1 1 1 3 12 31111 6 M78 14000*")</f>
        <v>0</v>
      </c>
      <c r="E1387"/>
      <c r="F1387" s="31">
        <f>SUMIFS(F1388:F3130,K1388:K3130,"0",B1388:B3130,"5 1 1 1 3 12 31111 6 M78 14000*")</f>
        <v>445571.9</v>
      </c>
      <c r="G1387" s="31">
        <f>SUMIFS(G1388:G3130,K1388:K3130,"0",B1388:B3130,"5 1 1 1 3 12 31111 6 M78 14000*")</f>
        <v>0</v>
      </c>
      <c r="H1387" s="31">
        <f t="shared" si="22"/>
        <v>445571.9</v>
      </c>
      <c r="I1387" s="31"/>
      <c r="K1387" t="s">
        <v>13</v>
      </c>
    </row>
    <row r="1388" spans="2:11" ht="13" x14ac:dyDescent="0.15">
      <c r="B1388" s="29" t="s">
        <v>1988</v>
      </c>
      <c r="C1388" s="29" t="s">
        <v>1989</v>
      </c>
      <c r="D1388" s="31">
        <f>SUMIFS(D1389:D3130,K1389:K3130,"0",B1389:B3130,"5 1 1 1 3 12 31111 6 M78 14000 211*")-SUMIFS(E1389:E3130,K1389:K3130,"0",B1389:B3130,"5 1 1 1 3 12 31111 6 M78 14000 211*")</f>
        <v>0</v>
      </c>
      <c r="E1388"/>
      <c r="F1388" s="31">
        <f>SUMIFS(F1389:F3130,K1389:K3130,"0",B1389:B3130,"5 1 1 1 3 12 31111 6 M78 14000 211*")</f>
        <v>445571.9</v>
      </c>
      <c r="G1388" s="31">
        <f>SUMIFS(G1389:G3130,K1389:K3130,"0",B1389:B3130,"5 1 1 1 3 12 31111 6 M78 14000 211*")</f>
        <v>0</v>
      </c>
      <c r="H1388" s="31">
        <f t="shared" si="22"/>
        <v>445571.9</v>
      </c>
      <c r="I1388" s="31"/>
      <c r="K1388" t="s">
        <v>13</v>
      </c>
    </row>
    <row r="1389" spans="2:11" ht="13" x14ac:dyDescent="0.15">
      <c r="B1389" s="29" t="s">
        <v>1990</v>
      </c>
      <c r="C1389" s="29" t="s">
        <v>265</v>
      </c>
      <c r="D1389" s="31">
        <f>SUMIFS(D1390:D3130,K1390:K3130,"0",B1390:B3130,"5 1 1 1 3 12 31111 6 M78 14000 211 00C*")-SUMIFS(E1390:E3130,K1390:K3130,"0",B1390:B3130,"5 1 1 1 3 12 31111 6 M78 14000 211 00C*")</f>
        <v>0</v>
      </c>
      <c r="E1389"/>
      <c r="F1389" s="31">
        <f>SUMIFS(F1390:F3130,K1390:K3130,"0",B1390:B3130,"5 1 1 1 3 12 31111 6 M78 14000 211 00C*")</f>
        <v>445571.9</v>
      </c>
      <c r="G1389" s="31">
        <f>SUMIFS(G1390:G3130,K1390:K3130,"0",B1390:B3130,"5 1 1 1 3 12 31111 6 M78 14000 211 00C*")</f>
        <v>0</v>
      </c>
      <c r="H1389" s="31">
        <f t="shared" si="22"/>
        <v>445571.9</v>
      </c>
      <c r="I1389" s="31"/>
      <c r="K1389" t="s">
        <v>13</v>
      </c>
    </row>
    <row r="1390" spans="2:11" ht="13" x14ac:dyDescent="0.15">
      <c r="B1390" s="29" t="s">
        <v>1991</v>
      </c>
      <c r="C1390" s="29" t="s">
        <v>32</v>
      </c>
      <c r="D1390" s="31">
        <f>SUMIFS(D1391:D3130,K1391:K3130,"0",B1391:B3130,"5 1 1 1 3 12 31111 6 M78 14000 211 00C 001*")-SUMIFS(E1391:E3130,K1391:K3130,"0",B1391:B3130,"5 1 1 1 3 12 31111 6 M78 14000 211 00C 001*")</f>
        <v>0</v>
      </c>
      <c r="E1390"/>
      <c r="F1390" s="31">
        <f>SUMIFS(F1391:F3130,K1391:K3130,"0",B1391:B3130,"5 1 1 1 3 12 31111 6 M78 14000 211 00C 001*")</f>
        <v>445571.9</v>
      </c>
      <c r="G1390" s="31">
        <f>SUMIFS(G1391:G3130,K1391:K3130,"0",B1391:B3130,"5 1 1 1 3 12 31111 6 M78 14000 211 00C 001*")</f>
        <v>0</v>
      </c>
      <c r="H1390" s="31">
        <f t="shared" si="22"/>
        <v>445571.9</v>
      </c>
      <c r="I1390" s="31"/>
      <c r="K1390" t="s">
        <v>13</v>
      </c>
    </row>
    <row r="1391" spans="2:11" ht="13" x14ac:dyDescent="0.15">
      <c r="B1391" s="29" t="s">
        <v>1992</v>
      </c>
      <c r="C1391" s="29" t="s">
        <v>1810</v>
      </c>
      <c r="D1391" s="31">
        <f>SUMIFS(D1392:D3130,K1392:K3130,"0",B1392:B3130,"5 1 1 1 3 12 31111 6 M78 14000 211 00C 001 11301*")-SUMIFS(E1392:E3130,K1392:K3130,"0",B1392:B3130,"5 1 1 1 3 12 31111 6 M78 14000 211 00C 001 11301*")</f>
        <v>0</v>
      </c>
      <c r="E1391"/>
      <c r="F1391" s="31">
        <f>SUMIFS(F1392:F3130,K1392:K3130,"0",B1392:B3130,"5 1 1 1 3 12 31111 6 M78 14000 211 00C 001 11301*")</f>
        <v>445571.9</v>
      </c>
      <c r="G1391" s="31">
        <f>SUMIFS(G1392:G3130,K1392:K3130,"0",B1392:B3130,"5 1 1 1 3 12 31111 6 M78 14000 211 00C 001 11301*")</f>
        <v>0</v>
      </c>
      <c r="H1391" s="31">
        <f t="shared" si="22"/>
        <v>445571.9</v>
      </c>
      <c r="I1391" s="31"/>
      <c r="K1391" t="s">
        <v>13</v>
      </c>
    </row>
    <row r="1392" spans="2:11" ht="22" x14ac:dyDescent="0.15">
      <c r="B1392" s="29" t="s">
        <v>1993</v>
      </c>
      <c r="C1392" s="29" t="s">
        <v>271</v>
      </c>
      <c r="D1392" s="31">
        <f>SUMIFS(D1393:D3130,K1393:K3130,"0",B1393:B3130,"5 1 1 1 3 12 31111 6 M78 14000 211 00C 001 11301 015*")-SUMIFS(E1393:E3130,K1393:K3130,"0",B1393:B3130,"5 1 1 1 3 12 31111 6 M78 14000 211 00C 001 11301 015*")</f>
        <v>0</v>
      </c>
      <c r="E1392"/>
      <c r="F1392" s="31">
        <f>SUMIFS(F1393:F3130,K1393:K3130,"0",B1393:B3130,"5 1 1 1 3 12 31111 6 M78 14000 211 00C 001 11301 015*")</f>
        <v>445571.9</v>
      </c>
      <c r="G1392" s="31">
        <f>SUMIFS(G1393:G3130,K1393:K3130,"0",B1393:B3130,"5 1 1 1 3 12 31111 6 M78 14000 211 00C 001 11301 015*")</f>
        <v>0</v>
      </c>
      <c r="H1392" s="31">
        <f t="shared" si="22"/>
        <v>445571.9</v>
      </c>
      <c r="I1392" s="31"/>
      <c r="K1392" t="s">
        <v>13</v>
      </c>
    </row>
    <row r="1393" spans="2:11" ht="22" x14ac:dyDescent="0.15">
      <c r="B1393" s="29" t="s">
        <v>1994</v>
      </c>
      <c r="C1393" s="29" t="s">
        <v>1813</v>
      </c>
      <c r="D1393" s="31">
        <f>SUMIFS(D1394:D3130,K1394:K3130,"0",B1394:B3130,"5 1 1 1 3 12 31111 6 M78 14000 211 00C 001 11301 015 2111100*")-SUMIFS(E1394:E3130,K1394:K3130,"0",B1394:B3130,"5 1 1 1 3 12 31111 6 M78 14000 211 00C 001 11301 015 2111100*")</f>
        <v>0</v>
      </c>
      <c r="E1393"/>
      <c r="F1393" s="31">
        <f>SUMIFS(F1394:F3130,K1394:K3130,"0",B1394:B3130,"5 1 1 1 3 12 31111 6 M78 14000 211 00C 001 11301 015 2111100*")</f>
        <v>445571.9</v>
      </c>
      <c r="G1393" s="31">
        <f>SUMIFS(G1394:G3130,K1394:K3130,"0",B1394:B3130,"5 1 1 1 3 12 31111 6 M78 14000 211 00C 001 11301 015 2111100*")</f>
        <v>0</v>
      </c>
      <c r="H1393" s="31">
        <f t="shared" si="22"/>
        <v>445571.9</v>
      </c>
      <c r="I1393" s="31"/>
      <c r="K1393" t="s">
        <v>13</v>
      </c>
    </row>
    <row r="1394" spans="2:11" ht="22" x14ac:dyDescent="0.15">
      <c r="B1394" s="29" t="s">
        <v>1995</v>
      </c>
      <c r="C1394" s="29" t="s">
        <v>275</v>
      </c>
      <c r="D1394" s="31">
        <f>SUMIFS(D1395:D3130,K1395:K3130,"0",B1395:B3130,"5 1 1 1 3 12 31111 6 M78 14000 211 00C 001 11301 015 2111100 2024*")-SUMIFS(E1395:E3130,K1395:K3130,"0",B1395:B3130,"5 1 1 1 3 12 31111 6 M78 14000 211 00C 001 11301 015 2111100 2024*")</f>
        <v>0</v>
      </c>
      <c r="E1394"/>
      <c r="F1394" s="31">
        <f>SUMIFS(F1395:F3130,K1395:K3130,"0",B1395:B3130,"5 1 1 1 3 12 31111 6 M78 14000 211 00C 001 11301 015 2111100 2024*")</f>
        <v>445571.9</v>
      </c>
      <c r="G1394" s="31">
        <f>SUMIFS(G1395:G3130,K1395:K3130,"0",B1395:B3130,"5 1 1 1 3 12 31111 6 M78 14000 211 00C 001 11301 015 2111100 2024*")</f>
        <v>0</v>
      </c>
      <c r="H1394" s="31">
        <f t="shared" si="22"/>
        <v>445571.9</v>
      </c>
      <c r="I1394" s="31"/>
      <c r="K1394" t="s">
        <v>13</v>
      </c>
    </row>
    <row r="1395" spans="2:11" ht="22" x14ac:dyDescent="0.15">
      <c r="B1395" s="29" t="s">
        <v>1996</v>
      </c>
      <c r="C1395" s="29" t="s">
        <v>277</v>
      </c>
      <c r="D1395" s="31">
        <f>SUMIFS(D1396:D3130,K1396:K3130,"0",B1396:B3130,"5 1 1 1 3 12 31111 6 M78 14000 211 00C 001 11301 015 2111100 2024 00000000*")-SUMIFS(E1396:E3130,K1396:K3130,"0",B1396:B3130,"5 1 1 1 3 12 31111 6 M78 14000 211 00C 001 11301 015 2111100 2024 00000000*")</f>
        <v>0</v>
      </c>
      <c r="E1395"/>
      <c r="F1395" s="31">
        <f>SUMIFS(F1396:F3130,K1396:K3130,"0",B1396:B3130,"5 1 1 1 3 12 31111 6 M78 14000 211 00C 001 11301 015 2111100 2024 00000000*")</f>
        <v>445571.9</v>
      </c>
      <c r="G1395" s="31">
        <f>SUMIFS(G1396:G3130,K1396:K3130,"0",B1396:B3130,"5 1 1 1 3 12 31111 6 M78 14000 211 00C 001 11301 015 2111100 2024 00000000*")</f>
        <v>0</v>
      </c>
      <c r="H1395" s="31">
        <f t="shared" si="22"/>
        <v>445571.9</v>
      </c>
      <c r="I1395" s="31"/>
      <c r="K1395" t="s">
        <v>13</v>
      </c>
    </row>
    <row r="1396" spans="2:11" ht="22" x14ac:dyDescent="0.15">
      <c r="B1396" s="29" t="s">
        <v>1997</v>
      </c>
      <c r="C1396" s="29" t="s">
        <v>32</v>
      </c>
      <c r="D1396" s="31">
        <f>SUMIFS(D1397:D3130,K1397:K3130,"0",B1397:B3130,"5 1 1 1 3 12 31111 6 M78 14000 211 00C 001 11301 015 2111100 2024 00000000 001*")-SUMIFS(E1397:E3130,K1397:K3130,"0",B1397:B3130,"5 1 1 1 3 12 31111 6 M78 14000 211 00C 001 11301 015 2111100 2024 00000000 001*")</f>
        <v>0</v>
      </c>
      <c r="E1396"/>
      <c r="F1396" s="31">
        <f>SUMIFS(F1397:F3130,K1397:K3130,"0",B1397:B3130,"5 1 1 1 3 12 31111 6 M78 14000 211 00C 001 11301 015 2111100 2024 00000000 001*")</f>
        <v>445571.9</v>
      </c>
      <c r="G1396" s="31">
        <f>SUMIFS(G1397:G3130,K1397:K3130,"0",B1397:B3130,"5 1 1 1 3 12 31111 6 M78 14000 211 00C 001 11301 015 2111100 2024 00000000 001*")</f>
        <v>0</v>
      </c>
      <c r="H1396" s="31">
        <f t="shared" si="22"/>
        <v>445571.9</v>
      </c>
      <c r="I1396" s="31"/>
      <c r="K1396" t="s">
        <v>13</v>
      </c>
    </row>
    <row r="1397" spans="2:11" ht="22" x14ac:dyDescent="0.15">
      <c r="B1397" s="29" t="s">
        <v>1998</v>
      </c>
      <c r="C1397" s="29" t="s">
        <v>1999</v>
      </c>
      <c r="D1397" s="31">
        <f>SUMIFS(D1398:D3130,K1398:K3130,"0",B1398:B3130,"5 1 1 1 3 12 31111 6 M78 14000 211 00C 001 11301 015 2111100 2024 00000000 001 001*")-SUMIFS(E1398:E3130,K1398:K3130,"0",B1398:B3130,"5 1 1 1 3 12 31111 6 M78 14000 211 00C 001 11301 015 2111100 2024 00000000 001 001*")</f>
        <v>0</v>
      </c>
      <c r="E1397"/>
      <c r="F1397" s="31">
        <f>SUMIFS(F1398:F3130,K1398:K3130,"0",B1398:B3130,"5 1 1 1 3 12 31111 6 M78 14000 211 00C 001 11301 015 2111100 2024 00000000 001 001*")</f>
        <v>445571.9</v>
      </c>
      <c r="G1397" s="31">
        <f>SUMIFS(G1398:G3130,K1398:K3130,"0",B1398:B3130,"5 1 1 1 3 12 31111 6 M78 14000 211 00C 001 11301 015 2111100 2024 00000000 001 001*")</f>
        <v>0</v>
      </c>
      <c r="H1397" s="31">
        <f t="shared" si="22"/>
        <v>445571.9</v>
      </c>
      <c r="I1397" s="31"/>
      <c r="K1397" t="s">
        <v>13</v>
      </c>
    </row>
    <row r="1398" spans="2:11" ht="22" x14ac:dyDescent="0.15">
      <c r="B1398" s="27" t="s">
        <v>2000</v>
      </c>
      <c r="C1398" s="27" t="s">
        <v>1820</v>
      </c>
      <c r="D1398" s="30">
        <v>0</v>
      </c>
      <c r="E1398" s="30"/>
      <c r="F1398" s="30">
        <v>445571.9</v>
      </c>
      <c r="G1398" s="30">
        <v>0</v>
      </c>
      <c r="H1398" s="30">
        <f t="shared" si="22"/>
        <v>445571.9</v>
      </c>
      <c r="I1398" s="30"/>
      <c r="K1398" t="s">
        <v>37</v>
      </c>
    </row>
    <row r="1399" spans="2:11" ht="13" x14ac:dyDescent="0.15">
      <c r="B1399" s="29" t="s">
        <v>2001</v>
      </c>
      <c r="C1399" s="29" t="s">
        <v>833</v>
      </c>
      <c r="D1399" s="31">
        <f>SUMIFS(D1400:D3130,K1400:K3130,"0",B1400:B3130,"5 1 1 1 3 12 31111 6 M78 15000*")-SUMIFS(E1400:E3130,K1400:K3130,"0",B1400:B3130,"5 1 1 1 3 12 31111 6 M78 15000*")</f>
        <v>0</v>
      </c>
      <c r="E1399"/>
      <c r="F1399" s="31">
        <f>SUMIFS(F1400:F3130,K1400:K3130,"0",B1400:B3130,"5 1 1 1 3 12 31111 6 M78 15000*")</f>
        <v>1983113.18</v>
      </c>
      <c r="G1399" s="31">
        <f>SUMIFS(G1400:G3130,K1400:K3130,"0",B1400:B3130,"5 1 1 1 3 12 31111 6 M78 15000*")</f>
        <v>0</v>
      </c>
      <c r="H1399" s="31">
        <f t="shared" si="22"/>
        <v>1983113.18</v>
      </c>
      <c r="I1399" s="31"/>
      <c r="K1399" t="s">
        <v>13</v>
      </c>
    </row>
    <row r="1400" spans="2:11" ht="13" x14ac:dyDescent="0.15">
      <c r="B1400" s="29" t="s">
        <v>2002</v>
      </c>
      <c r="C1400" s="29" t="s">
        <v>835</v>
      </c>
      <c r="D1400" s="31">
        <f>SUMIFS(D1401:D3130,K1401:K3130,"0",B1401:B3130,"5 1 1 1 3 12 31111 6 M78 15000 171*")-SUMIFS(E1401:E3130,K1401:K3130,"0",B1401:B3130,"5 1 1 1 3 12 31111 6 M78 15000 171*")</f>
        <v>0</v>
      </c>
      <c r="E1400"/>
      <c r="F1400" s="31">
        <f>SUMIFS(F1401:F3130,K1401:K3130,"0",B1401:B3130,"5 1 1 1 3 12 31111 6 M78 15000 171*")</f>
        <v>1983113.18</v>
      </c>
      <c r="G1400" s="31">
        <f>SUMIFS(G1401:G3130,K1401:K3130,"0",B1401:B3130,"5 1 1 1 3 12 31111 6 M78 15000 171*")</f>
        <v>0</v>
      </c>
      <c r="H1400" s="31">
        <f t="shared" si="22"/>
        <v>1983113.18</v>
      </c>
      <c r="I1400" s="31"/>
      <c r="K1400" t="s">
        <v>13</v>
      </c>
    </row>
    <row r="1401" spans="2:11" ht="13" x14ac:dyDescent="0.15">
      <c r="B1401" s="29" t="s">
        <v>2003</v>
      </c>
      <c r="C1401" s="29" t="s">
        <v>285</v>
      </c>
      <c r="D1401" s="31">
        <f>SUMIFS(D1402:D3130,K1402:K3130,"0",B1402:B3130,"5 1 1 1 3 12 31111 6 M78 15000 171 00I*")-SUMIFS(E1402:E3130,K1402:K3130,"0",B1402:B3130,"5 1 1 1 3 12 31111 6 M78 15000 171 00I*")</f>
        <v>0</v>
      </c>
      <c r="E1401"/>
      <c r="F1401" s="31">
        <f>SUMIFS(F1402:F3130,K1402:K3130,"0",B1402:B3130,"5 1 1 1 3 12 31111 6 M78 15000 171 00I*")</f>
        <v>1983113.18</v>
      </c>
      <c r="G1401" s="31">
        <f>SUMIFS(G1402:G3130,K1402:K3130,"0",B1402:B3130,"5 1 1 1 3 12 31111 6 M78 15000 171 00I*")</f>
        <v>0</v>
      </c>
      <c r="H1401" s="31">
        <f t="shared" si="22"/>
        <v>1983113.18</v>
      </c>
      <c r="I1401" s="31"/>
      <c r="K1401" t="s">
        <v>13</v>
      </c>
    </row>
    <row r="1402" spans="2:11" ht="13" x14ac:dyDescent="0.15">
      <c r="B1402" s="29" t="s">
        <v>2004</v>
      </c>
      <c r="C1402" s="29" t="s">
        <v>32</v>
      </c>
      <c r="D1402" s="31">
        <f>SUMIFS(D1403:D3130,K1403:K3130,"0",B1403:B3130,"5 1 1 1 3 12 31111 6 M78 15000 171 00I 001*")-SUMIFS(E1403:E3130,K1403:K3130,"0",B1403:B3130,"5 1 1 1 3 12 31111 6 M78 15000 171 00I 001*")</f>
        <v>0</v>
      </c>
      <c r="E1402"/>
      <c r="F1402" s="31">
        <f>SUMIFS(F1403:F3130,K1403:K3130,"0",B1403:B3130,"5 1 1 1 3 12 31111 6 M78 15000 171 00I 001*")</f>
        <v>1983113.18</v>
      </c>
      <c r="G1402" s="31">
        <f>SUMIFS(G1403:G3130,K1403:K3130,"0",B1403:B3130,"5 1 1 1 3 12 31111 6 M78 15000 171 00I 001*")</f>
        <v>0</v>
      </c>
      <c r="H1402" s="31">
        <f t="shared" si="22"/>
        <v>1983113.18</v>
      </c>
      <c r="I1402" s="31"/>
      <c r="K1402" t="s">
        <v>13</v>
      </c>
    </row>
    <row r="1403" spans="2:11" ht="13" x14ac:dyDescent="0.15">
      <c r="B1403" s="29" t="s">
        <v>2005</v>
      </c>
      <c r="C1403" s="29" t="s">
        <v>1810</v>
      </c>
      <c r="D1403" s="31">
        <f>SUMIFS(D1404:D3130,K1404:K3130,"0",B1404:B3130,"5 1 1 1 3 12 31111 6 M78 15000 171 00I 001 11301*")-SUMIFS(E1404:E3130,K1404:K3130,"0",B1404:B3130,"5 1 1 1 3 12 31111 6 M78 15000 171 00I 001 11301*")</f>
        <v>0</v>
      </c>
      <c r="E1403"/>
      <c r="F1403" s="31">
        <f>SUMIFS(F1404:F3130,K1404:K3130,"0",B1404:B3130,"5 1 1 1 3 12 31111 6 M78 15000 171 00I 001 11301*")</f>
        <v>1983113.18</v>
      </c>
      <c r="G1403" s="31">
        <f>SUMIFS(G1404:G3130,K1404:K3130,"0",B1404:B3130,"5 1 1 1 3 12 31111 6 M78 15000 171 00I 001 11301*")</f>
        <v>0</v>
      </c>
      <c r="H1403" s="31">
        <f t="shared" si="22"/>
        <v>1983113.18</v>
      </c>
      <c r="I1403" s="31"/>
      <c r="K1403" t="s">
        <v>13</v>
      </c>
    </row>
    <row r="1404" spans="2:11" ht="22" x14ac:dyDescent="0.15">
      <c r="B1404" s="29" t="s">
        <v>2006</v>
      </c>
      <c r="C1404" s="29" t="s">
        <v>290</v>
      </c>
      <c r="D1404" s="31">
        <f>SUMIFS(D1405:D3130,K1405:K3130,"0",B1405:B3130,"5 1 1 1 3 12 31111 6 M78 15000 171 00I 001 11301 025*")-SUMIFS(E1405:E3130,K1405:K3130,"0",B1405:B3130,"5 1 1 1 3 12 31111 6 M78 15000 171 00I 001 11301 025*")</f>
        <v>0</v>
      </c>
      <c r="E1404"/>
      <c r="F1404" s="31">
        <f>SUMIFS(F1405:F3130,K1405:K3130,"0",B1405:B3130,"5 1 1 1 3 12 31111 6 M78 15000 171 00I 001 11301 025*")</f>
        <v>1983113.18</v>
      </c>
      <c r="G1404" s="31">
        <f>SUMIFS(G1405:G3130,K1405:K3130,"0",B1405:B3130,"5 1 1 1 3 12 31111 6 M78 15000 171 00I 001 11301 025*")</f>
        <v>0</v>
      </c>
      <c r="H1404" s="31">
        <f t="shared" si="22"/>
        <v>1983113.18</v>
      </c>
      <c r="I1404" s="31"/>
      <c r="K1404" t="s">
        <v>13</v>
      </c>
    </row>
    <row r="1405" spans="2:11" ht="22" x14ac:dyDescent="0.15">
      <c r="B1405" s="29" t="s">
        <v>2007</v>
      </c>
      <c r="C1405" s="29" t="s">
        <v>1813</v>
      </c>
      <c r="D1405" s="31">
        <f>SUMIFS(D1406:D3130,K1406:K3130,"0",B1406:B3130,"5 1 1 1 3 12 31111 6 M78 15000 171 00I 001 11301 025 2111100*")-SUMIFS(E1406:E3130,K1406:K3130,"0",B1406:B3130,"5 1 1 1 3 12 31111 6 M78 15000 171 00I 001 11301 025 2111100*")</f>
        <v>0</v>
      </c>
      <c r="E1405"/>
      <c r="F1405" s="31">
        <f>SUMIFS(F1406:F3130,K1406:K3130,"0",B1406:B3130,"5 1 1 1 3 12 31111 6 M78 15000 171 00I 001 11301 025 2111100*")</f>
        <v>1983113.18</v>
      </c>
      <c r="G1405" s="31">
        <f>SUMIFS(G1406:G3130,K1406:K3130,"0",B1406:B3130,"5 1 1 1 3 12 31111 6 M78 15000 171 00I 001 11301 025 2111100*")</f>
        <v>0</v>
      </c>
      <c r="H1405" s="31">
        <f t="shared" si="22"/>
        <v>1983113.18</v>
      </c>
      <c r="I1405" s="31"/>
      <c r="K1405" t="s">
        <v>13</v>
      </c>
    </row>
    <row r="1406" spans="2:11" ht="22" x14ac:dyDescent="0.15">
      <c r="B1406" s="29" t="s">
        <v>2008</v>
      </c>
      <c r="C1406" s="29" t="s">
        <v>275</v>
      </c>
      <c r="D1406" s="31">
        <f>SUMIFS(D1407:D3130,K1407:K3130,"0",B1407:B3130,"5 1 1 1 3 12 31111 6 M78 15000 171 00I 001 11301 025 2111100 2024*")-SUMIFS(E1407:E3130,K1407:K3130,"0",B1407:B3130,"5 1 1 1 3 12 31111 6 M78 15000 171 00I 001 11301 025 2111100 2024*")</f>
        <v>0</v>
      </c>
      <c r="E1406"/>
      <c r="F1406" s="31">
        <f>SUMIFS(F1407:F3130,K1407:K3130,"0",B1407:B3130,"5 1 1 1 3 12 31111 6 M78 15000 171 00I 001 11301 025 2111100 2024*")</f>
        <v>1983113.18</v>
      </c>
      <c r="G1406" s="31">
        <f>SUMIFS(G1407:G3130,K1407:K3130,"0",B1407:B3130,"5 1 1 1 3 12 31111 6 M78 15000 171 00I 001 11301 025 2111100 2024*")</f>
        <v>0</v>
      </c>
      <c r="H1406" s="31">
        <f t="shared" si="22"/>
        <v>1983113.18</v>
      </c>
      <c r="I1406" s="31"/>
      <c r="K1406" t="s">
        <v>13</v>
      </c>
    </row>
    <row r="1407" spans="2:11" ht="22" x14ac:dyDescent="0.15">
      <c r="B1407" s="29" t="s">
        <v>2009</v>
      </c>
      <c r="C1407" s="29" t="s">
        <v>277</v>
      </c>
      <c r="D1407" s="31">
        <f>SUMIFS(D1408:D3130,K1408:K3130,"0",B1408:B3130,"5 1 1 1 3 12 31111 6 M78 15000 171 00I 001 11301 025 2111100 2024 00000000*")-SUMIFS(E1408:E3130,K1408:K3130,"0",B1408:B3130,"5 1 1 1 3 12 31111 6 M78 15000 171 00I 001 11301 025 2111100 2024 00000000*")</f>
        <v>0</v>
      </c>
      <c r="E1407"/>
      <c r="F1407" s="31">
        <f>SUMIFS(F1408:F3130,K1408:K3130,"0",B1408:B3130,"5 1 1 1 3 12 31111 6 M78 15000 171 00I 001 11301 025 2111100 2024 00000000*")</f>
        <v>1983113.18</v>
      </c>
      <c r="G1407" s="31">
        <f>SUMIFS(G1408:G3130,K1408:K3130,"0",B1408:B3130,"5 1 1 1 3 12 31111 6 M78 15000 171 00I 001 11301 025 2111100 2024 00000000*")</f>
        <v>0</v>
      </c>
      <c r="H1407" s="31">
        <f t="shared" si="22"/>
        <v>1983113.18</v>
      </c>
      <c r="I1407" s="31"/>
      <c r="K1407" t="s">
        <v>13</v>
      </c>
    </row>
    <row r="1408" spans="2:11" ht="22" x14ac:dyDescent="0.15">
      <c r="B1408" s="29" t="s">
        <v>2010</v>
      </c>
      <c r="C1408" s="29" t="s">
        <v>581</v>
      </c>
      <c r="D1408" s="31">
        <f>SUMIFS(D1409:D3130,K1409:K3130,"0",B1409:B3130,"5 1 1 1 3 12 31111 6 M78 15000 171 00I 001 11301 025 2111100 2024 00000000 003*")-SUMIFS(E1409:E3130,K1409:K3130,"0",B1409:B3130,"5 1 1 1 3 12 31111 6 M78 15000 171 00I 001 11301 025 2111100 2024 00000000 003*")</f>
        <v>0</v>
      </c>
      <c r="E1408"/>
      <c r="F1408" s="31">
        <f>SUMIFS(F1409:F3130,K1409:K3130,"0",B1409:B3130,"5 1 1 1 3 12 31111 6 M78 15000 171 00I 001 11301 025 2111100 2024 00000000 003*")</f>
        <v>1983113.18</v>
      </c>
      <c r="G1408" s="31">
        <f>SUMIFS(G1409:G3130,K1409:K3130,"0",B1409:B3130,"5 1 1 1 3 12 31111 6 M78 15000 171 00I 001 11301 025 2111100 2024 00000000 003*")</f>
        <v>0</v>
      </c>
      <c r="H1408" s="31">
        <f t="shared" si="22"/>
        <v>1983113.18</v>
      </c>
      <c r="I1408" s="31"/>
      <c r="K1408" t="s">
        <v>13</v>
      </c>
    </row>
    <row r="1409" spans="2:11" ht="22" x14ac:dyDescent="0.15">
      <c r="B1409" s="29" t="s">
        <v>2011</v>
      </c>
      <c r="C1409" s="29" t="s">
        <v>2012</v>
      </c>
      <c r="D1409" s="31">
        <f>SUMIFS(D1410:D3130,K1410:K3130,"0",B1410:B3130,"5 1 1 1 3 12 31111 6 M78 15000 171 00I 001 11301 025 2111100 2024 00000000 003 001*")-SUMIFS(E1410:E3130,K1410:K3130,"0",B1410:B3130,"5 1 1 1 3 12 31111 6 M78 15000 171 00I 001 11301 025 2111100 2024 00000000 003 001*")</f>
        <v>0</v>
      </c>
      <c r="E1409"/>
      <c r="F1409" s="31">
        <f>SUMIFS(F1410:F3130,K1410:K3130,"0",B1410:B3130,"5 1 1 1 3 12 31111 6 M78 15000 171 00I 001 11301 025 2111100 2024 00000000 003 001*")</f>
        <v>1983113.18</v>
      </c>
      <c r="G1409" s="31">
        <f>SUMIFS(G1410:G3130,K1410:K3130,"0",B1410:B3130,"5 1 1 1 3 12 31111 6 M78 15000 171 00I 001 11301 025 2111100 2024 00000000 003 001*")</f>
        <v>0</v>
      </c>
      <c r="H1409" s="31">
        <f t="shared" si="22"/>
        <v>1983113.18</v>
      </c>
      <c r="I1409" s="31"/>
      <c r="K1409" t="s">
        <v>13</v>
      </c>
    </row>
    <row r="1410" spans="2:11" ht="22" x14ac:dyDescent="0.15">
      <c r="B1410" s="27" t="s">
        <v>2013</v>
      </c>
      <c r="C1410" s="27" t="s">
        <v>1865</v>
      </c>
      <c r="D1410" s="30">
        <v>0</v>
      </c>
      <c r="E1410" s="30"/>
      <c r="F1410" s="30">
        <v>1983113.18</v>
      </c>
      <c r="G1410" s="30">
        <v>0</v>
      </c>
      <c r="H1410" s="30">
        <f t="shared" si="22"/>
        <v>1983113.18</v>
      </c>
      <c r="I1410" s="30"/>
      <c r="K1410" t="s">
        <v>37</v>
      </c>
    </row>
    <row r="1411" spans="2:11" ht="13" x14ac:dyDescent="0.15">
      <c r="B1411" s="29" t="s">
        <v>2014</v>
      </c>
      <c r="C1411" s="29" t="s">
        <v>2015</v>
      </c>
      <c r="D1411" s="31">
        <f>SUMIFS(D1412:D3130,K1412:K3130,"0",B1412:B3130,"5 1 1 1 3 12 31111 6 M78 16000*")-SUMIFS(E1412:E3130,K1412:K3130,"0",B1412:B3130,"5 1 1 1 3 12 31111 6 M78 16000*")</f>
        <v>0</v>
      </c>
      <c r="E1411"/>
      <c r="F1411" s="31">
        <f>SUMIFS(F1412:F3130,K1412:K3130,"0",B1412:B3130,"5 1 1 1 3 12 31111 6 M78 16000*")</f>
        <v>678800</v>
      </c>
      <c r="G1411" s="31">
        <f>SUMIFS(G1412:G3130,K1412:K3130,"0",B1412:B3130,"5 1 1 1 3 12 31111 6 M78 16000*")</f>
        <v>0</v>
      </c>
      <c r="H1411" s="31">
        <f t="shared" si="22"/>
        <v>678800</v>
      </c>
      <c r="I1411" s="31"/>
      <c r="K1411" t="s">
        <v>13</v>
      </c>
    </row>
    <row r="1412" spans="2:11" ht="13" x14ac:dyDescent="0.15">
      <c r="B1412" s="29" t="s">
        <v>2016</v>
      </c>
      <c r="C1412" s="29" t="s">
        <v>2017</v>
      </c>
      <c r="D1412" s="31">
        <f>SUMIFS(D1413:D3130,K1413:K3130,"0",B1413:B3130,"5 1 1 1 3 12 31111 6 M78 16000 173*")-SUMIFS(E1413:E3130,K1413:K3130,"0",B1413:B3130,"5 1 1 1 3 12 31111 6 M78 16000 173*")</f>
        <v>0</v>
      </c>
      <c r="E1412"/>
      <c r="F1412" s="31">
        <f>SUMIFS(F1413:F3130,K1413:K3130,"0",B1413:B3130,"5 1 1 1 3 12 31111 6 M78 16000 173*")</f>
        <v>678800</v>
      </c>
      <c r="G1412" s="31">
        <f>SUMIFS(G1413:G3130,K1413:K3130,"0",B1413:B3130,"5 1 1 1 3 12 31111 6 M78 16000 173*")</f>
        <v>0</v>
      </c>
      <c r="H1412" s="31">
        <f t="shared" si="22"/>
        <v>678800</v>
      </c>
      <c r="I1412" s="31"/>
      <c r="K1412" t="s">
        <v>13</v>
      </c>
    </row>
    <row r="1413" spans="2:11" ht="13" x14ac:dyDescent="0.15">
      <c r="B1413" s="29" t="s">
        <v>2018</v>
      </c>
      <c r="C1413" s="29" t="s">
        <v>285</v>
      </c>
      <c r="D1413" s="31">
        <f>SUMIFS(D1414:D3130,K1414:K3130,"0",B1414:B3130,"5 1 1 1 3 12 31111 6 M78 16000 173 00I*")-SUMIFS(E1414:E3130,K1414:K3130,"0",B1414:B3130,"5 1 1 1 3 12 31111 6 M78 16000 173 00I*")</f>
        <v>0</v>
      </c>
      <c r="E1413"/>
      <c r="F1413" s="31">
        <f>SUMIFS(F1414:F3130,K1414:K3130,"0",B1414:B3130,"5 1 1 1 3 12 31111 6 M78 16000 173 00I*")</f>
        <v>678800</v>
      </c>
      <c r="G1413" s="31">
        <f>SUMIFS(G1414:G3130,K1414:K3130,"0",B1414:B3130,"5 1 1 1 3 12 31111 6 M78 16000 173 00I*")</f>
        <v>0</v>
      </c>
      <c r="H1413" s="31">
        <f t="shared" si="22"/>
        <v>678800</v>
      </c>
      <c r="I1413" s="31"/>
      <c r="K1413" t="s">
        <v>13</v>
      </c>
    </row>
    <row r="1414" spans="2:11" ht="13" x14ac:dyDescent="0.15">
      <c r="B1414" s="29" t="s">
        <v>2019</v>
      </c>
      <c r="C1414" s="29" t="s">
        <v>32</v>
      </c>
      <c r="D1414" s="31">
        <f>SUMIFS(D1415:D3130,K1415:K3130,"0",B1415:B3130,"5 1 1 1 3 12 31111 6 M78 16000 173 00I 001*")-SUMIFS(E1415:E3130,K1415:K3130,"0",B1415:B3130,"5 1 1 1 3 12 31111 6 M78 16000 173 00I 001*")</f>
        <v>0</v>
      </c>
      <c r="E1414"/>
      <c r="F1414" s="31">
        <f>SUMIFS(F1415:F3130,K1415:K3130,"0",B1415:B3130,"5 1 1 1 3 12 31111 6 M78 16000 173 00I 001*")</f>
        <v>678800</v>
      </c>
      <c r="G1414" s="31">
        <f>SUMIFS(G1415:G3130,K1415:K3130,"0",B1415:B3130,"5 1 1 1 3 12 31111 6 M78 16000 173 00I 001*")</f>
        <v>0</v>
      </c>
      <c r="H1414" s="31">
        <f t="shared" si="22"/>
        <v>678800</v>
      </c>
      <c r="I1414" s="31"/>
      <c r="K1414" t="s">
        <v>13</v>
      </c>
    </row>
    <row r="1415" spans="2:11" ht="13" x14ac:dyDescent="0.15">
      <c r="B1415" s="29" t="s">
        <v>2020</v>
      </c>
      <c r="C1415" s="29" t="s">
        <v>1810</v>
      </c>
      <c r="D1415" s="31">
        <f>SUMIFS(D1416:D3130,K1416:K3130,"0",B1416:B3130,"5 1 1 1 3 12 31111 6 M78 16000 173 00I 001 11301*")-SUMIFS(E1416:E3130,K1416:K3130,"0",B1416:B3130,"5 1 1 1 3 12 31111 6 M78 16000 173 00I 001 11301*")</f>
        <v>0</v>
      </c>
      <c r="E1415"/>
      <c r="F1415" s="31">
        <f>SUMIFS(F1416:F3130,K1416:K3130,"0",B1416:B3130,"5 1 1 1 3 12 31111 6 M78 16000 173 00I 001 11301*")</f>
        <v>678800</v>
      </c>
      <c r="G1415" s="31">
        <f>SUMIFS(G1416:G3130,K1416:K3130,"0",B1416:B3130,"5 1 1 1 3 12 31111 6 M78 16000 173 00I 001 11301*")</f>
        <v>0</v>
      </c>
      <c r="H1415" s="31">
        <f t="shared" si="22"/>
        <v>678800</v>
      </c>
      <c r="I1415" s="31"/>
      <c r="K1415" t="s">
        <v>13</v>
      </c>
    </row>
    <row r="1416" spans="2:11" ht="22" x14ac:dyDescent="0.15">
      <c r="B1416" s="29" t="s">
        <v>2021</v>
      </c>
      <c r="C1416" s="29" t="s">
        <v>290</v>
      </c>
      <c r="D1416" s="31">
        <f>SUMIFS(D1417:D3130,K1417:K3130,"0",B1417:B3130,"5 1 1 1 3 12 31111 6 M78 16000 173 00I 001 11301 025*")-SUMIFS(E1417:E3130,K1417:K3130,"0",B1417:B3130,"5 1 1 1 3 12 31111 6 M78 16000 173 00I 001 11301 025*")</f>
        <v>0</v>
      </c>
      <c r="E1416"/>
      <c r="F1416" s="31">
        <f>SUMIFS(F1417:F3130,K1417:K3130,"0",B1417:B3130,"5 1 1 1 3 12 31111 6 M78 16000 173 00I 001 11301 025*")</f>
        <v>678800</v>
      </c>
      <c r="G1416" s="31">
        <f>SUMIFS(G1417:G3130,K1417:K3130,"0",B1417:B3130,"5 1 1 1 3 12 31111 6 M78 16000 173 00I 001 11301 025*")</f>
        <v>0</v>
      </c>
      <c r="H1416" s="31">
        <f t="shared" si="22"/>
        <v>678800</v>
      </c>
      <c r="I1416" s="31"/>
      <c r="K1416" t="s">
        <v>13</v>
      </c>
    </row>
    <row r="1417" spans="2:11" ht="22" x14ac:dyDescent="0.15">
      <c r="B1417" s="29" t="s">
        <v>2022</v>
      </c>
      <c r="C1417" s="29" t="s">
        <v>1813</v>
      </c>
      <c r="D1417" s="31">
        <f>SUMIFS(D1418:D3130,K1418:K3130,"0",B1418:B3130,"5 1 1 1 3 12 31111 6 M78 16000 173 00I 001 11301 025 2111100*")-SUMIFS(E1418:E3130,K1418:K3130,"0",B1418:B3130,"5 1 1 1 3 12 31111 6 M78 16000 173 00I 001 11301 025 2111100*")</f>
        <v>0</v>
      </c>
      <c r="E1417"/>
      <c r="F1417" s="31">
        <f>SUMIFS(F1418:F3130,K1418:K3130,"0",B1418:B3130,"5 1 1 1 3 12 31111 6 M78 16000 173 00I 001 11301 025 2111100*")</f>
        <v>678800</v>
      </c>
      <c r="G1417" s="31">
        <f>SUMIFS(G1418:G3130,K1418:K3130,"0",B1418:B3130,"5 1 1 1 3 12 31111 6 M78 16000 173 00I 001 11301 025 2111100*")</f>
        <v>0</v>
      </c>
      <c r="H1417" s="31">
        <f t="shared" si="22"/>
        <v>678800</v>
      </c>
      <c r="I1417" s="31"/>
      <c r="K1417" t="s">
        <v>13</v>
      </c>
    </row>
    <row r="1418" spans="2:11" ht="22" x14ac:dyDescent="0.15">
      <c r="B1418" s="29" t="s">
        <v>2023</v>
      </c>
      <c r="C1418" s="29" t="s">
        <v>275</v>
      </c>
      <c r="D1418" s="31">
        <f>SUMIFS(D1419:D3130,K1419:K3130,"0",B1419:B3130,"5 1 1 1 3 12 31111 6 M78 16000 173 00I 001 11301 025 2111100 2024*")-SUMIFS(E1419:E3130,K1419:K3130,"0",B1419:B3130,"5 1 1 1 3 12 31111 6 M78 16000 173 00I 001 11301 025 2111100 2024*")</f>
        <v>0</v>
      </c>
      <c r="E1418"/>
      <c r="F1418" s="31">
        <f>SUMIFS(F1419:F3130,K1419:K3130,"0",B1419:B3130,"5 1 1 1 3 12 31111 6 M78 16000 173 00I 001 11301 025 2111100 2024*")</f>
        <v>678800</v>
      </c>
      <c r="G1418" s="31">
        <f>SUMIFS(G1419:G3130,K1419:K3130,"0",B1419:B3130,"5 1 1 1 3 12 31111 6 M78 16000 173 00I 001 11301 025 2111100 2024*")</f>
        <v>0</v>
      </c>
      <c r="H1418" s="31">
        <f t="shared" si="22"/>
        <v>678800</v>
      </c>
      <c r="I1418" s="31"/>
      <c r="K1418" t="s">
        <v>13</v>
      </c>
    </row>
    <row r="1419" spans="2:11" ht="22" x14ac:dyDescent="0.15">
      <c r="B1419" s="29" t="s">
        <v>2024</v>
      </c>
      <c r="C1419" s="29" t="s">
        <v>277</v>
      </c>
      <c r="D1419" s="31">
        <f>SUMIFS(D1420:D3130,K1420:K3130,"0",B1420:B3130,"5 1 1 1 3 12 31111 6 M78 16000 173 00I 001 11301 025 2111100 2024 00000000*")-SUMIFS(E1420:E3130,K1420:K3130,"0",B1420:B3130,"5 1 1 1 3 12 31111 6 M78 16000 173 00I 001 11301 025 2111100 2024 00000000*")</f>
        <v>0</v>
      </c>
      <c r="E1419"/>
      <c r="F1419" s="31">
        <f>SUMIFS(F1420:F3130,K1420:K3130,"0",B1420:B3130,"5 1 1 1 3 12 31111 6 M78 16000 173 00I 001 11301 025 2111100 2024 00000000*")</f>
        <v>678800</v>
      </c>
      <c r="G1419" s="31">
        <f>SUMIFS(G1420:G3130,K1420:K3130,"0",B1420:B3130,"5 1 1 1 3 12 31111 6 M78 16000 173 00I 001 11301 025 2111100 2024 00000000*")</f>
        <v>0</v>
      </c>
      <c r="H1419" s="31">
        <f t="shared" ref="H1419:H1482" si="23">D1419 + F1419 - G1419</f>
        <v>678800</v>
      </c>
      <c r="I1419" s="31"/>
      <c r="K1419" t="s">
        <v>13</v>
      </c>
    </row>
    <row r="1420" spans="2:11" ht="22" x14ac:dyDescent="0.15">
      <c r="B1420" s="29" t="s">
        <v>2025</v>
      </c>
      <c r="C1420" s="29" t="s">
        <v>581</v>
      </c>
      <c r="D1420" s="31">
        <f>SUMIFS(D1421:D3130,K1421:K3130,"0",B1421:B3130,"5 1 1 1 3 12 31111 6 M78 16000 173 00I 001 11301 025 2111100 2024 00000000 003*")-SUMIFS(E1421:E3130,K1421:K3130,"0",B1421:B3130,"5 1 1 1 3 12 31111 6 M78 16000 173 00I 001 11301 025 2111100 2024 00000000 003*")</f>
        <v>0</v>
      </c>
      <c r="E1420"/>
      <c r="F1420" s="31">
        <f>SUMIFS(F1421:F3130,K1421:K3130,"0",B1421:B3130,"5 1 1 1 3 12 31111 6 M78 16000 173 00I 001 11301 025 2111100 2024 00000000 003*")</f>
        <v>678800</v>
      </c>
      <c r="G1420" s="31">
        <f>SUMIFS(G1421:G3130,K1421:K3130,"0",B1421:B3130,"5 1 1 1 3 12 31111 6 M78 16000 173 00I 001 11301 025 2111100 2024 00000000 003*")</f>
        <v>0</v>
      </c>
      <c r="H1420" s="31">
        <f t="shared" si="23"/>
        <v>678800</v>
      </c>
      <c r="I1420" s="31"/>
      <c r="K1420" t="s">
        <v>13</v>
      </c>
    </row>
    <row r="1421" spans="2:11" ht="22" x14ac:dyDescent="0.15">
      <c r="B1421" s="29" t="s">
        <v>2026</v>
      </c>
      <c r="C1421" s="29" t="s">
        <v>2027</v>
      </c>
      <c r="D1421" s="31">
        <f>SUMIFS(D1422:D3130,K1422:K3130,"0",B1422:B3130,"5 1 1 1 3 12 31111 6 M78 16000 173 00I 001 11301 025 2111100 2024 00000000 003 001*")-SUMIFS(E1422:E3130,K1422:K3130,"0",B1422:B3130,"5 1 1 1 3 12 31111 6 M78 16000 173 00I 001 11301 025 2111100 2024 00000000 003 001*")</f>
        <v>0</v>
      </c>
      <c r="E1421"/>
      <c r="F1421" s="31">
        <f>SUMIFS(F1422:F3130,K1422:K3130,"0",B1422:B3130,"5 1 1 1 3 12 31111 6 M78 16000 173 00I 001 11301 025 2111100 2024 00000000 003 001*")</f>
        <v>678800</v>
      </c>
      <c r="G1421" s="31">
        <f>SUMIFS(G1422:G3130,K1422:K3130,"0",B1422:B3130,"5 1 1 1 3 12 31111 6 M78 16000 173 00I 001 11301 025 2111100 2024 00000000 003 001*")</f>
        <v>0</v>
      </c>
      <c r="H1421" s="31">
        <f t="shared" si="23"/>
        <v>678800</v>
      </c>
      <c r="I1421" s="31"/>
      <c r="K1421" t="s">
        <v>13</v>
      </c>
    </row>
    <row r="1422" spans="2:11" ht="22" x14ac:dyDescent="0.15">
      <c r="B1422" s="27" t="s">
        <v>2028</v>
      </c>
      <c r="C1422" s="27" t="s">
        <v>1865</v>
      </c>
      <c r="D1422" s="30">
        <v>0</v>
      </c>
      <c r="E1422" s="30"/>
      <c r="F1422" s="30">
        <v>678800</v>
      </c>
      <c r="G1422" s="30">
        <v>0</v>
      </c>
      <c r="H1422" s="30">
        <f t="shared" si="23"/>
        <v>678800</v>
      </c>
      <c r="I1422" s="30"/>
      <c r="K1422" t="s">
        <v>37</v>
      </c>
    </row>
    <row r="1423" spans="2:11" ht="13" x14ac:dyDescent="0.15">
      <c r="B1423" s="29" t="s">
        <v>2029</v>
      </c>
      <c r="C1423" s="29" t="s">
        <v>2030</v>
      </c>
      <c r="D1423" s="31">
        <f>SUMIFS(D1424:D3130,K1424:K3130,"0",B1424:B3130,"5 1 1 1 3 12 31111 6 M78 17000*")-SUMIFS(E1424:E3130,K1424:K3130,"0",B1424:B3130,"5 1 1 1 3 12 31111 6 M78 17000*")</f>
        <v>0</v>
      </c>
      <c r="E1423"/>
      <c r="F1423" s="31">
        <f>SUMIFS(F1424:F3130,K1424:K3130,"0",B1424:B3130,"5 1 1 1 3 12 31111 6 M78 17000*")</f>
        <v>1053172.1499999999</v>
      </c>
      <c r="G1423" s="31">
        <f>SUMIFS(G1424:G3130,K1424:K3130,"0",B1424:B3130,"5 1 1 1 3 12 31111 6 M78 17000*")</f>
        <v>0</v>
      </c>
      <c r="H1423" s="31">
        <f t="shared" si="23"/>
        <v>1053172.1499999999</v>
      </c>
      <c r="I1423" s="31"/>
      <c r="K1423" t="s">
        <v>13</v>
      </c>
    </row>
    <row r="1424" spans="2:11" ht="13" x14ac:dyDescent="0.15">
      <c r="B1424" s="29" t="s">
        <v>2031</v>
      </c>
      <c r="C1424" s="29" t="s">
        <v>2032</v>
      </c>
      <c r="D1424" s="31">
        <f>SUMIFS(D1425:D3130,K1425:K3130,"0",B1425:B3130,"5 1 1 1 3 12 31111 6 M78 17000 172*")-SUMIFS(E1425:E3130,K1425:K3130,"0",B1425:B3130,"5 1 1 1 3 12 31111 6 M78 17000 172*")</f>
        <v>0</v>
      </c>
      <c r="E1424"/>
      <c r="F1424" s="31">
        <f>SUMIFS(F1425:F3130,K1425:K3130,"0",B1425:B3130,"5 1 1 1 3 12 31111 6 M78 17000 172*")</f>
        <v>1053172.1499999999</v>
      </c>
      <c r="G1424" s="31">
        <f>SUMIFS(G1425:G3130,K1425:K3130,"0",B1425:B3130,"5 1 1 1 3 12 31111 6 M78 17000 172*")</f>
        <v>0</v>
      </c>
      <c r="H1424" s="31">
        <f t="shared" si="23"/>
        <v>1053172.1499999999</v>
      </c>
      <c r="I1424" s="31"/>
      <c r="K1424" t="s">
        <v>13</v>
      </c>
    </row>
    <row r="1425" spans="2:11" ht="13" x14ac:dyDescent="0.15">
      <c r="B1425" s="29" t="s">
        <v>2033</v>
      </c>
      <c r="C1425" s="29" t="s">
        <v>285</v>
      </c>
      <c r="D1425" s="31">
        <f>SUMIFS(D1426:D3130,K1426:K3130,"0",B1426:B3130,"5 1 1 1 3 12 31111 6 M78 17000 172 00I*")-SUMIFS(E1426:E3130,K1426:K3130,"0",B1426:B3130,"5 1 1 1 3 12 31111 6 M78 17000 172 00I*")</f>
        <v>0</v>
      </c>
      <c r="E1425"/>
      <c r="F1425" s="31">
        <f>SUMIFS(F1426:F3130,K1426:K3130,"0",B1426:B3130,"5 1 1 1 3 12 31111 6 M78 17000 172 00I*")</f>
        <v>1053172.1499999999</v>
      </c>
      <c r="G1425" s="31">
        <f>SUMIFS(G1426:G3130,K1426:K3130,"0",B1426:B3130,"5 1 1 1 3 12 31111 6 M78 17000 172 00I*")</f>
        <v>0</v>
      </c>
      <c r="H1425" s="31">
        <f t="shared" si="23"/>
        <v>1053172.1499999999</v>
      </c>
      <c r="I1425" s="31"/>
      <c r="K1425" t="s">
        <v>13</v>
      </c>
    </row>
    <row r="1426" spans="2:11" ht="13" x14ac:dyDescent="0.15">
      <c r="B1426" s="29" t="s">
        <v>2034</v>
      </c>
      <c r="C1426" s="29" t="s">
        <v>32</v>
      </c>
      <c r="D1426" s="31">
        <f>SUMIFS(D1427:D3130,K1427:K3130,"0",B1427:B3130,"5 1 1 1 3 12 31111 6 M78 17000 172 00I 001*")-SUMIFS(E1427:E3130,K1427:K3130,"0",B1427:B3130,"5 1 1 1 3 12 31111 6 M78 17000 172 00I 001*")</f>
        <v>0</v>
      </c>
      <c r="E1426"/>
      <c r="F1426" s="31">
        <f>SUMIFS(F1427:F3130,K1427:K3130,"0",B1427:B3130,"5 1 1 1 3 12 31111 6 M78 17000 172 00I 001*")</f>
        <v>1053172.1499999999</v>
      </c>
      <c r="G1426" s="31">
        <f>SUMIFS(G1427:G3130,K1427:K3130,"0",B1427:B3130,"5 1 1 1 3 12 31111 6 M78 17000 172 00I 001*")</f>
        <v>0</v>
      </c>
      <c r="H1426" s="31">
        <f t="shared" si="23"/>
        <v>1053172.1499999999</v>
      </c>
      <c r="I1426" s="31"/>
      <c r="K1426" t="s">
        <v>13</v>
      </c>
    </row>
    <row r="1427" spans="2:11" ht="13" x14ac:dyDescent="0.15">
      <c r="B1427" s="29" t="s">
        <v>2035</v>
      </c>
      <c r="C1427" s="29" t="s">
        <v>1810</v>
      </c>
      <c r="D1427" s="31">
        <f>SUMIFS(D1428:D3130,K1428:K3130,"0",B1428:B3130,"5 1 1 1 3 12 31111 6 M78 17000 172 00I 001 11301*")-SUMIFS(E1428:E3130,K1428:K3130,"0",B1428:B3130,"5 1 1 1 3 12 31111 6 M78 17000 172 00I 001 11301*")</f>
        <v>0</v>
      </c>
      <c r="E1427"/>
      <c r="F1427" s="31">
        <f>SUMIFS(F1428:F3130,K1428:K3130,"0",B1428:B3130,"5 1 1 1 3 12 31111 6 M78 17000 172 00I 001 11301*")</f>
        <v>1053172.1499999999</v>
      </c>
      <c r="G1427" s="31">
        <f>SUMIFS(G1428:G3130,K1428:K3130,"0",B1428:B3130,"5 1 1 1 3 12 31111 6 M78 17000 172 00I 001 11301*")</f>
        <v>0</v>
      </c>
      <c r="H1427" s="31">
        <f t="shared" si="23"/>
        <v>1053172.1499999999</v>
      </c>
      <c r="I1427" s="31"/>
      <c r="K1427" t="s">
        <v>13</v>
      </c>
    </row>
    <row r="1428" spans="2:11" ht="22" x14ac:dyDescent="0.15">
      <c r="B1428" s="29" t="s">
        <v>2036</v>
      </c>
      <c r="C1428" s="29" t="s">
        <v>290</v>
      </c>
      <c r="D1428" s="31">
        <f>SUMIFS(D1429:D3130,K1429:K3130,"0",B1429:B3130,"5 1 1 1 3 12 31111 6 M78 17000 172 00I 001 11301 025*")-SUMIFS(E1429:E3130,K1429:K3130,"0",B1429:B3130,"5 1 1 1 3 12 31111 6 M78 17000 172 00I 001 11301 025*")</f>
        <v>0</v>
      </c>
      <c r="E1428"/>
      <c r="F1428" s="31">
        <f>SUMIFS(F1429:F3130,K1429:K3130,"0",B1429:B3130,"5 1 1 1 3 12 31111 6 M78 17000 172 00I 001 11301 025*")</f>
        <v>1053172.1499999999</v>
      </c>
      <c r="G1428" s="31">
        <f>SUMIFS(G1429:G3130,K1429:K3130,"0",B1429:B3130,"5 1 1 1 3 12 31111 6 M78 17000 172 00I 001 11301 025*")</f>
        <v>0</v>
      </c>
      <c r="H1428" s="31">
        <f t="shared" si="23"/>
        <v>1053172.1499999999</v>
      </c>
      <c r="I1428" s="31"/>
      <c r="K1428" t="s">
        <v>13</v>
      </c>
    </row>
    <row r="1429" spans="2:11" ht="22" x14ac:dyDescent="0.15">
      <c r="B1429" s="29" t="s">
        <v>2037</v>
      </c>
      <c r="C1429" s="29" t="s">
        <v>1813</v>
      </c>
      <c r="D1429" s="31">
        <f>SUMIFS(D1430:D3130,K1430:K3130,"0",B1430:B3130,"5 1 1 1 3 12 31111 6 M78 17000 172 00I 001 11301 025 2111100*")-SUMIFS(E1430:E3130,K1430:K3130,"0",B1430:B3130,"5 1 1 1 3 12 31111 6 M78 17000 172 00I 001 11301 025 2111100*")</f>
        <v>0</v>
      </c>
      <c r="E1429"/>
      <c r="F1429" s="31">
        <f>SUMIFS(F1430:F3130,K1430:K3130,"0",B1430:B3130,"5 1 1 1 3 12 31111 6 M78 17000 172 00I 001 11301 025 2111100*")</f>
        <v>1053172.1499999999</v>
      </c>
      <c r="G1429" s="31">
        <f>SUMIFS(G1430:G3130,K1430:K3130,"0",B1430:B3130,"5 1 1 1 3 12 31111 6 M78 17000 172 00I 001 11301 025 2111100*")</f>
        <v>0</v>
      </c>
      <c r="H1429" s="31">
        <f t="shared" si="23"/>
        <v>1053172.1499999999</v>
      </c>
      <c r="I1429" s="31"/>
      <c r="K1429" t="s">
        <v>13</v>
      </c>
    </row>
    <row r="1430" spans="2:11" ht="22" x14ac:dyDescent="0.15">
      <c r="B1430" s="29" t="s">
        <v>2038</v>
      </c>
      <c r="C1430" s="29" t="s">
        <v>275</v>
      </c>
      <c r="D1430" s="31">
        <f>SUMIFS(D1431:D3130,K1431:K3130,"0",B1431:B3130,"5 1 1 1 3 12 31111 6 M78 17000 172 00I 001 11301 025 2111100 2024*")-SUMIFS(E1431:E3130,K1431:K3130,"0",B1431:B3130,"5 1 1 1 3 12 31111 6 M78 17000 172 00I 001 11301 025 2111100 2024*")</f>
        <v>0</v>
      </c>
      <c r="E1430"/>
      <c r="F1430" s="31">
        <f>SUMIFS(F1431:F3130,K1431:K3130,"0",B1431:B3130,"5 1 1 1 3 12 31111 6 M78 17000 172 00I 001 11301 025 2111100 2024*")</f>
        <v>1053172.1499999999</v>
      </c>
      <c r="G1430" s="31">
        <f>SUMIFS(G1431:G3130,K1431:K3130,"0",B1431:B3130,"5 1 1 1 3 12 31111 6 M78 17000 172 00I 001 11301 025 2111100 2024*")</f>
        <v>0</v>
      </c>
      <c r="H1430" s="31">
        <f t="shared" si="23"/>
        <v>1053172.1499999999</v>
      </c>
      <c r="I1430" s="31"/>
      <c r="K1430" t="s">
        <v>13</v>
      </c>
    </row>
    <row r="1431" spans="2:11" ht="22" x14ac:dyDescent="0.15">
      <c r="B1431" s="29" t="s">
        <v>2039</v>
      </c>
      <c r="C1431" s="29" t="s">
        <v>277</v>
      </c>
      <c r="D1431" s="31">
        <f>SUMIFS(D1432:D3130,K1432:K3130,"0",B1432:B3130,"5 1 1 1 3 12 31111 6 M78 17000 172 00I 001 11301 025 2111100 2024 00000000*")-SUMIFS(E1432:E3130,K1432:K3130,"0",B1432:B3130,"5 1 1 1 3 12 31111 6 M78 17000 172 00I 001 11301 025 2111100 2024 00000000*")</f>
        <v>0</v>
      </c>
      <c r="E1431"/>
      <c r="F1431" s="31">
        <f>SUMIFS(F1432:F3130,K1432:K3130,"0",B1432:B3130,"5 1 1 1 3 12 31111 6 M78 17000 172 00I 001 11301 025 2111100 2024 00000000*")</f>
        <v>1053172.1499999999</v>
      </c>
      <c r="G1431" s="31">
        <f>SUMIFS(G1432:G3130,K1432:K3130,"0",B1432:B3130,"5 1 1 1 3 12 31111 6 M78 17000 172 00I 001 11301 025 2111100 2024 00000000*")</f>
        <v>0</v>
      </c>
      <c r="H1431" s="31">
        <f t="shared" si="23"/>
        <v>1053172.1499999999</v>
      </c>
      <c r="I1431" s="31"/>
      <c r="K1431" t="s">
        <v>13</v>
      </c>
    </row>
    <row r="1432" spans="2:11" ht="22" x14ac:dyDescent="0.15">
      <c r="B1432" s="29" t="s">
        <v>2040</v>
      </c>
      <c r="C1432" s="29" t="s">
        <v>581</v>
      </c>
      <c r="D1432" s="31">
        <f>SUMIFS(D1433:D3130,K1433:K3130,"0",B1433:B3130,"5 1 1 1 3 12 31111 6 M78 17000 172 00I 001 11301 025 2111100 2024 00000000 003*")-SUMIFS(E1433:E3130,K1433:K3130,"0",B1433:B3130,"5 1 1 1 3 12 31111 6 M78 17000 172 00I 001 11301 025 2111100 2024 00000000 003*")</f>
        <v>0</v>
      </c>
      <c r="E1432"/>
      <c r="F1432" s="31">
        <f>SUMIFS(F1433:F3130,K1433:K3130,"0",B1433:B3130,"5 1 1 1 3 12 31111 6 M78 17000 172 00I 001 11301 025 2111100 2024 00000000 003*")</f>
        <v>1053172.1499999999</v>
      </c>
      <c r="G1432" s="31">
        <f>SUMIFS(G1433:G3130,K1433:K3130,"0",B1433:B3130,"5 1 1 1 3 12 31111 6 M78 17000 172 00I 001 11301 025 2111100 2024 00000000 003*")</f>
        <v>0</v>
      </c>
      <c r="H1432" s="31">
        <f t="shared" si="23"/>
        <v>1053172.1499999999</v>
      </c>
      <c r="I1432" s="31"/>
      <c r="K1432" t="s">
        <v>13</v>
      </c>
    </row>
    <row r="1433" spans="2:11" ht="22" x14ac:dyDescent="0.15">
      <c r="B1433" s="29" t="s">
        <v>2041</v>
      </c>
      <c r="C1433" s="29" t="s">
        <v>2042</v>
      </c>
      <c r="D1433" s="31">
        <f>SUMIFS(D1434:D3130,K1434:K3130,"0",B1434:B3130,"5 1 1 1 3 12 31111 6 M78 17000 172 00I 001 11301 025 2111100 2024 00000000 003 001*")-SUMIFS(E1434:E3130,K1434:K3130,"0",B1434:B3130,"5 1 1 1 3 12 31111 6 M78 17000 172 00I 001 11301 025 2111100 2024 00000000 003 001*")</f>
        <v>0</v>
      </c>
      <c r="E1433"/>
      <c r="F1433" s="31">
        <f>SUMIFS(F1434:F3130,K1434:K3130,"0",B1434:B3130,"5 1 1 1 3 12 31111 6 M78 17000 172 00I 001 11301 025 2111100 2024 00000000 003 001*")</f>
        <v>1053172.1499999999</v>
      </c>
      <c r="G1433" s="31">
        <f>SUMIFS(G1434:G3130,K1434:K3130,"0",B1434:B3130,"5 1 1 1 3 12 31111 6 M78 17000 172 00I 001 11301 025 2111100 2024 00000000 003 001*")</f>
        <v>0</v>
      </c>
      <c r="H1433" s="31">
        <f t="shared" si="23"/>
        <v>1053172.1499999999</v>
      </c>
      <c r="I1433" s="31"/>
      <c r="K1433" t="s">
        <v>13</v>
      </c>
    </row>
    <row r="1434" spans="2:11" ht="22" x14ac:dyDescent="0.15">
      <c r="B1434" s="27" t="s">
        <v>2043</v>
      </c>
      <c r="C1434" s="27" t="s">
        <v>1865</v>
      </c>
      <c r="D1434" s="30">
        <v>0</v>
      </c>
      <c r="E1434" s="30"/>
      <c r="F1434" s="30">
        <v>1053172.1499999999</v>
      </c>
      <c r="G1434" s="30">
        <v>0</v>
      </c>
      <c r="H1434" s="30">
        <f t="shared" si="23"/>
        <v>1053172.1499999999</v>
      </c>
      <c r="I1434" s="30"/>
      <c r="K1434" t="s">
        <v>37</v>
      </c>
    </row>
    <row r="1435" spans="2:11" ht="13" x14ac:dyDescent="0.15">
      <c r="B1435" s="29" t="s">
        <v>2044</v>
      </c>
      <c r="C1435" s="29" t="s">
        <v>765</v>
      </c>
      <c r="D1435" s="31">
        <f>SUMIFS(D1436:D3130,K1436:K3130,"0",B1436:B3130,"5 1 1 1 3 12 31111 6 M78 19000*")-SUMIFS(E1436:E3130,K1436:K3130,"0",B1436:B3130,"5 1 1 1 3 12 31111 6 M78 19000*")</f>
        <v>0</v>
      </c>
      <c r="E1435"/>
      <c r="F1435" s="31">
        <f>SUMIFS(F1436:F3130,K1436:K3130,"0",B1436:B3130,"5 1 1 1 3 12 31111 6 M78 19000*")</f>
        <v>230564.14</v>
      </c>
      <c r="G1435" s="31">
        <f>SUMIFS(G1436:G3130,K1436:K3130,"0",B1436:B3130,"5 1 1 1 3 12 31111 6 M78 19000*")</f>
        <v>0</v>
      </c>
      <c r="H1435" s="31">
        <f t="shared" si="23"/>
        <v>230564.14</v>
      </c>
      <c r="I1435" s="31"/>
      <c r="K1435" t="s">
        <v>13</v>
      </c>
    </row>
    <row r="1436" spans="2:11" ht="13" x14ac:dyDescent="0.15">
      <c r="B1436" s="29" t="s">
        <v>2045</v>
      </c>
      <c r="C1436" s="29" t="s">
        <v>2046</v>
      </c>
      <c r="D1436" s="31">
        <f>SUMIFS(D1437:D3130,K1437:K3130,"0",B1437:B3130,"5 1 1 1 3 12 31111 6 M78 19000 321*")-SUMIFS(E1437:E3130,K1437:K3130,"0",B1437:B3130,"5 1 1 1 3 12 31111 6 M78 19000 321*")</f>
        <v>0</v>
      </c>
      <c r="E1436"/>
      <c r="F1436" s="31">
        <f>SUMIFS(F1437:F3130,K1437:K3130,"0",B1437:B3130,"5 1 1 1 3 12 31111 6 M78 19000 321*")</f>
        <v>230564.14</v>
      </c>
      <c r="G1436" s="31">
        <f>SUMIFS(G1437:G3130,K1437:K3130,"0",B1437:B3130,"5 1 1 1 3 12 31111 6 M78 19000 321*")</f>
        <v>0</v>
      </c>
      <c r="H1436" s="31">
        <f t="shared" si="23"/>
        <v>230564.14</v>
      </c>
      <c r="I1436" s="31"/>
      <c r="K1436" t="s">
        <v>13</v>
      </c>
    </row>
    <row r="1437" spans="2:11" ht="13" x14ac:dyDescent="0.15">
      <c r="B1437" s="29" t="s">
        <v>2047</v>
      </c>
      <c r="C1437" s="29" t="s">
        <v>265</v>
      </c>
      <c r="D1437" s="31">
        <f>SUMIFS(D1438:D3130,K1438:K3130,"0",B1438:B3130,"5 1 1 1 3 12 31111 6 M78 19000 321 00C*")-SUMIFS(E1438:E3130,K1438:K3130,"0",B1438:B3130,"5 1 1 1 3 12 31111 6 M78 19000 321 00C*")</f>
        <v>0</v>
      </c>
      <c r="E1437"/>
      <c r="F1437" s="31">
        <f>SUMIFS(F1438:F3130,K1438:K3130,"0",B1438:B3130,"5 1 1 1 3 12 31111 6 M78 19000 321 00C*")</f>
        <v>230564.14</v>
      </c>
      <c r="G1437" s="31">
        <f>SUMIFS(G1438:G3130,K1438:K3130,"0",B1438:B3130,"5 1 1 1 3 12 31111 6 M78 19000 321 00C*")</f>
        <v>0</v>
      </c>
      <c r="H1437" s="31">
        <f t="shared" si="23"/>
        <v>230564.14</v>
      </c>
      <c r="I1437" s="31"/>
      <c r="K1437" t="s">
        <v>13</v>
      </c>
    </row>
    <row r="1438" spans="2:11" ht="13" x14ac:dyDescent="0.15">
      <c r="B1438" s="29" t="s">
        <v>2048</v>
      </c>
      <c r="C1438" s="29" t="s">
        <v>32</v>
      </c>
      <c r="D1438" s="31">
        <f>SUMIFS(D1439:D3130,K1439:K3130,"0",B1439:B3130,"5 1 1 1 3 12 31111 6 M78 19000 321 00C 001*")-SUMIFS(E1439:E3130,K1439:K3130,"0",B1439:B3130,"5 1 1 1 3 12 31111 6 M78 19000 321 00C 001*")</f>
        <v>0</v>
      </c>
      <c r="E1438"/>
      <c r="F1438" s="31">
        <f>SUMIFS(F1439:F3130,K1439:K3130,"0",B1439:B3130,"5 1 1 1 3 12 31111 6 M78 19000 321 00C 001*")</f>
        <v>230564.14</v>
      </c>
      <c r="G1438" s="31">
        <f>SUMIFS(G1439:G3130,K1439:K3130,"0",B1439:B3130,"5 1 1 1 3 12 31111 6 M78 19000 321 00C 001*")</f>
        <v>0</v>
      </c>
      <c r="H1438" s="31">
        <f t="shared" si="23"/>
        <v>230564.14</v>
      </c>
      <c r="I1438" s="31"/>
      <c r="K1438" t="s">
        <v>13</v>
      </c>
    </row>
    <row r="1439" spans="2:11" ht="13" x14ac:dyDescent="0.15">
      <c r="B1439" s="29" t="s">
        <v>2049</v>
      </c>
      <c r="C1439" s="29" t="s">
        <v>1810</v>
      </c>
      <c r="D1439" s="31">
        <f>SUMIFS(D1440:D3130,K1440:K3130,"0",B1440:B3130,"5 1 1 1 3 12 31111 6 M78 19000 321 00C 001 11301*")-SUMIFS(E1440:E3130,K1440:K3130,"0",B1440:B3130,"5 1 1 1 3 12 31111 6 M78 19000 321 00C 001 11301*")</f>
        <v>0</v>
      </c>
      <c r="E1439"/>
      <c r="F1439" s="31">
        <f>SUMIFS(F1440:F3130,K1440:K3130,"0",B1440:B3130,"5 1 1 1 3 12 31111 6 M78 19000 321 00C 001 11301*")</f>
        <v>230564.14</v>
      </c>
      <c r="G1439" s="31">
        <f>SUMIFS(G1440:G3130,K1440:K3130,"0",B1440:B3130,"5 1 1 1 3 12 31111 6 M78 19000 321 00C 001 11301*")</f>
        <v>0</v>
      </c>
      <c r="H1439" s="31">
        <f t="shared" si="23"/>
        <v>230564.14</v>
      </c>
      <c r="I1439" s="31"/>
      <c r="K1439" t="s">
        <v>13</v>
      </c>
    </row>
    <row r="1440" spans="2:11" ht="22" x14ac:dyDescent="0.15">
      <c r="B1440" s="29" t="s">
        <v>2050</v>
      </c>
      <c r="C1440" s="29" t="s">
        <v>271</v>
      </c>
      <c r="D1440" s="31">
        <f>SUMIFS(D1441:D3130,K1441:K3130,"0",B1441:B3130,"5 1 1 1 3 12 31111 6 M78 19000 321 00C 001 11301 015*")-SUMIFS(E1441:E3130,K1441:K3130,"0",B1441:B3130,"5 1 1 1 3 12 31111 6 M78 19000 321 00C 001 11301 015*")</f>
        <v>0</v>
      </c>
      <c r="E1440"/>
      <c r="F1440" s="31">
        <f>SUMIFS(F1441:F3130,K1441:K3130,"0",B1441:B3130,"5 1 1 1 3 12 31111 6 M78 19000 321 00C 001 11301 015*")</f>
        <v>230564.14</v>
      </c>
      <c r="G1440" s="31">
        <f>SUMIFS(G1441:G3130,K1441:K3130,"0",B1441:B3130,"5 1 1 1 3 12 31111 6 M78 19000 321 00C 001 11301 015*")</f>
        <v>0</v>
      </c>
      <c r="H1440" s="31">
        <f t="shared" si="23"/>
        <v>230564.14</v>
      </c>
      <c r="I1440" s="31"/>
      <c r="K1440" t="s">
        <v>13</v>
      </c>
    </row>
    <row r="1441" spans="2:11" ht="22" x14ac:dyDescent="0.15">
      <c r="B1441" s="29" t="s">
        <v>2051</v>
      </c>
      <c r="C1441" s="29" t="s">
        <v>1813</v>
      </c>
      <c r="D1441" s="31">
        <f>SUMIFS(D1442:D3130,K1442:K3130,"0",B1442:B3130,"5 1 1 1 3 12 31111 6 M78 19000 321 00C 001 11301 015 2111100*")-SUMIFS(E1442:E3130,K1442:K3130,"0",B1442:B3130,"5 1 1 1 3 12 31111 6 M78 19000 321 00C 001 11301 015 2111100*")</f>
        <v>0</v>
      </c>
      <c r="E1441"/>
      <c r="F1441" s="31">
        <f>SUMIFS(F1442:F3130,K1442:K3130,"0",B1442:B3130,"5 1 1 1 3 12 31111 6 M78 19000 321 00C 001 11301 015 2111100*")</f>
        <v>230564.14</v>
      </c>
      <c r="G1441" s="31">
        <f>SUMIFS(G1442:G3130,K1442:K3130,"0",B1442:B3130,"5 1 1 1 3 12 31111 6 M78 19000 321 00C 001 11301 015 2111100*")</f>
        <v>0</v>
      </c>
      <c r="H1441" s="31">
        <f t="shared" si="23"/>
        <v>230564.14</v>
      </c>
      <c r="I1441" s="31"/>
      <c r="K1441" t="s">
        <v>13</v>
      </c>
    </row>
    <row r="1442" spans="2:11" ht="22" x14ac:dyDescent="0.15">
      <c r="B1442" s="29" t="s">
        <v>2052</v>
      </c>
      <c r="C1442" s="29" t="s">
        <v>275</v>
      </c>
      <c r="D1442" s="31">
        <f>SUMIFS(D1443:D3130,K1443:K3130,"0",B1443:B3130,"5 1 1 1 3 12 31111 6 M78 19000 321 00C 001 11301 015 2111100 2024*")-SUMIFS(E1443:E3130,K1443:K3130,"0",B1443:B3130,"5 1 1 1 3 12 31111 6 M78 19000 321 00C 001 11301 015 2111100 2024*")</f>
        <v>0</v>
      </c>
      <c r="E1442"/>
      <c r="F1442" s="31">
        <f>SUMIFS(F1443:F3130,K1443:K3130,"0",B1443:B3130,"5 1 1 1 3 12 31111 6 M78 19000 321 00C 001 11301 015 2111100 2024*")</f>
        <v>230564.14</v>
      </c>
      <c r="G1442" s="31">
        <f>SUMIFS(G1443:G3130,K1443:K3130,"0",B1443:B3130,"5 1 1 1 3 12 31111 6 M78 19000 321 00C 001 11301 015 2111100 2024*")</f>
        <v>0</v>
      </c>
      <c r="H1442" s="31">
        <f t="shared" si="23"/>
        <v>230564.14</v>
      </c>
      <c r="I1442" s="31"/>
      <c r="K1442" t="s">
        <v>13</v>
      </c>
    </row>
    <row r="1443" spans="2:11" ht="22" x14ac:dyDescent="0.15">
      <c r="B1443" s="29" t="s">
        <v>2053</v>
      </c>
      <c r="C1443" s="29" t="s">
        <v>277</v>
      </c>
      <c r="D1443" s="31">
        <f>SUMIFS(D1444:D3130,K1444:K3130,"0",B1444:B3130,"5 1 1 1 3 12 31111 6 M78 19000 321 00C 001 11301 015 2111100 2024 00000000*")-SUMIFS(E1444:E3130,K1444:K3130,"0",B1444:B3130,"5 1 1 1 3 12 31111 6 M78 19000 321 00C 001 11301 015 2111100 2024 00000000*")</f>
        <v>0</v>
      </c>
      <c r="E1443"/>
      <c r="F1443" s="31">
        <f>SUMIFS(F1444:F3130,K1444:K3130,"0",B1444:B3130,"5 1 1 1 3 12 31111 6 M78 19000 321 00C 001 11301 015 2111100 2024 00000000*")</f>
        <v>230564.14</v>
      </c>
      <c r="G1443" s="31">
        <f>SUMIFS(G1444:G3130,K1444:K3130,"0",B1444:B3130,"5 1 1 1 3 12 31111 6 M78 19000 321 00C 001 11301 015 2111100 2024 00000000*")</f>
        <v>0</v>
      </c>
      <c r="H1443" s="31">
        <f t="shared" si="23"/>
        <v>230564.14</v>
      </c>
      <c r="I1443" s="31"/>
      <c r="K1443" t="s">
        <v>13</v>
      </c>
    </row>
    <row r="1444" spans="2:11" ht="22" x14ac:dyDescent="0.15">
      <c r="B1444" s="29" t="s">
        <v>2054</v>
      </c>
      <c r="C1444" s="29" t="s">
        <v>32</v>
      </c>
      <c r="D1444" s="31">
        <f>SUMIFS(D1445:D3130,K1445:K3130,"0",B1445:B3130,"5 1 1 1 3 12 31111 6 M78 19000 321 00C 001 11301 015 2111100 2024 00000000 001*")-SUMIFS(E1445:E3130,K1445:K3130,"0",B1445:B3130,"5 1 1 1 3 12 31111 6 M78 19000 321 00C 001 11301 015 2111100 2024 00000000 001*")</f>
        <v>0</v>
      </c>
      <c r="E1444"/>
      <c r="F1444" s="31">
        <f>SUMIFS(F1445:F3130,K1445:K3130,"0",B1445:B3130,"5 1 1 1 3 12 31111 6 M78 19000 321 00C 001 11301 015 2111100 2024 00000000 001*")</f>
        <v>230564.14</v>
      </c>
      <c r="G1444" s="31">
        <f>SUMIFS(G1445:G3130,K1445:K3130,"0",B1445:B3130,"5 1 1 1 3 12 31111 6 M78 19000 321 00C 001 11301 015 2111100 2024 00000000 001*")</f>
        <v>0</v>
      </c>
      <c r="H1444" s="31">
        <f t="shared" si="23"/>
        <v>230564.14</v>
      </c>
      <c r="I1444" s="31"/>
      <c r="K1444" t="s">
        <v>13</v>
      </c>
    </row>
    <row r="1445" spans="2:11" ht="22" x14ac:dyDescent="0.15">
      <c r="B1445" s="29" t="s">
        <v>2055</v>
      </c>
      <c r="C1445" s="29" t="s">
        <v>2056</v>
      </c>
      <c r="D1445" s="31">
        <f>SUMIFS(D1446:D3130,K1446:K3130,"0",B1446:B3130,"5 1 1 1 3 12 31111 6 M78 19000 321 00C 001 11301 015 2111100 2024 00000000 001 001*")-SUMIFS(E1446:E3130,K1446:K3130,"0",B1446:B3130,"5 1 1 1 3 12 31111 6 M78 19000 321 00C 001 11301 015 2111100 2024 00000000 001 001*")</f>
        <v>0</v>
      </c>
      <c r="E1445"/>
      <c r="F1445" s="31">
        <f>SUMIFS(F1446:F3130,K1446:K3130,"0",B1446:B3130,"5 1 1 1 3 12 31111 6 M78 19000 321 00C 001 11301 015 2111100 2024 00000000 001 001*")</f>
        <v>230564.14</v>
      </c>
      <c r="G1445" s="31">
        <f>SUMIFS(G1446:G3130,K1446:K3130,"0",B1446:B3130,"5 1 1 1 3 12 31111 6 M78 19000 321 00C 001 11301 015 2111100 2024 00000000 001 001*")</f>
        <v>0</v>
      </c>
      <c r="H1445" s="31">
        <f t="shared" si="23"/>
        <v>230564.14</v>
      </c>
      <c r="I1445" s="31"/>
      <c r="K1445" t="s">
        <v>13</v>
      </c>
    </row>
    <row r="1446" spans="2:11" ht="22" x14ac:dyDescent="0.15">
      <c r="B1446" s="27" t="s">
        <v>2057</v>
      </c>
      <c r="C1446" s="27" t="s">
        <v>1820</v>
      </c>
      <c r="D1446" s="30">
        <v>0</v>
      </c>
      <c r="E1446" s="30"/>
      <c r="F1446" s="30">
        <v>230564.14</v>
      </c>
      <c r="G1446" s="30">
        <v>0</v>
      </c>
      <c r="H1446" s="30">
        <f t="shared" si="23"/>
        <v>230564.14</v>
      </c>
      <c r="I1446" s="30"/>
      <c r="K1446" t="s">
        <v>37</v>
      </c>
    </row>
    <row r="1447" spans="2:11" ht="13" x14ac:dyDescent="0.15">
      <c r="B1447" s="29" t="s">
        <v>2058</v>
      </c>
      <c r="C1447" s="29" t="s">
        <v>2059</v>
      </c>
      <c r="D1447" s="31">
        <f>SUMIFS(D1448:D3130,K1448:K3130,"0",B1448:B3130,"5 1 1 1 3 12 31111 6 M78 20000*")-SUMIFS(E1448:E3130,K1448:K3130,"0",B1448:B3130,"5 1 1 1 3 12 31111 6 M78 20000*")</f>
        <v>0</v>
      </c>
      <c r="E1447"/>
      <c r="F1447" s="31">
        <f>SUMIFS(F1448:F3130,K1448:K3130,"0",B1448:B3130,"5 1 1 1 3 12 31111 6 M78 20000*")</f>
        <v>157320</v>
      </c>
      <c r="G1447" s="31">
        <f>SUMIFS(G1448:G3130,K1448:K3130,"0",B1448:B3130,"5 1 1 1 3 12 31111 6 M78 20000*")</f>
        <v>0</v>
      </c>
      <c r="H1447" s="31">
        <f t="shared" si="23"/>
        <v>157320</v>
      </c>
      <c r="I1447" s="31"/>
      <c r="K1447" t="s">
        <v>13</v>
      </c>
    </row>
    <row r="1448" spans="2:11" ht="13" x14ac:dyDescent="0.15">
      <c r="B1448" s="29" t="s">
        <v>2060</v>
      </c>
      <c r="C1448" s="29" t="s">
        <v>2061</v>
      </c>
      <c r="D1448" s="31">
        <f>SUMIFS(D1449:D3130,K1449:K3130,"0",B1449:B3130,"5 1 1 1 3 12 31111 6 M78 20000 181*")-SUMIFS(E1449:E3130,K1449:K3130,"0",B1449:B3130,"5 1 1 1 3 12 31111 6 M78 20000 181*")</f>
        <v>0</v>
      </c>
      <c r="E1448"/>
      <c r="F1448" s="31">
        <f>SUMIFS(F1449:F3130,K1449:K3130,"0",B1449:B3130,"5 1 1 1 3 12 31111 6 M78 20000 181*")</f>
        <v>157320</v>
      </c>
      <c r="G1448" s="31">
        <f>SUMIFS(G1449:G3130,K1449:K3130,"0",B1449:B3130,"5 1 1 1 3 12 31111 6 M78 20000 181*")</f>
        <v>0</v>
      </c>
      <c r="H1448" s="31">
        <f t="shared" si="23"/>
        <v>157320</v>
      </c>
      <c r="I1448" s="31"/>
      <c r="K1448" t="s">
        <v>13</v>
      </c>
    </row>
    <row r="1449" spans="2:11" ht="13" x14ac:dyDescent="0.15">
      <c r="B1449" s="29" t="s">
        <v>2062</v>
      </c>
      <c r="C1449" s="29" t="s">
        <v>265</v>
      </c>
      <c r="D1449" s="31">
        <f>SUMIFS(D1450:D3130,K1450:K3130,"0",B1450:B3130,"5 1 1 1 3 12 31111 6 M78 20000 181 00C*")-SUMIFS(E1450:E3130,K1450:K3130,"0",B1450:B3130,"5 1 1 1 3 12 31111 6 M78 20000 181 00C*")</f>
        <v>0</v>
      </c>
      <c r="E1449"/>
      <c r="F1449" s="31">
        <f>SUMIFS(F1450:F3130,K1450:K3130,"0",B1450:B3130,"5 1 1 1 3 12 31111 6 M78 20000 181 00C*")</f>
        <v>157320</v>
      </c>
      <c r="G1449" s="31">
        <f>SUMIFS(G1450:G3130,K1450:K3130,"0",B1450:B3130,"5 1 1 1 3 12 31111 6 M78 20000 181 00C*")</f>
        <v>0</v>
      </c>
      <c r="H1449" s="31">
        <f t="shared" si="23"/>
        <v>157320</v>
      </c>
      <c r="I1449" s="31"/>
      <c r="K1449" t="s">
        <v>13</v>
      </c>
    </row>
    <row r="1450" spans="2:11" ht="13" x14ac:dyDescent="0.15">
      <c r="B1450" s="29" t="s">
        <v>2063</v>
      </c>
      <c r="C1450" s="29" t="s">
        <v>32</v>
      </c>
      <c r="D1450" s="31">
        <f>SUMIFS(D1451:D3130,K1451:K3130,"0",B1451:B3130,"5 1 1 1 3 12 31111 6 M78 20000 181 00C 001*")-SUMIFS(E1451:E3130,K1451:K3130,"0",B1451:B3130,"5 1 1 1 3 12 31111 6 M78 20000 181 00C 001*")</f>
        <v>0</v>
      </c>
      <c r="E1450"/>
      <c r="F1450" s="31">
        <f>SUMIFS(F1451:F3130,K1451:K3130,"0",B1451:B3130,"5 1 1 1 3 12 31111 6 M78 20000 181 00C 001*")</f>
        <v>157320</v>
      </c>
      <c r="G1450" s="31">
        <f>SUMIFS(G1451:G3130,K1451:K3130,"0",B1451:B3130,"5 1 1 1 3 12 31111 6 M78 20000 181 00C 001*")</f>
        <v>0</v>
      </c>
      <c r="H1450" s="31">
        <f t="shared" si="23"/>
        <v>157320</v>
      </c>
      <c r="I1450" s="31"/>
      <c r="K1450" t="s">
        <v>13</v>
      </c>
    </row>
    <row r="1451" spans="2:11" ht="13" x14ac:dyDescent="0.15">
      <c r="B1451" s="29" t="s">
        <v>2064</v>
      </c>
      <c r="C1451" s="29" t="s">
        <v>1810</v>
      </c>
      <c r="D1451" s="31">
        <f>SUMIFS(D1452:D3130,K1452:K3130,"0",B1452:B3130,"5 1 1 1 3 12 31111 6 M78 20000 181 00C 001 11301*")-SUMIFS(E1452:E3130,K1452:K3130,"0",B1452:B3130,"5 1 1 1 3 12 31111 6 M78 20000 181 00C 001 11301*")</f>
        <v>0</v>
      </c>
      <c r="E1451"/>
      <c r="F1451" s="31">
        <f>SUMIFS(F1452:F3130,K1452:K3130,"0",B1452:B3130,"5 1 1 1 3 12 31111 6 M78 20000 181 00C 001 11301*")</f>
        <v>157320</v>
      </c>
      <c r="G1451" s="31">
        <f>SUMIFS(G1452:G3130,K1452:K3130,"0",B1452:B3130,"5 1 1 1 3 12 31111 6 M78 20000 181 00C 001 11301*")</f>
        <v>0</v>
      </c>
      <c r="H1451" s="31">
        <f t="shared" si="23"/>
        <v>157320</v>
      </c>
      <c r="I1451" s="31"/>
      <c r="K1451" t="s">
        <v>13</v>
      </c>
    </row>
    <row r="1452" spans="2:11" ht="22" x14ac:dyDescent="0.15">
      <c r="B1452" s="29" t="s">
        <v>2065</v>
      </c>
      <c r="C1452" s="29" t="s">
        <v>271</v>
      </c>
      <c r="D1452" s="31">
        <f>SUMIFS(D1453:D3130,K1453:K3130,"0",B1453:B3130,"5 1 1 1 3 12 31111 6 M78 20000 181 00C 001 11301 015*")-SUMIFS(E1453:E3130,K1453:K3130,"0",B1453:B3130,"5 1 1 1 3 12 31111 6 M78 20000 181 00C 001 11301 015*")</f>
        <v>0</v>
      </c>
      <c r="E1452"/>
      <c r="F1452" s="31">
        <f>SUMIFS(F1453:F3130,K1453:K3130,"0",B1453:B3130,"5 1 1 1 3 12 31111 6 M78 20000 181 00C 001 11301 015*")</f>
        <v>157320</v>
      </c>
      <c r="G1452" s="31">
        <f>SUMIFS(G1453:G3130,K1453:K3130,"0",B1453:B3130,"5 1 1 1 3 12 31111 6 M78 20000 181 00C 001 11301 015*")</f>
        <v>0</v>
      </c>
      <c r="H1452" s="31">
        <f t="shared" si="23"/>
        <v>157320</v>
      </c>
      <c r="I1452" s="31"/>
      <c r="K1452" t="s">
        <v>13</v>
      </c>
    </row>
    <row r="1453" spans="2:11" ht="22" x14ac:dyDescent="0.15">
      <c r="B1453" s="29" t="s">
        <v>2066</v>
      </c>
      <c r="C1453" s="29" t="s">
        <v>1813</v>
      </c>
      <c r="D1453" s="31">
        <f>SUMIFS(D1454:D3130,K1454:K3130,"0",B1454:B3130,"5 1 1 1 3 12 31111 6 M78 20000 181 00C 001 11301 015 2111100*")-SUMIFS(E1454:E3130,K1454:K3130,"0",B1454:B3130,"5 1 1 1 3 12 31111 6 M78 20000 181 00C 001 11301 015 2111100*")</f>
        <v>0</v>
      </c>
      <c r="E1453"/>
      <c r="F1453" s="31">
        <f>SUMIFS(F1454:F3130,K1454:K3130,"0",B1454:B3130,"5 1 1 1 3 12 31111 6 M78 20000 181 00C 001 11301 015 2111100*")</f>
        <v>157320</v>
      </c>
      <c r="G1453" s="31">
        <f>SUMIFS(G1454:G3130,K1454:K3130,"0",B1454:B3130,"5 1 1 1 3 12 31111 6 M78 20000 181 00C 001 11301 015 2111100*")</f>
        <v>0</v>
      </c>
      <c r="H1453" s="31">
        <f t="shared" si="23"/>
        <v>157320</v>
      </c>
      <c r="I1453" s="31"/>
      <c r="K1453" t="s">
        <v>13</v>
      </c>
    </row>
    <row r="1454" spans="2:11" ht="22" x14ac:dyDescent="0.15">
      <c r="B1454" s="29" t="s">
        <v>2067</v>
      </c>
      <c r="C1454" s="29" t="s">
        <v>275</v>
      </c>
      <c r="D1454" s="31">
        <f>SUMIFS(D1455:D3130,K1455:K3130,"0",B1455:B3130,"5 1 1 1 3 12 31111 6 M78 20000 181 00C 001 11301 015 2111100 2024*")-SUMIFS(E1455:E3130,K1455:K3130,"0",B1455:B3130,"5 1 1 1 3 12 31111 6 M78 20000 181 00C 001 11301 015 2111100 2024*")</f>
        <v>0</v>
      </c>
      <c r="E1454"/>
      <c r="F1454" s="31">
        <f>SUMIFS(F1455:F3130,K1455:K3130,"0",B1455:B3130,"5 1 1 1 3 12 31111 6 M78 20000 181 00C 001 11301 015 2111100 2024*")</f>
        <v>157320</v>
      </c>
      <c r="G1454" s="31">
        <f>SUMIFS(G1455:G3130,K1455:K3130,"0",B1455:B3130,"5 1 1 1 3 12 31111 6 M78 20000 181 00C 001 11301 015 2111100 2024*")</f>
        <v>0</v>
      </c>
      <c r="H1454" s="31">
        <f t="shared" si="23"/>
        <v>157320</v>
      </c>
      <c r="I1454" s="31"/>
      <c r="K1454" t="s">
        <v>13</v>
      </c>
    </row>
    <row r="1455" spans="2:11" ht="22" x14ac:dyDescent="0.15">
      <c r="B1455" s="29" t="s">
        <v>2068</v>
      </c>
      <c r="C1455" s="29" t="s">
        <v>277</v>
      </c>
      <c r="D1455" s="31">
        <f>SUMIFS(D1456:D3130,K1456:K3130,"0",B1456:B3130,"5 1 1 1 3 12 31111 6 M78 20000 181 00C 001 11301 015 2111100 2024 00000000*")-SUMIFS(E1456:E3130,K1456:K3130,"0",B1456:B3130,"5 1 1 1 3 12 31111 6 M78 20000 181 00C 001 11301 015 2111100 2024 00000000*")</f>
        <v>0</v>
      </c>
      <c r="E1455"/>
      <c r="F1455" s="31">
        <f>SUMIFS(F1456:F3130,K1456:K3130,"0",B1456:B3130,"5 1 1 1 3 12 31111 6 M78 20000 181 00C 001 11301 015 2111100 2024 00000000*")</f>
        <v>157320</v>
      </c>
      <c r="G1455" s="31">
        <f>SUMIFS(G1456:G3130,K1456:K3130,"0",B1456:B3130,"5 1 1 1 3 12 31111 6 M78 20000 181 00C 001 11301 015 2111100 2024 00000000*")</f>
        <v>0</v>
      </c>
      <c r="H1455" s="31">
        <f t="shared" si="23"/>
        <v>157320</v>
      </c>
      <c r="I1455" s="31"/>
      <c r="K1455" t="s">
        <v>13</v>
      </c>
    </row>
    <row r="1456" spans="2:11" ht="22" x14ac:dyDescent="0.15">
      <c r="B1456" s="29" t="s">
        <v>2069</v>
      </c>
      <c r="C1456" s="29" t="s">
        <v>32</v>
      </c>
      <c r="D1456" s="31">
        <f>SUMIFS(D1457:D3130,K1457:K3130,"0",B1457:B3130,"5 1 1 1 3 12 31111 6 M78 20000 181 00C 001 11301 015 2111100 2024 00000000 001*")-SUMIFS(E1457:E3130,K1457:K3130,"0",B1457:B3130,"5 1 1 1 3 12 31111 6 M78 20000 181 00C 001 11301 015 2111100 2024 00000000 001*")</f>
        <v>0</v>
      </c>
      <c r="E1456"/>
      <c r="F1456" s="31">
        <f>SUMIFS(F1457:F3130,K1457:K3130,"0",B1457:B3130,"5 1 1 1 3 12 31111 6 M78 20000 181 00C 001 11301 015 2111100 2024 00000000 001*")</f>
        <v>157320</v>
      </c>
      <c r="G1456" s="31">
        <f>SUMIFS(G1457:G3130,K1457:K3130,"0",B1457:B3130,"5 1 1 1 3 12 31111 6 M78 20000 181 00C 001 11301 015 2111100 2024 00000000 001*")</f>
        <v>0</v>
      </c>
      <c r="H1456" s="31">
        <f t="shared" si="23"/>
        <v>157320</v>
      </c>
      <c r="I1456" s="31"/>
      <c r="K1456" t="s">
        <v>13</v>
      </c>
    </row>
    <row r="1457" spans="2:11" ht="22" x14ac:dyDescent="0.15">
      <c r="B1457" s="29" t="s">
        <v>2070</v>
      </c>
      <c r="C1457" s="29" t="s">
        <v>2071</v>
      </c>
      <c r="D1457" s="31">
        <f>SUMIFS(D1458:D3130,K1458:K3130,"0",B1458:B3130,"5 1 1 1 3 12 31111 6 M78 20000 181 00C 001 11301 015 2111100 2024 00000000 001 001*")-SUMIFS(E1458:E3130,K1458:K3130,"0",B1458:B3130,"5 1 1 1 3 12 31111 6 M78 20000 181 00C 001 11301 015 2111100 2024 00000000 001 001*")</f>
        <v>0</v>
      </c>
      <c r="E1457"/>
      <c r="F1457" s="31">
        <f>SUMIFS(F1458:F3130,K1458:K3130,"0",B1458:B3130,"5 1 1 1 3 12 31111 6 M78 20000 181 00C 001 11301 015 2111100 2024 00000000 001 001*")</f>
        <v>157320</v>
      </c>
      <c r="G1457" s="31">
        <f>SUMIFS(G1458:G3130,K1458:K3130,"0",B1458:B3130,"5 1 1 1 3 12 31111 6 M78 20000 181 00C 001 11301 015 2111100 2024 00000000 001 001*")</f>
        <v>0</v>
      </c>
      <c r="H1457" s="31">
        <f t="shared" si="23"/>
        <v>157320</v>
      </c>
      <c r="I1457" s="31"/>
      <c r="K1457" t="s">
        <v>13</v>
      </c>
    </row>
    <row r="1458" spans="2:11" ht="22" x14ac:dyDescent="0.15">
      <c r="B1458" s="27" t="s">
        <v>2072</v>
      </c>
      <c r="C1458" s="27" t="s">
        <v>1820</v>
      </c>
      <c r="D1458" s="30">
        <v>0</v>
      </c>
      <c r="E1458" s="30"/>
      <c r="F1458" s="30">
        <v>157320</v>
      </c>
      <c r="G1458" s="30">
        <v>0</v>
      </c>
      <c r="H1458" s="30">
        <f t="shared" si="23"/>
        <v>157320</v>
      </c>
      <c r="I1458" s="30"/>
      <c r="K1458" t="s">
        <v>37</v>
      </c>
    </row>
    <row r="1459" spans="2:11" ht="13" x14ac:dyDescent="0.15">
      <c r="B1459" s="29" t="s">
        <v>2073</v>
      </c>
      <c r="C1459" s="29" t="s">
        <v>2074</v>
      </c>
      <c r="D1459" s="31">
        <f>SUMIFS(D1460:D3130,K1460:K3130,"0",B1460:B3130,"5 1 1 1 3 12 31111 6 M78 21000*")-SUMIFS(E1460:E3130,K1460:K3130,"0",B1460:B3130,"5 1 1 1 3 12 31111 6 M78 21000*")</f>
        <v>0</v>
      </c>
      <c r="E1459"/>
      <c r="F1459" s="31">
        <f>SUMIFS(F1460:F3130,K1460:K3130,"0",B1460:B3130,"5 1 1 1 3 12 31111 6 M78 21000*")</f>
        <v>117070.34</v>
      </c>
      <c r="G1459" s="31">
        <f>SUMIFS(G1460:G3130,K1460:K3130,"0",B1460:B3130,"5 1 1 1 3 12 31111 6 M78 21000*")</f>
        <v>0</v>
      </c>
      <c r="H1459" s="31">
        <f t="shared" si="23"/>
        <v>117070.34</v>
      </c>
      <c r="I1459" s="31"/>
      <c r="K1459" t="s">
        <v>13</v>
      </c>
    </row>
    <row r="1460" spans="2:11" ht="13" x14ac:dyDescent="0.15">
      <c r="B1460" s="29" t="s">
        <v>2075</v>
      </c>
      <c r="C1460" s="29" t="s">
        <v>2076</v>
      </c>
      <c r="D1460" s="31">
        <f>SUMIFS(D1461:D3130,K1461:K3130,"0",B1461:B3130,"5 1 1 1 3 12 31111 6 M78 21000 242*")-SUMIFS(E1461:E3130,K1461:K3130,"0",B1461:B3130,"5 1 1 1 3 12 31111 6 M78 21000 242*")</f>
        <v>0</v>
      </c>
      <c r="E1460"/>
      <c r="F1460" s="31">
        <f>SUMIFS(F1461:F3130,K1461:K3130,"0",B1461:B3130,"5 1 1 1 3 12 31111 6 M78 21000 242*")</f>
        <v>117070.34</v>
      </c>
      <c r="G1460" s="31">
        <f>SUMIFS(G1461:G3130,K1461:K3130,"0",B1461:B3130,"5 1 1 1 3 12 31111 6 M78 21000 242*")</f>
        <v>0</v>
      </c>
      <c r="H1460" s="31">
        <f t="shared" si="23"/>
        <v>117070.34</v>
      </c>
      <c r="I1460" s="31"/>
      <c r="K1460" t="s">
        <v>13</v>
      </c>
    </row>
    <row r="1461" spans="2:11" ht="13" x14ac:dyDescent="0.15">
      <c r="B1461" s="29" t="s">
        <v>2077</v>
      </c>
      <c r="C1461" s="29" t="s">
        <v>265</v>
      </c>
      <c r="D1461" s="31">
        <f>SUMIFS(D1462:D3130,K1462:K3130,"0",B1462:B3130,"5 1 1 1 3 12 31111 6 M78 21000 242 00C*")-SUMIFS(E1462:E3130,K1462:K3130,"0",B1462:B3130,"5 1 1 1 3 12 31111 6 M78 21000 242 00C*")</f>
        <v>0</v>
      </c>
      <c r="E1461"/>
      <c r="F1461" s="31">
        <f>SUMIFS(F1462:F3130,K1462:K3130,"0",B1462:B3130,"5 1 1 1 3 12 31111 6 M78 21000 242 00C*")</f>
        <v>117070.34</v>
      </c>
      <c r="G1461" s="31">
        <f>SUMIFS(G1462:G3130,K1462:K3130,"0",B1462:B3130,"5 1 1 1 3 12 31111 6 M78 21000 242 00C*")</f>
        <v>0</v>
      </c>
      <c r="H1461" s="31">
        <f t="shared" si="23"/>
        <v>117070.34</v>
      </c>
      <c r="I1461" s="31"/>
      <c r="K1461" t="s">
        <v>13</v>
      </c>
    </row>
    <row r="1462" spans="2:11" ht="13" x14ac:dyDescent="0.15">
      <c r="B1462" s="29" t="s">
        <v>2078</v>
      </c>
      <c r="C1462" s="29" t="s">
        <v>32</v>
      </c>
      <c r="D1462" s="31">
        <f>SUMIFS(D1463:D3130,K1463:K3130,"0",B1463:B3130,"5 1 1 1 3 12 31111 6 M78 21000 242 00C 001*")-SUMIFS(E1463:E3130,K1463:K3130,"0",B1463:B3130,"5 1 1 1 3 12 31111 6 M78 21000 242 00C 001*")</f>
        <v>0</v>
      </c>
      <c r="E1462"/>
      <c r="F1462" s="31">
        <f>SUMIFS(F1463:F3130,K1463:K3130,"0",B1463:B3130,"5 1 1 1 3 12 31111 6 M78 21000 242 00C 001*")</f>
        <v>117070.34</v>
      </c>
      <c r="G1462" s="31">
        <f>SUMIFS(G1463:G3130,K1463:K3130,"0",B1463:B3130,"5 1 1 1 3 12 31111 6 M78 21000 242 00C 001*")</f>
        <v>0</v>
      </c>
      <c r="H1462" s="31">
        <f t="shared" si="23"/>
        <v>117070.34</v>
      </c>
      <c r="I1462" s="31"/>
      <c r="K1462" t="s">
        <v>13</v>
      </c>
    </row>
    <row r="1463" spans="2:11" ht="13" x14ac:dyDescent="0.15">
      <c r="B1463" s="29" t="s">
        <v>2079</v>
      </c>
      <c r="C1463" s="29" t="s">
        <v>1810</v>
      </c>
      <c r="D1463" s="31">
        <f>SUMIFS(D1464:D3130,K1464:K3130,"0",B1464:B3130,"5 1 1 1 3 12 31111 6 M78 21000 242 00C 001 11301*")-SUMIFS(E1464:E3130,K1464:K3130,"0",B1464:B3130,"5 1 1 1 3 12 31111 6 M78 21000 242 00C 001 11301*")</f>
        <v>0</v>
      </c>
      <c r="E1463"/>
      <c r="F1463" s="31">
        <f>SUMIFS(F1464:F3130,K1464:K3130,"0",B1464:B3130,"5 1 1 1 3 12 31111 6 M78 21000 242 00C 001 11301*")</f>
        <v>117070.34</v>
      </c>
      <c r="G1463" s="31">
        <f>SUMIFS(G1464:G3130,K1464:K3130,"0",B1464:B3130,"5 1 1 1 3 12 31111 6 M78 21000 242 00C 001 11301*")</f>
        <v>0</v>
      </c>
      <c r="H1463" s="31">
        <f t="shared" si="23"/>
        <v>117070.34</v>
      </c>
      <c r="I1463" s="31"/>
      <c r="K1463" t="s">
        <v>13</v>
      </c>
    </row>
    <row r="1464" spans="2:11" ht="22" x14ac:dyDescent="0.15">
      <c r="B1464" s="29" t="s">
        <v>2080</v>
      </c>
      <c r="C1464" s="29" t="s">
        <v>271</v>
      </c>
      <c r="D1464" s="31">
        <f>SUMIFS(D1465:D3130,K1465:K3130,"0",B1465:B3130,"5 1 1 1 3 12 31111 6 M78 21000 242 00C 001 11301 015*")-SUMIFS(E1465:E3130,K1465:K3130,"0",B1465:B3130,"5 1 1 1 3 12 31111 6 M78 21000 242 00C 001 11301 015*")</f>
        <v>0</v>
      </c>
      <c r="E1464"/>
      <c r="F1464" s="31">
        <f>SUMIFS(F1465:F3130,K1465:K3130,"0",B1465:B3130,"5 1 1 1 3 12 31111 6 M78 21000 242 00C 001 11301 015*")</f>
        <v>117070.34</v>
      </c>
      <c r="G1464" s="31">
        <f>SUMIFS(G1465:G3130,K1465:K3130,"0",B1465:B3130,"5 1 1 1 3 12 31111 6 M78 21000 242 00C 001 11301 015*")</f>
        <v>0</v>
      </c>
      <c r="H1464" s="31">
        <f t="shared" si="23"/>
        <v>117070.34</v>
      </c>
      <c r="I1464" s="31"/>
      <c r="K1464" t="s">
        <v>13</v>
      </c>
    </row>
    <row r="1465" spans="2:11" ht="22" x14ac:dyDescent="0.15">
      <c r="B1465" s="29" t="s">
        <v>2081</v>
      </c>
      <c r="C1465" s="29" t="s">
        <v>1813</v>
      </c>
      <c r="D1465" s="31">
        <f>SUMIFS(D1466:D3130,K1466:K3130,"0",B1466:B3130,"5 1 1 1 3 12 31111 6 M78 21000 242 00C 001 11301 015 2111100*")-SUMIFS(E1466:E3130,K1466:K3130,"0",B1466:B3130,"5 1 1 1 3 12 31111 6 M78 21000 242 00C 001 11301 015 2111100*")</f>
        <v>0</v>
      </c>
      <c r="E1465"/>
      <c r="F1465" s="31">
        <f>SUMIFS(F1466:F3130,K1466:K3130,"0",B1466:B3130,"5 1 1 1 3 12 31111 6 M78 21000 242 00C 001 11301 015 2111100*")</f>
        <v>117070.34</v>
      </c>
      <c r="G1465" s="31">
        <f>SUMIFS(G1466:G3130,K1466:K3130,"0",B1466:B3130,"5 1 1 1 3 12 31111 6 M78 21000 242 00C 001 11301 015 2111100*")</f>
        <v>0</v>
      </c>
      <c r="H1465" s="31">
        <f t="shared" si="23"/>
        <v>117070.34</v>
      </c>
      <c r="I1465" s="31"/>
      <c r="K1465" t="s">
        <v>13</v>
      </c>
    </row>
    <row r="1466" spans="2:11" ht="22" x14ac:dyDescent="0.15">
      <c r="B1466" s="29" t="s">
        <v>2082</v>
      </c>
      <c r="C1466" s="29" t="s">
        <v>275</v>
      </c>
      <c r="D1466" s="31">
        <f>SUMIFS(D1467:D3130,K1467:K3130,"0",B1467:B3130,"5 1 1 1 3 12 31111 6 M78 21000 242 00C 001 11301 015 2111100 2024*")-SUMIFS(E1467:E3130,K1467:K3130,"0",B1467:B3130,"5 1 1 1 3 12 31111 6 M78 21000 242 00C 001 11301 015 2111100 2024*")</f>
        <v>0</v>
      </c>
      <c r="E1466"/>
      <c r="F1466" s="31">
        <f>SUMIFS(F1467:F3130,K1467:K3130,"0",B1467:B3130,"5 1 1 1 3 12 31111 6 M78 21000 242 00C 001 11301 015 2111100 2024*")</f>
        <v>117070.34</v>
      </c>
      <c r="G1466" s="31">
        <f>SUMIFS(G1467:G3130,K1467:K3130,"0",B1467:B3130,"5 1 1 1 3 12 31111 6 M78 21000 242 00C 001 11301 015 2111100 2024*")</f>
        <v>0</v>
      </c>
      <c r="H1466" s="31">
        <f t="shared" si="23"/>
        <v>117070.34</v>
      </c>
      <c r="I1466" s="31"/>
      <c r="K1466" t="s">
        <v>13</v>
      </c>
    </row>
    <row r="1467" spans="2:11" ht="22" x14ac:dyDescent="0.15">
      <c r="B1467" s="29" t="s">
        <v>2083</v>
      </c>
      <c r="C1467" s="29" t="s">
        <v>277</v>
      </c>
      <c r="D1467" s="31">
        <f>SUMIFS(D1468:D3130,K1468:K3130,"0",B1468:B3130,"5 1 1 1 3 12 31111 6 M78 21000 242 00C 001 11301 015 2111100 2024 00000000*")-SUMIFS(E1468:E3130,K1468:K3130,"0",B1468:B3130,"5 1 1 1 3 12 31111 6 M78 21000 242 00C 001 11301 015 2111100 2024 00000000*")</f>
        <v>0</v>
      </c>
      <c r="E1467"/>
      <c r="F1467" s="31">
        <f>SUMIFS(F1468:F3130,K1468:K3130,"0",B1468:B3130,"5 1 1 1 3 12 31111 6 M78 21000 242 00C 001 11301 015 2111100 2024 00000000*")</f>
        <v>117070.34</v>
      </c>
      <c r="G1467" s="31">
        <f>SUMIFS(G1468:G3130,K1468:K3130,"0",B1468:B3130,"5 1 1 1 3 12 31111 6 M78 21000 242 00C 001 11301 015 2111100 2024 00000000*")</f>
        <v>0</v>
      </c>
      <c r="H1467" s="31">
        <f t="shared" si="23"/>
        <v>117070.34</v>
      </c>
      <c r="I1467" s="31"/>
      <c r="K1467" t="s">
        <v>13</v>
      </c>
    </row>
    <row r="1468" spans="2:11" ht="22" x14ac:dyDescent="0.15">
      <c r="B1468" s="29" t="s">
        <v>2084</v>
      </c>
      <c r="C1468" s="29" t="s">
        <v>2085</v>
      </c>
      <c r="D1468" s="31">
        <f>SUMIFS(D1469:D3130,K1469:K3130,"0",B1469:B3130,"5 1 1 1 3 12 31111 6 M78 21000 242 00C 001 11301 015 2111100 2024 00000000 001*")-SUMIFS(E1469:E3130,K1469:K3130,"0",B1469:B3130,"5 1 1 1 3 12 31111 6 M78 21000 242 00C 001 11301 015 2111100 2024 00000000 001*")</f>
        <v>0</v>
      </c>
      <c r="E1468"/>
      <c r="F1468" s="31">
        <f>SUMIFS(F1469:F3130,K1469:K3130,"0",B1469:B3130,"5 1 1 1 3 12 31111 6 M78 21000 242 00C 001 11301 015 2111100 2024 00000000 001*")</f>
        <v>117070.34</v>
      </c>
      <c r="G1468" s="31">
        <f>SUMIFS(G1469:G3130,K1469:K3130,"0",B1469:B3130,"5 1 1 1 3 12 31111 6 M78 21000 242 00C 001 11301 015 2111100 2024 00000000 001*")</f>
        <v>0</v>
      </c>
      <c r="H1468" s="31">
        <f t="shared" si="23"/>
        <v>117070.34</v>
      </c>
      <c r="I1468" s="31"/>
      <c r="K1468" t="s">
        <v>13</v>
      </c>
    </row>
    <row r="1469" spans="2:11" ht="22" x14ac:dyDescent="0.15">
      <c r="B1469" s="29" t="s">
        <v>2086</v>
      </c>
      <c r="C1469" s="29" t="s">
        <v>2087</v>
      </c>
      <c r="D1469" s="31">
        <f>SUMIFS(D1470:D3130,K1470:K3130,"0",B1470:B3130,"5 1 1 1 3 12 31111 6 M78 21000 242 00C 001 11301 015 2111100 2024 00000000 001 001*")-SUMIFS(E1470:E3130,K1470:K3130,"0",B1470:B3130,"5 1 1 1 3 12 31111 6 M78 21000 242 00C 001 11301 015 2111100 2024 00000000 001 001*")</f>
        <v>0</v>
      </c>
      <c r="E1469"/>
      <c r="F1469" s="31">
        <f>SUMIFS(F1470:F3130,K1470:K3130,"0",B1470:B3130,"5 1 1 1 3 12 31111 6 M78 21000 242 00C 001 11301 015 2111100 2024 00000000 001 001*")</f>
        <v>117070.34</v>
      </c>
      <c r="G1469" s="31">
        <f>SUMIFS(G1470:G3130,K1470:K3130,"0",B1470:B3130,"5 1 1 1 3 12 31111 6 M78 21000 242 00C 001 11301 015 2111100 2024 00000000 001 001*")</f>
        <v>0</v>
      </c>
      <c r="H1469" s="31">
        <f t="shared" si="23"/>
        <v>117070.34</v>
      </c>
      <c r="I1469" s="31"/>
      <c r="K1469" t="s">
        <v>13</v>
      </c>
    </row>
    <row r="1470" spans="2:11" ht="22" x14ac:dyDescent="0.15">
      <c r="B1470" s="27" t="s">
        <v>2088</v>
      </c>
      <c r="C1470" s="27" t="s">
        <v>1820</v>
      </c>
      <c r="D1470" s="30">
        <v>0</v>
      </c>
      <c r="E1470" s="30"/>
      <c r="F1470" s="30">
        <v>117070.34</v>
      </c>
      <c r="G1470" s="30">
        <v>0</v>
      </c>
      <c r="H1470" s="30">
        <f t="shared" si="23"/>
        <v>117070.34</v>
      </c>
      <c r="I1470" s="30"/>
      <c r="K1470" t="s">
        <v>37</v>
      </c>
    </row>
    <row r="1471" spans="2:11" ht="13" x14ac:dyDescent="0.15">
      <c r="B1471" s="29" t="s">
        <v>2089</v>
      </c>
      <c r="C1471" s="29" t="s">
        <v>2090</v>
      </c>
      <c r="D1471" s="31">
        <f>SUMIFS(D1472:D3130,K1472:K3130,"0",B1472:B3130,"5 1 1 1 3 12 31111 6 M78 22000*")-SUMIFS(E1472:E3130,K1472:K3130,"0",B1472:B3130,"5 1 1 1 3 12 31111 6 M78 22000*")</f>
        <v>0</v>
      </c>
      <c r="E1471"/>
      <c r="F1471" s="31">
        <f>SUMIFS(F1472:F3130,K1472:K3130,"0",B1472:B3130,"5 1 1 1 3 12 31111 6 M78 22000*")</f>
        <v>137250</v>
      </c>
      <c r="G1471" s="31">
        <f>SUMIFS(G1472:G3130,K1472:K3130,"0",B1472:B3130,"5 1 1 1 3 12 31111 6 M78 22000*")</f>
        <v>0</v>
      </c>
      <c r="H1471" s="31">
        <f t="shared" si="23"/>
        <v>137250</v>
      </c>
      <c r="I1471" s="31"/>
      <c r="K1471" t="s">
        <v>13</v>
      </c>
    </row>
    <row r="1472" spans="2:11" ht="13" x14ac:dyDescent="0.15">
      <c r="B1472" s="29" t="s">
        <v>2091</v>
      </c>
      <c r="C1472" s="29" t="s">
        <v>2092</v>
      </c>
      <c r="D1472" s="31">
        <f>SUMIFS(D1473:D3130,K1473:K3130,"0",B1473:B3130,"5 1 1 1 3 12 31111 6 M78 22000 271*")-SUMIFS(E1473:E3130,K1473:K3130,"0",B1473:B3130,"5 1 1 1 3 12 31111 6 M78 22000 271*")</f>
        <v>0</v>
      </c>
      <c r="E1472"/>
      <c r="F1472" s="31">
        <f>SUMIFS(F1473:F3130,K1473:K3130,"0",B1473:B3130,"5 1 1 1 3 12 31111 6 M78 22000 271*")</f>
        <v>137250</v>
      </c>
      <c r="G1472" s="31">
        <f>SUMIFS(G1473:G3130,K1473:K3130,"0",B1473:B3130,"5 1 1 1 3 12 31111 6 M78 22000 271*")</f>
        <v>0</v>
      </c>
      <c r="H1472" s="31">
        <f t="shared" si="23"/>
        <v>137250</v>
      </c>
      <c r="I1472" s="31"/>
      <c r="K1472" t="s">
        <v>13</v>
      </c>
    </row>
    <row r="1473" spans="2:11" ht="13" x14ac:dyDescent="0.15">
      <c r="B1473" s="29" t="s">
        <v>2093</v>
      </c>
      <c r="C1473" s="29" t="s">
        <v>265</v>
      </c>
      <c r="D1473" s="31">
        <f>SUMIFS(D1474:D3130,K1474:K3130,"0",B1474:B3130,"5 1 1 1 3 12 31111 6 M78 22000 271 00C*")-SUMIFS(E1474:E3130,K1474:K3130,"0",B1474:B3130,"5 1 1 1 3 12 31111 6 M78 22000 271 00C*")</f>
        <v>0</v>
      </c>
      <c r="E1473"/>
      <c r="F1473" s="31">
        <f>SUMIFS(F1474:F3130,K1474:K3130,"0",B1474:B3130,"5 1 1 1 3 12 31111 6 M78 22000 271 00C*")</f>
        <v>137250</v>
      </c>
      <c r="G1473" s="31">
        <f>SUMIFS(G1474:G3130,K1474:K3130,"0",B1474:B3130,"5 1 1 1 3 12 31111 6 M78 22000 271 00C*")</f>
        <v>0</v>
      </c>
      <c r="H1473" s="31">
        <f t="shared" si="23"/>
        <v>137250</v>
      </c>
      <c r="I1473" s="31"/>
      <c r="K1473" t="s">
        <v>13</v>
      </c>
    </row>
    <row r="1474" spans="2:11" ht="13" x14ac:dyDescent="0.15">
      <c r="B1474" s="29" t="s">
        <v>2094</v>
      </c>
      <c r="C1474" s="29" t="s">
        <v>32</v>
      </c>
      <c r="D1474" s="31">
        <f>SUMIFS(D1475:D3130,K1475:K3130,"0",B1475:B3130,"5 1 1 1 3 12 31111 6 M78 22000 271 00C 001*")-SUMIFS(E1475:E3130,K1475:K3130,"0",B1475:B3130,"5 1 1 1 3 12 31111 6 M78 22000 271 00C 001*")</f>
        <v>0</v>
      </c>
      <c r="E1474"/>
      <c r="F1474" s="31">
        <f>SUMIFS(F1475:F3130,K1475:K3130,"0",B1475:B3130,"5 1 1 1 3 12 31111 6 M78 22000 271 00C 001*")</f>
        <v>137250</v>
      </c>
      <c r="G1474" s="31">
        <f>SUMIFS(G1475:G3130,K1475:K3130,"0",B1475:B3130,"5 1 1 1 3 12 31111 6 M78 22000 271 00C 001*")</f>
        <v>0</v>
      </c>
      <c r="H1474" s="31">
        <f t="shared" si="23"/>
        <v>137250</v>
      </c>
      <c r="I1474" s="31"/>
      <c r="K1474" t="s">
        <v>13</v>
      </c>
    </row>
    <row r="1475" spans="2:11" ht="13" x14ac:dyDescent="0.15">
      <c r="B1475" s="29" t="s">
        <v>2095</v>
      </c>
      <c r="C1475" s="29" t="s">
        <v>1810</v>
      </c>
      <c r="D1475" s="31">
        <f>SUMIFS(D1476:D3130,K1476:K3130,"0",B1476:B3130,"5 1 1 1 3 12 31111 6 M78 22000 271 00C 001 11301*")-SUMIFS(E1476:E3130,K1476:K3130,"0",B1476:B3130,"5 1 1 1 3 12 31111 6 M78 22000 271 00C 001 11301*")</f>
        <v>0</v>
      </c>
      <c r="E1475"/>
      <c r="F1475" s="31">
        <f>SUMIFS(F1476:F3130,K1476:K3130,"0",B1476:B3130,"5 1 1 1 3 12 31111 6 M78 22000 271 00C 001 11301*")</f>
        <v>137250</v>
      </c>
      <c r="G1475" s="31">
        <f>SUMIFS(G1476:G3130,K1476:K3130,"0",B1476:B3130,"5 1 1 1 3 12 31111 6 M78 22000 271 00C 001 11301*")</f>
        <v>0</v>
      </c>
      <c r="H1475" s="31">
        <f t="shared" si="23"/>
        <v>137250</v>
      </c>
      <c r="I1475" s="31"/>
      <c r="K1475" t="s">
        <v>13</v>
      </c>
    </row>
    <row r="1476" spans="2:11" ht="22" x14ac:dyDescent="0.15">
      <c r="B1476" s="29" t="s">
        <v>2096</v>
      </c>
      <c r="C1476" s="29" t="s">
        <v>271</v>
      </c>
      <c r="D1476" s="31">
        <f>SUMIFS(D1477:D3130,K1477:K3130,"0",B1477:B3130,"5 1 1 1 3 12 31111 6 M78 22000 271 00C 001 11301 015*")-SUMIFS(E1477:E3130,K1477:K3130,"0",B1477:B3130,"5 1 1 1 3 12 31111 6 M78 22000 271 00C 001 11301 015*")</f>
        <v>0</v>
      </c>
      <c r="E1476"/>
      <c r="F1476" s="31">
        <f>SUMIFS(F1477:F3130,K1477:K3130,"0",B1477:B3130,"5 1 1 1 3 12 31111 6 M78 22000 271 00C 001 11301 015*")</f>
        <v>137250</v>
      </c>
      <c r="G1476" s="31">
        <f>SUMIFS(G1477:G3130,K1477:K3130,"0",B1477:B3130,"5 1 1 1 3 12 31111 6 M78 22000 271 00C 001 11301 015*")</f>
        <v>0</v>
      </c>
      <c r="H1476" s="31">
        <f t="shared" si="23"/>
        <v>137250</v>
      </c>
      <c r="I1476" s="31"/>
      <c r="K1476" t="s">
        <v>13</v>
      </c>
    </row>
    <row r="1477" spans="2:11" ht="22" x14ac:dyDescent="0.15">
      <c r="B1477" s="29" t="s">
        <v>2097</v>
      </c>
      <c r="C1477" s="29" t="s">
        <v>1813</v>
      </c>
      <c r="D1477" s="31">
        <f>SUMIFS(D1478:D3130,K1478:K3130,"0",B1478:B3130,"5 1 1 1 3 12 31111 6 M78 22000 271 00C 001 11301 015 2111100*")-SUMIFS(E1478:E3130,K1478:K3130,"0",B1478:B3130,"5 1 1 1 3 12 31111 6 M78 22000 271 00C 001 11301 015 2111100*")</f>
        <v>0</v>
      </c>
      <c r="E1477"/>
      <c r="F1477" s="31">
        <f>SUMIFS(F1478:F3130,K1478:K3130,"0",B1478:B3130,"5 1 1 1 3 12 31111 6 M78 22000 271 00C 001 11301 015 2111100*")</f>
        <v>137250</v>
      </c>
      <c r="G1477" s="31">
        <f>SUMIFS(G1478:G3130,K1478:K3130,"0",B1478:B3130,"5 1 1 1 3 12 31111 6 M78 22000 271 00C 001 11301 015 2111100*")</f>
        <v>0</v>
      </c>
      <c r="H1477" s="31">
        <f t="shared" si="23"/>
        <v>137250</v>
      </c>
      <c r="I1477" s="31"/>
      <c r="K1477" t="s">
        <v>13</v>
      </c>
    </row>
    <row r="1478" spans="2:11" ht="22" x14ac:dyDescent="0.15">
      <c r="B1478" s="29" t="s">
        <v>2098</v>
      </c>
      <c r="C1478" s="29" t="s">
        <v>275</v>
      </c>
      <c r="D1478" s="31">
        <f>SUMIFS(D1479:D3130,K1479:K3130,"0",B1479:B3130,"5 1 1 1 3 12 31111 6 M78 22000 271 00C 001 11301 015 2111100 2024*")-SUMIFS(E1479:E3130,K1479:K3130,"0",B1479:B3130,"5 1 1 1 3 12 31111 6 M78 22000 271 00C 001 11301 015 2111100 2024*")</f>
        <v>0</v>
      </c>
      <c r="E1478"/>
      <c r="F1478" s="31">
        <f>SUMIFS(F1479:F3130,K1479:K3130,"0",B1479:B3130,"5 1 1 1 3 12 31111 6 M78 22000 271 00C 001 11301 015 2111100 2024*")</f>
        <v>137250</v>
      </c>
      <c r="G1478" s="31">
        <f>SUMIFS(G1479:G3130,K1479:K3130,"0",B1479:B3130,"5 1 1 1 3 12 31111 6 M78 22000 271 00C 001 11301 015 2111100 2024*")</f>
        <v>0</v>
      </c>
      <c r="H1478" s="31">
        <f t="shared" si="23"/>
        <v>137250</v>
      </c>
      <c r="I1478" s="31"/>
      <c r="K1478" t="s">
        <v>13</v>
      </c>
    </row>
    <row r="1479" spans="2:11" ht="22" x14ac:dyDescent="0.15">
      <c r="B1479" s="29" t="s">
        <v>2099</v>
      </c>
      <c r="C1479" s="29" t="s">
        <v>277</v>
      </c>
      <c r="D1479" s="31">
        <f>SUMIFS(D1480:D3130,K1480:K3130,"0",B1480:B3130,"5 1 1 1 3 12 31111 6 M78 22000 271 00C 001 11301 015 2111100 2024 00000000*")-SUMIFS(E1480:E3130,K1480:K3130,"0",B1480:B3130,"5 1 1 1 3 12 31111 6 M78 22000 271 00C 001 11301 015 2111100 2024 00000000*")</f>
        <v>0</v>
      </c>
      <c r="E1479"/>
      <c r="F1479" s="31">
        <f>SUMIFS(F1480:F3130,K1480:K3130,"0",B1480:B3130,"5 1 1 1 3 12 31111 6 M78 22000 271 00C 001 11301 015 2111100 2024 00000000*")</f>
        <v>137250</v>
      </c>
      <c r="G1479" s="31">
        <f>SUMIFS(G1480:G3130,K1480:K3130,"0",B1480:B3130,"5 1 1 1 3 12 31111 6 M78 22000 271 00C 001 11301 015 2111100 2024 00000000*")</f>
        <v>0</v>
      </c>
      <c r="H1479" s="31">
        <f t="shared" si="23"/>
        <v>137250</v>
      </c>
      <c r="I1479" s="31"/>
      <c r="K1479" t="s">
        <v>13</v>
      </c>
    </row>
    <row r="1480" spans="2:11" ht="22" x14ac:dyDescent="0.15">
      <c r="B1480" s="29" t="s">
        <v>2100</v>
      </c>
      <c r="C1480" s="29" t="s">
        <v>2085</v>
      </c>
      <c r="D1480" s="31">
        <f>SUMIFS(D1481:D3130,K1481:K3130,"0",B1481:B3130,"5 1 1 1 3 12 31111 6 M78 22000 271 00C 001 11301 015 2111100 2024 00000000 001*")-SUMIFS(E1481:E3130,K1481:K3130,"0",B1481:B3130,"5 1 1 1 3 12 31111 6 M78 22000 271 00C 001 11301 015 2111100 2024 00000000 001*")</f>
        <v>0</v>
      </c>
      <c r="E1480"/>
      <c r="F1480" s="31">
        <f>SUMIFS(F1481:F3130,K1481:K3130,"0",B1481:B3130,"5 1 1 1 3 12 31111 6 M78 22000 271 00C 001 11301 015 2111100 2024 00000000 001*")</f>
        <v>137250</v>
      </c>
      <c r="G1480" s="31">
        <f>SUMIFS(G1481:G3130,K1481:K3130,"0",B1481:B3130,"5 1 1 1 3 12 31111 6 M78 22000 271 00C 001 11301 015 2111100 2024 00000000 001*")</f>
        <v>0</v>
      </c>
      <c r="H1480" s="31">
        <f t="shared" si="23"/>
        <v>137250</v>
      </c>
      <c r="I1480" s="31"/>
      <c r="K1480" t="s">
        <v>13</v>
      </c>
    </row>
    <row r="1481" spans="2:11" ht="22" x14ac:dyDescent="0.15">
      <c r="B1481" s="29" t="s">
        <v>2101</v>
      </c>
      <c r="C1481" s="29" t="s">
        <v>2102</v>
      </c>
      <c r="D1481" s="31">
        <f>SUMIFS(D1482:D3130,K1482:K3130,"0",B1482:B3130,"5 1 1 1 3 12 31111 6 M78 22000 271 00C 001 11301 015 2111100 2024 00000000 001 001*")-SUMIFS(E1482:E3130,K1482:K3130,"0",B1482:B3130,"5 1 1 1 3 12 31111 6 M78 22000 271 00C 001 11301 015 2111100 2024 00000000 001 001*")</f>
        <v>0</v>
      </c>
      <c r="E1481"/>
      <c r="F1481" s="31">
        <f>SUMIFS(F1482:F3130,K1482:K3130,"0",B1482:B3130,"5 1 1 1 3 12 31111 6 M78 22000 271 00C 001 11301 015 2111100 2024 00000000 001 001*")</f>
        <v>137250</v>
      </c>
      <c r="G1481" s="31">
        <f>SUMIFS(G1482:G3130,K1482:K3130,"0",B1482:B3130,"5 1 1 1 3 12 31111 6 M78 22000 271 00C 001 11301 015 2111100 2024 00000000 001 001*")</f>
        <v>0</v>
      </c>
      <c r="H1481" s="31">
        <f t="shared" si="23"/>
        <v>137250</v>
      </c>
      <c r="I1481" s="31"/>
      <c r="K1481" t="s">
        <v>13</v>
      </c>
    </row>
    <row r="1482" spans="2:11" ht="22" x14ac:dyDescent="0.15">
      <c r="B1482" s="27" t="s">
        <v>2103</v>
      </c>
      <c r="C1482" s="27" t="s">
        <v>1820</v>
      </c>
      <c r="D1482" s="30">
        <v>0</v>
      </c>
      <c r="E1482" s="30"/>
      <c r="F1482" s="30">
        <v>137250</v>
      </c>
      <c r="G1482" s="30">
        <v>0</v>
      </c>
      <c r="H1482" s="30">
        <f t="shared" si="23"/>
        <v>137250</v>
      </c>
      <c r="I1482" s="30"/>
      <c r="K1482" t="s">
        <v>37</v>
      </c>
    </row>
    <row r="1483" spans="2:11" ht="13" x14ac:dyDescent="0.15">
      <c r="B1483" s="29" t="s">
        <v>2104</v>
      </c>
      <c r="C1483" s="29" t="s">
        <v>2105</v>
      </c>
      <c r="D1483" s="31">
        <f>SUMIFS(D1484:D3130,K1484:K3130,"0",B1484:B3130,"5 1 1 1 3 12 31111 6 M78 26000*")-SUMIFS(E1484:E3130,K1484:K3130,"0",B1484:B3130,"5 1 1 1 3 12 31111 6 M78 26000*")</f>
        <v>0</v>
      </c>
      <c r="E1483"/>
      <c r="F1483" s="31">
        <f>SUMIFS(F1484:F3130,K1484:K3130,"0",B1484:B3130,"5 1 1 1 3 12 31111 6 M78 26000*")</f>
        <v>118440</v>
      </c>
      <c r="G1483" s="31">
        <f>SUMIFS(G1484:G3130,K1484:K3130,"0",B1484:B3130,"5 1 1 1 3 12 31111 6 M78 26000*")</f>
        <v>0</v>
      </c>
      <c r="H1483" s="31">
        <f t="shared" ref="H1483:H1546" si="24">D1483 + F1483 - G1483</f>
        <v>118440</v>
      </c>
      <c r="I1483" s="31"/>
      <c r="K1483" t="s">
        <v>13</v>
      </c>
    </row>
    <row r="1484" spans="2:11" ht="13" x14ac:dyDescent="0.15">
      <c r="B1484" s="29" t="s">
        <v>2106</v>
      </c>
      <c r="C1484" s="29" t="s">
        <v>2107</v>
      </c>
      <c r="D1484" s="31">
        <f>SUMIFS(D1485:D3130,K1485:K3130,"0",B1485:B3130,"5 1 1 1 3 12 31111 6 M78 26000 183*")-SUMIFS(E1485:E3130,K1485:K3130,"0",B1485:B3130,"5 1 1 1 3 12 31111 6 M78 26000 183*")</f>
        <v>0</v>
      </c>
      <c r="E1484"/>
      <c r="F1484" s="31">
        <f>SUMIFS(F1485:F3130,K1485:K3130,"0",B1485:B3130,"5 1 1 1 3 12 31111 6 M78 26000 183*")</f>
        <v>118440</v>
      </c>
      <c r="G1484" s="31">
        <f>SUMIFS(G1485:G3130,K1485:K3130,"0",B1485:B3130,"5 1 1 1 3 12 31111 6 M78 26000 183*")</f>
        <v>0</v>
      </c>
      <c r="H1484" s="31">
        <f t="shared" si="24"/>
        <v>118440</v>
      </c>
      <c r="I1484" s="31"/>
      <c r="K1484" t="s">
        <v>13</v>
      </c>
    </row>
    <row r="1485" spans="2:11" ht="13" x14ac:dyDescent="0.15">
      <c r="B1485" s="29" t="s">
        <v>2108</v>
      </c>
      <c r="C1485" s="29" t="s">
        <v>265</v>
      </c>
      <c r="D1485" s="31">
        <f>SUMIFS(D1486:D3130,K1486:K3130,"0",B1486:B3130,"5 1 1 1 3 12 31111 6 M78 26000 183 00C*")-SUMIFS(E1486:E3130,K1486:K3130,"0",B1486:B3130,"5 1 1 1 3 12 31111 6 M78 26000 183 00C*")</f>
        <v>0</v>
      </c>
      <c r="E1485"/>
      <c r="F1485" s="31">
        <f>SUMIFS(F1486:F3130,K1486:K3130,"0",B1486:B3130,"5 1 1 1 3 12 31111 6 M78 26000 183 00C*")</f>
        <v>118440</v>
      </c>
      <c r="G1485" s="31">
        <f>SUMIFS(G1486:G3130,K1486:K3130,"0",B1486:B3130,"5 1 1 1 3 12 31111 6 M78 26000 183 00C*")</f>
        <v>0</v>
      </c>
      <c r="H1485" s="31">
        <f t="shared" si="24"/>
        <v>118440</v>
      </c>
      <c r="I1485" s="31"/>
      <c r="K1485" t="s">
        <v>13</v>
      </c>
    </row>
    <row r="1486" spans="2:11" ht="13" x14ac:dyDescent="0.15">
      <c r="B1486" s="29" t="s">
        <v>2109</v>
      </c>
      <c r="C1486" s="29" t="s">
        <v>32</v>
      </c>
      <c r="D1486" s="31">
        <f>SUMIFS(D1487:D3130,K1487:K3130,"0",B1487:B3130,"5 1 1 1 3 12 31111 6 M78 26000 183 00C 001*")-SUMIFS(E1487:E3130,K1487:K3130,"0",B1487:B3130,"5 1 1 1 3 12 31111 6 M78 26000 183 00C 001*")</f>
        <v>0</v>
      </c>
      <c r="E1486"/>
      <c r="F1486" s="31">
        <f>SUMIFS(F1487:F3130,K1487:K3130,"0",B1487:B3130,"5 1 1 1 3 12 31111 6 M78 26000 183 00C 001*")</f>
        <v>118440</v>
      </c>
      <c r="G1486" s="31">
        <f>SUMIFS(G1487:G3130,K1487:K3130,"0",B1487:B3130,"5 1 1 1 3 12 31111 6 M78 26000 183 00C 001*")</f>
        <v>0</v>
      </c>
      <c r="H1486" s="31">
        <f t="shared" si="24"/>
        <v>118440</v>
      </c>
      <c r="I1486" s="31"/>
      <c r="K1486" t="s">
        <v>13</v>
      </c>
    </row>
    <row r="1487" spans="2:11" ht="13" x14ac:dyDescent="0.15">
      <c r="B1487" s="29" t="s">
        <v>2110</v>
      </c>
      <c r="C1487" s="29" t="s">
        <v>1810</v>
      </c>
      <c r="D1487" s="31">
        <f>SUMIFS(D1488:D3130,K1488:K3130,"0",B1488:B3130,"5 1 1 1 3 12 31111 6 M78 26000 183 00C 001 11301*")-SUMIFS(E1488:E3130,K1488:K3130,"0",B1488:B3130,"5 1 1 1 3 12 31111 6 M78 26000 183 00C 001 11301*")</f>
        <v>0</v>
      </c>
      <c r="E1487"/>
      <c r="F1487" s="31">
        <f>SUMIFS(F1488:F3130,K1488:K3130,"0",B1488:B3130,"5 1 1 1 3 12 31111 6 M78 26000 183 00C 001 11301*")</f>
        <v>118440</v>
      </c>
      <c r="G1487" s="31">
        <f>SUMIFS(G1488:G3130,K1488:K3130,"0",B1488:B3130,"5 1 1 1 3 12 31111 6 M78 26000 183 00C 001 11301*")</f>
        <v>0</v>
      </c>
      <c r="H1487" s="31">
        <f t="shared" si="24"/>
        <v>118440</v>
      </c>
      <c r="I1487" s="31"/>
      <c r="K1487" t="s">
        <v>13</v>
      </c>
    </row>
    <row r="1488" spans="2:11" ht="22" x14ac:dyDescent="0.15">
      <c r="B1488" s="29" t="s">
        <v>2111</v>
      </c>
      <c r="C1488" s="29" t="s">
        <v>271</v>
      </c>
      <c r="D1488" s="31">
        <f>SUMIFS(D1489:D3130,K1489:K3130,"0",B1489:B3130,"5 1 1 1 3 12 31111 6 M78 26000 183 00C 001 11301 015*")-SUMIFS(E1489:E3130,K1489:K3130,"0",B1489:B3130,"5 1 1 1 3 12 31111 6 M78 26000 183 00C 001 11301 015*")</f>
        <v>0</v>
      </c>
      <c r="E1488"/>
      <c r="F1488" s="31">
        <f>SUMIFS(F1489:F3130,K1489:K3130,"0",B1489:B3130,"5 1 1 1 3 12 31111 6 M78 26000 183 00C 001 11301 015*")</f>
        <v>118440</v>
      </c>
      <c r="G1488" s="31">
        <f>SUMIFS(G1489:G3130,K1489:K3130,"0",B1489:B3130,"5 1 1 1 3 12 31111 6 M78 26000 183 00C 001 11301 015*")</f>
        <v>0</v>
      </c>
      <c r="H1488" s="31">
        <f t="shared" si="24"/>
        <v>118440</v>
      </c>
      <c r="I1488" s="31"/>
      <c r="K1488" t="s">
        <v>13</v>
      </c>
    </row>
    <row r="1489" spans="2:11" ht="22" x14ac:dyDescent="0.15">
      <c r="B1489" s="29" t="s">
        <v>2112</v>
      </c>
      <c r="C1489" s="29" t="s">
        <v>1813</v>
      </c>
      <c r="D1489" s="31">
        <f>SUMIFS(D1490:D3130,K1490:K3130,"0",B1490:B3130,"5 1 1 1 3 12 31111 6 M78 26000 183 00C 001 11301 015 2111100*")-SUMIFS(E1490:E3130,K1490:K3130,"0",B1490:B3130,"5 1 1 1 3 12 31111 6 M78 26000 183 00C 001 11301 015 2111100*")</f>
        <v>0</v>
      </c>
      <c r="E1489"/>
      <c r="F1489" s="31">
        <f>SUMIFS(F1490:F3130,K1490:K3130,"0",B1490:B3130,"5 1 1 1 3 12 31111 6 M78 26000 183 00C 001 11301 015 2111100*")</f>
        <v>118440</v>
      </c>
      <c r="G1489" s="31">
        <f>SUMIFS(G1490:G3130,K1490:K3130,"0",B1490:B3130,"5 1 1 1 3 12 31111 6 M78 26000 183 00C 001 11301 015 2111100*")</f>
        <v>0</v>
      </c>
      <c r="H1489" s="31">
        <f t="shared" si="24"/>
        <v>118440</v>
      </c>
      <c r="I1489" s="31"/>
      <c r="K1489" t="s">
        <v>13</v>
      </c>
    </row>
    <row r="1490" spans="2:11" ht="22" x14ac:dyDescent="0.15">
      <c r="B1490" s="29" t="s">
        <v>2113</v>
      </c>
      <c r="C1490" s="29" t="s">
        <v>275</v>
      </c>
      <c r="D1490" s="31">
        <f>SUMIFS(D1491:D3130,K1491:K3130,"0",B1491:B3130,"5 1 1 1 3 12 31111 6 M78 26000 183 00C 001 11301 015 2111100 2024*")-SUMIFS(E1491:E3130,K1491:K3130,"0",B1491:B3130,"5 1 1 1 3 12 31111 6 M78 26000 183 00C 001 11301 015 2111100 2024*")</f>
        <v>0</v>
      </c>
      <c r="E1490"/>
      <c r="F1490" s="31">
        <f>SUMIFS(F1491:F3130,K1491:K3130,"0",B1491:B3130,"5 1 1 1 3 12 31111 6 M78 26000 183 00C 001 11301 015 2111100 2024*")</f>
        <v>118440</v>
      </c>
      <c r="G1490" s="31">
        <f>SUMIFS(G1491:G3130,K1491:K3130,"0",B1491:B3130,"5 1 1 1 3 12 31111 6 M78 26000 183 00C 001 11301 015 2111100 2024*")</f>
        <v>0</v>
      </c>
      <c r="H1490" s="31">
        <f t="shared" si="24"/>
        <v>118440</v>
      </c>
      <c r="I1490" s="31"/>
      <c r="K1490" t="s">
        <v>13</v>
      </c>
    </row>
    <row r="1491" spans="2:11" ht="22" x14ac:dyDescent="0.15">
      <c r="B1491" s="29" t="s">
        <v>2114</v>
      </c>
      <c r="C1491" s="29" t="s">
        <v>277</v>
      </c>
      <c r="D1491" s="31">
        <f>SUMIFS(D1492:D3130,K1492:K3130,"0",B1492:B3130,"5 1 1 1 3 12 31111 6 M78 26000 183 00C 001 11301 015 2111100 2024 00000000*")-SUMIFS(E1492:E3130,K1492:K3130,"0",B1492:B3130,"5 1 1 1 3 12 31111 6 M78 26000 183 00C 001 11301 015 2111100 2024 00000000*")</f>
        <v>0</v>
      </c>
      <c r="E1491"/>
      <c r="F1491" s="31">
        <f>SUMIFS(F1492:F3130,K1492:K3130,"0",B1492:B3130,"5 1 1 1 3 12 31111 6 M78 26000 183 00C 001 11301 015 2111100 2024 00000000*")</f>
        <v>118440</v>
      </c>
      <c r="G1491" s="31">
        <f>SUMIFS(G1492:G3130,K1492:K3130,"0",B1492:B3130,"5 1 1 1 3 12 31111 6 M78 26000 183 00C 001 11301 015 2111100 2024 00000000*")</f>
        <v>0</v>
      </c>
      <c r="H1491" s="31">
        <f t="shared" si="24"/>
        <v>118440</v>
      </c>
      <c r="I1491" s="31"/>
      <c r="K1491" t="s">
        <v>13</v>
      </c>
    </row>
    <row r="1492" spans="2:11" ht="22" x14ac:dyDescent="0.15">
      <c r="B1492" s="29" t="s">
        <v>2115</v>
      </c>
      <c r="C1492" s="29" t="s">
        <v>32</v>
      </c>
      <c r="D1492" s="31">
        <f>SUMIFS(D1493:D3130,K1493:K3130,"0",B1493:B3130,"5 1 1 1 3 12 31111 6 M78 26000 183 00C 001 11301 015 2111100 2024 00000000 001*")-SUMIFS(E1493:E3130,K1493:K3130,"0",B1493:B3130,"5 1 1 1 3 12 31111 6 M78 26000 183 00C 001 11301 015 2111100 2024 00000000 001*")</f>
        <v>0</v>
      </c>
      <c r="E1492"/>
      <c r="F1492" s="31">
        <f>SUMIFS(F1493:F3130,K1493:K3130,"0",B1493:B3130,"5 1 1 1 3 12 31111 6 M78 26000 183 00C 001 11301 015 2111100 2024 00000000 001*")</f>
        <v>118440</v>
      </c>
      <c r="G1492" s="31">
        <f>SUMIFS(G1493:G3130,K1493:K3130,"0",B1493:B3130,"5 1 1 1 3 12 31111 6 M78 26000 183 00C 001 11301 015 2111100 2024 00000000 001*")</f>
        <v>0</v>
      </c>
      <c r="H1492" s="31">
        <f t="shared" si="24"/>
        <v>118440</v>
      </c>
      <c r="I1492" s="31"/>
      <c r="K1492" t="s">
        <v>13</v>
      </c>
    </row>
    <row r="1493" spans="2:11" ht="22" x14ac:dyDescent="0.15">
      <c r="B1493" s="29" t="s">
        <v>2116</v>
      </c>
      <c r="C1493" s="29" t="s">
        <v>2117</v>
      </c>
      <c r="D1493" s="31">
        <f>SUMIFS(D1494:D3130,K1494:K3130,"0",B1494:B3130,"5 1 1 1 3 12 31111 6 M78 26000 183 00C 001 11301 015 2111100 2024 00000000 001 001*")-SUMIFS(E1494:E3130,K1494:K3130,"0",B1494:B3130,"5 1 1 1 3 12 31111 6 M78 26000 183 00C 001 11301 015 2111100 2024 00000000 001 001*")</f>
        <v>0</v>
      </c>
      <c r="E1493"/>
      <c r="F1493" s="31">
        <f>SUMIFS(F1494:F3130,K1494:K3130,"0",B1494:B3130,"5 1 1 1 3 12 31111 6 M78 26000 183 00C 001 11301 015 2111100 2024 00000000 001 001*")</f>
        <v>118440</v>
      </c>
      <c r="G1493" s="31">
        <f>SUMIFS(G1494:G3130,K1494:K3130,"0",B1494:B3130,"5 1 1 1 3 12 31111 6 M78 26000 183 00C 001 11301 015 2111100 2024 00000000 001 001*")</f>
        <v>0</v>
      </c>
      <c r="H1493" s="31">
        <f t="shared" si="24"/>
        <v>118440</v>
      </c>
      <c r="I1493" s="31"/>
      <c r="K1493" t="s">
        <v>13</v>
      </c>
    </row>
    <row r="1494" spans="2:11" ht="22" x14ac:dyDescent="0.15">
      <c r="B1494" s="27" t="s">
        <v>2118</v>
      </c>
      <c r="C1494" s="27" t="s">
        <v>1820</v>
      </c>
      <c r="D1494" s="30">
        <v>0</v>
      </c>
      <c r="E1494" s="30"/>
      <c r="F1494" s="30">
        <v>118440</v>
      </c>
      <c r="G1494" s="30">
        <v>0</v>
      </c>
      <c r="H1494" s="30">
        <f t="shared" si="24"/>
        <v>118440</v>
      </c>
      <c r="I1494" s="30"/>
      <c r="K1494" t="s">
        <v>37</v>
      </c>
    </row>
    <row r="1495" spans="2:11" ht="13" x14ac:dyDescent="0.15">
      <c r="B1495" s="29" t="s">
        <v>2119</v>
      </c>
      <c r="C1495" s="29" t="s">
        <v>2120</v>
      </c>
      <c r="D1495" s="31">
        <f>SUMIFS(D1496:D3130,K1496:K3130,"0",B1496:B3130,"5 1 1 1 3 12 31111 6 M78 27000*")-SUMIFS(E1496:E3130,K1496:K3130,"0",B1496:B3130,"5 1 1 1 3 12 31111 6 M78 27000*")</f>
        <v>0</v>
      </c>
      <c r="E1495"/>
      <c r="F1495" s="31">
        <f>SUMIFS(F1496:F3130,K1496:K3130,"0",B1496:B3130,"5 1 1 1 3 12 31111 6 M78 27000*")</f>
        <v>252000</v>
      </c>
      <c r="G1495" s="31">
        <f>SUMIFS(G1496:G3130,K1496:K3130,"0",B1496:B3130,"5 1 1 1 3 12 31111 6 M78 27000*")</f>
        <v>0</v>
      </c>
      <c r="H1495" s="31">
        <f t="shared" si="24"/>
        <v>252000</v>
      </c>
      <c r="I1495" s="31"/>
      <c r="K1495" t="s">
        <v>13</v>
      </c>
    </row>
    <row r="1496" spans="2:11" ht="13" x14ac:dyDescent="0.15">
      <c r="B1496" s="29" t="s">
        <v>2121</v>
      </c>
      <c r="C1496" s="29" t="s">
        <v>2122</v>
      </c>
      <c r="D1496" s="31">
        <f>SUMIFS(D1497:D3130,K1497:K3130,"0",B1497:B3130,"5 1 1 1 3 12 31111 6 M78 27000 184*")-SUMIFS(E1497:E3130,K1497:K3130,"0",B1497:B3130,"5 1 1 1 3 12 31111 6 M78 27000 184*")</f>
        <v>0</v>
      </c>
      <c r="E1496"/>
      <c r="F1496" s="31">
        <f>SUMIFS(F1497:F3130,K1497:K3130,"0",B1497:B3130,"5 1 1 1 3 12 31111 6 M78 27000 184*")</f>
        <v>252000</v>
      </c>
      <c r="G1496" s="31">
        <f>SUMIFS(G1497:G3130,K1497:K3130,"0",B1497:B3130,"5 1 1 1 3 12 31111 6 M78 27000 184*")</f>
        <v>0</v>
      </c>
      <c r="H1496" s="31">
        <f t="shared" si="24"/>
        <v>252000</v>
      </c>
      <c r="I1496" s="31"/>
      <c r="K1496" t="s">
        <v>13</v>
      </c>
    </row>
    <row r="1497" spans="2:11" ht="13" x14ac:dyDescent="0.15">
      <c r="B1497" s="29" t="s">
        <v>2123</v>
      </c>
      <c r="C1497" s="29" t="s">
        <v>265</v>
      </c>
      <c r="D1497" s="31">
        <f>SUMIFS(D1498:D3130,K1498:K3130,"0",B1498:B3130,"5 1 1 1 3 12 31111 6 M78 27000 184 00C*")-SUMIFS(E1498:E3130,K1498:K3130,"0",B1498:B3130,"5 1 1 1 3 12 31111 6 M78 27000 184 00C*")</f>
        <v>0</v>
      </c>
      <c r="E1497"/>
      <c r="F1497" s="31">
        <f>SUMIFS(F1498:F3130,K1498:K3130,"0",B1498:B3130,"5 1 1 1 3 12 31111 6 M78 27000 184 00C*")</f>
        <v>252000</v>
      </c>
      <c r="G1497" s="31">
        <f>SUMIFS(G1498:G3130,K1498:K3130,"0",B1498:B3130,"5 1 1 1 3 12 31111 6 M78 27000 184 00C*")</f>
        <v>0</v>
      </c>
      <c r="H1497" s="31">
        <f t="shared" si="24"/>
        <v>252000</v>
      </c>
      <c r="I1497" s="31"/>
      <c r="K1497" t="s">
        <v>13</v>
      </c>
    </row>
    <row r="1498" spans="2:11" ht="13" x14ac:dyDescent="0.15">
      <c r="B1498" s="29" t="s">
        <v>2124</v>
      </c>
      <c r="C1498" s="29" t="s">
        <v>32</v>
      </c>
      <c r="D1498" s="31">
        <f>SUMIFS(D1499:D3130,K1499:K3130,"0",B1499:B3130,"5 1 1 1 3 12 31111 6 M78 27000 184 00C 001*")-SUMIFS(E1499:E3130,K1499:K3130,"0",B1499:B3130,"5 1 1 1 3 12 31111 6 M78 27000 184 00C 001*")</f>
        <v>0</v>
      </c>
      <c r="E1498"/>
      <c r="F1498" s="31">
        <f>SUMIFS(F1499:F3130,K1499:K3130,"0",B1499:B3130,"5 1 1 1 3 12 31111 6 M78 27000 184 00C 001*")</f>
        <v>252000</v>
      </c>
      <c r="G1498" s="31">
        <f>SUMIFS(G1499:G3130,K1499:K3130,"0",B1499:B3130,"5 1 1 1 3 12 31111 6 M78 27000 184 00C 001*")</f>
        <v>0</v>
      </c>
      <c r="H1498" s="31">
        <f t="shared" si="24"/>
        <v>252000</v>
      </c>
      <c r="I1498" s="31"/>
      <c r="K1498" t="s">
        <v>13</v>
      </c>
    </row>
    <row r="1499" spans="2:11" ht="13" x14ac:dyDescent="0.15">
      <c r="B1499" s="29" t="s">
        <v>2125</v>
      </c>
      <c r="C1499" s="29" t="s">
        <v>1810</v>
      </c>
      <c r="D1499" s="31">
        <f>SUMIFS(D1500:D3130,K1500:K3130,"0",B1500:B3130,"5 1 1 1 3 12 31111 6 M78 27000 184 00C 001 11301*")-SUMIFS(E1500:E3130,K1500:K3130,"0",B1500:B3130,"5 1 1 1 3 12 31111 6 M78 27000 184 00C 001 11301*")</f>
        <v>0</v>
      </c>
      <c r="E1499"/>
      <c r="F1499" s="31">
        <f>SUMIFS(F1500:F3130,K1500:K3130,"0",B1500:B3130,"5 1 1 1 3 12 31111 6 M78 27000 184 00C 001 11301*")</f>
        <v>252000</v>
      </c>
      <c r="G1499" s="31">
        <f>SUMIFS(G1500:G3130,K1500:K3130,"0",B1500:B3130,"5 1 1 1 3 12 31111 6 M78 27000 184 00C 001 11301*")</f>
        <v>0</v>
      </c>
      <c r="H1499" s="31">
        <f t="shared" si="24"/>
        <v>252000</v>
      </c>
      <c r="I1499" s="31"/>
      <c r="K1499" t="s">
        <v>13</v>
      </c>
    </row>
    <row r="1500" spans="2:11" ht="22" x14ac:dyDescent="0.15">
      <c r="B1500" s="29" t="s">
        <v>2126</v>
      </c>
      <c r="C1500" s="29" t="s">
        <v>271</v>
      </c>
      <c r="D1500" s="31">
        <f>SUMIFS(D1501:D3130,K1501:K3130,"0",B1501:B3130,"5 1 1 1 3 12 31111 6 M78 27000 184 00C 001 11301 015*")-SUMIFS(E1501:E3130,K1501:K3130,"0",B1501:B3130,"5 1 1 1 3 12 31111 6 M78 27000 184 00C 001 11301 015*")</f>
        <v>0</v>
      </c>
      <c r="E1500"/>
      <c r="F1500" s="31">
        <f>SUMIFS(F1501:F3130,K1501:K3130,"0",B1501:B3130,"5 1 1 1 3 12 31111 6 M78 27000 184 00C 001 11301 015*")</f>
        <v>252000</v>
      </c>
      <c r="G1500" s="31">
        <f>SUMIFS(G1501:G3130,K1501:K3130,"0",B1501:B3130,"5 1 1 1 3 12 31111 6 M78 27000 184 00C 001 11301 015*")</f>
        <v>0</v>
      </c>
      <c r="H1500" s="31">
        <f t="shared" si="24"/>
        <v>252000</v>
      </c>
      <c r="I1500" s="31"/>
      <c r="K1500" t="s">
        <v>13</v>
      </c>
    </row>
    <row r="1501" spans="2:11" ht="22" x14ac:dyDescent="0.15">
      <c r="B1501" s="29" t="s">
        <v>2127</v>
      </c>
      <c r="C1501" s="29" t="s">
        <v>1813</v>
      </c>
      <c r="D1501" s="31">
        <f>SUMIFS(D1502:D3130,K1502:K3130,"0",B1502:B3130,"5 1 1 1 3 12 31111 6 M78 27000 184 00C 001 11301 015 2111100*")-SUMIFS(E1502:E3130,K1502:K3130,"0",B1502:B3130,"5 1 1 1 3 12 31111 6 M78 27000 184 00C 001 11301 015 2111100*")</f>
        <v>0</v>
      </c>
      <c r="E1501"/>
      <c r="F1501" s="31">
        <f>SUMIFS(F1502:F3130,K1502:K3130,"0",B1502:B3130,"5 1 1 1 3 12 31111 6 M78 27000 184 00C 001 11301 015 2111100*")</f>
        <v>252000</v>
      </c>
      <c r="G1501" s="31">
        <f>SUMIFS(G1502:G3130,K1502:K3130,"0",B1502:B3130,"5 1 1 1 3 12 31111 6 M78 27000 184 00C 001 11301 015 2111100*")</f>
        <v>0</v>
      </c>
      <c r="H1501" s="31">
        <f t="shared" si="24"/>
        <v>252000</v>
      </c>
      <c r="I1501" s="31"/>
      <c r="K1501" t="s">
        <v>13</v>
      </c>
    </row>
    <row r="1502" spans="2:11" ht="22" x14ac:dyDescent="0.15">
      <c r="B1502" s="29" t="s">
        <v>2128</v>
      </c>
      <c r="C1502" s="29" t="s">
        <v>275</v>
      </c>
      <c r="D1502" s="31">
        <f>SUMIFS(D1503:D3130,K1503:K3130,"0",B1503:B3130,"5 1 1 1 3 12 31111 6 M78 27000 184 00C 001 11301 015 2111100 2024*")-SUMIFS(E1503:E3130,K1503:K3130,"0",B1503:B3130,"5 1 1 1 3 12 31111 6 M78 27000 184 00C 001 11301 015 2111100 2024*")</f>
        <v>0</v>
      </c>
      <c r="E1502"/>
      <c r="F1502" s="31">
        <f>SUMIFS(F1503:F3130,K1503:K3130,"0",B1503:B3130,"5 1 1 1 3 12 31111 6 M78 27000 184 00C 001 11301 015 2111100 2024*")</f>
        <v>252000</v>
      </c>
      <c r="G1502" s="31">
        <f>SUMIFS(G1503:G3130,K1503:K3130,"0",B1503:B3130,"5 1 1 1 3 12 31111 6 M78 27000 184 00C 001 11301 015 2111100 2024*")</f>
        <v>0</v>
      </c>
      <c r="H1502" s="31">
        <f t="shared" si="24"/>
        <v>252000</v>
      </c>
      <c r="I1502" s="31"/>
      <c r="K1502" t="s">
        <v>13</v>
      </c>
    </row>
    <row r="1503" spans="2:11" ht="22" x14ac:dyDescent="0.15">
      <c r="B1503" s="29" t="s">
        <v>2129</v>
      </c>
      <c r="C1503" s="29" t="s">
        <v>277</v>
      </c>
      <c r="D1503" s="31">
        <f>SUMIFS(D1504:D3130,K1504:K3130,"0",B1504:B3130,"5 1 1 1 3 12 31111 6 M78 27000 184 00C 001 11301 015 2111100 2024 00000000*")-SUMIFS(E1504:E3130,K1504:K3130,"0",B1504:B3130,"5 1 1 1 3 12 31111 6 M78 27000 184 00C 001 11301 015 2111100 2024 00000000*")</f>
        <v>0</v>
      </c>
      <c r="E1503"/>
      <c r="F1503" s="31">
        <f>SUMIFS(F1504:F3130,K1504:K3130,"0",B1504:B3130,"5 1 1 1 3 12 31111 6 M78 27000 184 00C 001 11301 015 2111100 2024 00000000*")</f>
        <v>252000</v>
      </c>
      <c r="G1503" s="31">
        <f>SUMIFS(G1504:G3130,K1504:K3130,"0",B1504:B3130,"5 1 1 1 3 12 31111 6 M78 27000 184 00C 001 11301 015 2111100 2024 00000000*")</f>
        <v>0</v>
      </c>
      <c r="H1503" s="31">
        <f t="shared" si="24"/>
        <v>252000</v>
      </c>
      <c r="I1503" s="31"/>
      <c r="K1503" t="s">
        <v>13</v>
      </c>
    </row>
    <row r="1504" spans="2:11" ht="22" x14ac:dyDescent="0.15">
      <c r="B1504" s="29" t="s">
        <v>2130</v>
      </c>
      <c r="C1504" s="29" t="s">
        <v>32</v>
      </c>
      <c r="D1504" s="31">
        <f>SUMIFS(D1505:D3130,K1505:K3130,"0",B1505:B3130,"5 1 1 1 3 12 31111 6 M78 27000 184 00C 001 11301 015 2111100 2024 00000000 001*")-SUMIFS(E1505:E3130,K1505:K3130,"0",B1505:B3130,"5 1 1 1 3 12 31111 6 M78 27000 184 00C 001 11301 015 2111100 2024 00000000 001*")</f>
        <v>0</v>
      </c>
      <c r="E1504"/>
      <c r="F1504" s="31">
        <f>SUMIFS(F1505:F3130,K1505:K3130,"0",B1505:B3130,"5 1 1 1 3 12 31111 6 M78 27000 184 00C 001 11301 015 2111100 2024 00000000 001*")</f>
        <v>252000</v>
      </c>
      <c r="G1504" s="31">
        <f>SUMIFS(G1505:G3130,K1505:K3130,"0",B1505:B3130,"5 1 1 1 3 12 31111 6 M78 27000 184 00C 001 11301 015 2111100 2024 00000000 001*")</f>
        <v>0</v>
      </c>
      <c r="H1504" s="31">
        <f t="shared" si="24"/>
        <v>252000</v>
      </c>
      <c r="I1504" s="31"/>
      <c r="K1504" t="s">
        <v>13</v>
      </c>
    </row>
    <row r="1505" spans="2:11" ht="22" x14ac:dyDescent="0.15">
      <c r="B1505" s="29" t="s">
        <v>2131</v>
      </c>
      <c r="C1505" s="29" t="s">
        <v>2132</v>
      </c>
      <c r="D1505" s="31">
        <f>SUMIFS(D1506:D3130,K1506:K3130,"0",B1506:B3130,"5 1 1 1 3 12 31111 6 M78 27000 184 00C 001 11301 015 2111100 2024 00000000 001 001*")-SUMIFS(E1506:E3130,K1506:K3130,"0",B1506:B3130,"5 1 1 1 3 12 31111 6 M78 27000 184 00C 001 11301 015 2111100 2024 00000000 001 001*")</f>
        <v>0</v>
      </c>
      <c r="E1505"/>
      <c r="F1505" s="31">
        <f>SUMIFS(F1506:F3130,K1506:K3130,"0",B1506:B3130,"5 1 1 1 3 12 31111 6 M78 27000 184 00C 001 11301 015 2111100 2024 00000000 001 001*")</f>
        <v>252000</v>
      </c>
      <c r="G1505" s="31">
        <f>SUMIFS(G1506:G3130,K1506:K3130,"0",B1506:B3130,"5 1 1 1 3 12 31111 6 M78 27000 184 00C 001 11301 015 2111100 2024 00000000 001 001*")</f>
        <v>0</v>
      </c>
      <c r="H1505" s="31">
        <f t="shared" si="24"/>
        <v>252000</v>
      </c>
      <c r="I1505" s="31"/>
      <c r="K1505" t="s">
        <v>13</v>
      </c>
    </row>
    <row r="1506" spans="2:11" ht="22" x14ac:dyDescent="0.15">
      <c r="B1506" s="27" t="s">
        <v>2133</v>
      </c>
      <c r="C1506" s="27" t="s">
        <v>1820</v>
      </c>
      <c r="D1506" s="30">
        <v>0</v>
      </c>
      <c r="E1506" s="30"/>
      <c r="F1506" s="30">
        <v>252000</v>
      </c>
      <c r="G1506" s="30">
        <v>0</v>
      </c>
      <c r="H1506" s="30">
        <f t="shared" si="24"/>
        <v>252000</v>
      </c>
      <c r="I1506" s="30"/>
      <c r="K1506" t="s">
        <v>37</v>
      </c>
    </row>
    <row r="1507" spans="2:11" ht="13" x14ac:dyDescent="0.15">
      <c r="B1507" s="29" t="s">
        <v>2134</v>
      </c>
      <c r="C1507" s="29" t="s">
        <v>2135</v>
      </c>
      <c r="D1507" s="31">
        <f>SUMIFS(D1508:D3130,K1508:K3130,"0",B1508:B3130,"5 1 1 3*")-SUMIFS(E1508:E3130,K1508:K3130,"0",B1508:B3130,"5 1 1 3*")</f>
        <v>0</v>
      </c>
      <c r="E1507"/>
      <c r="F1507" s="31">
        <f>SUMIFS(F1508:F3130,K1508:K3130,"0",B1508:B3130,"5 1 1 3*")</f>
        <v>5497368.1800000016</v>
      </c>
      <c r="G1507" s="31">
        <f>SUMIFS(G1508:G3130,K1508:K3130,"0",B1508:B3130,"5 1 1 3*")</f>
        <v>0</v>
      </c>
      <c r="H1507" s="31">
        <f t="shared" si="24"/>
        <v>5497368.1800000016</v>
      </c>
      <c r="I1507" s="31"/>
      <c r="K1507" t="s">
        <v>13</v>
      </c>
    </row>
    <row r="1508" spans="2:11" ht="13" x14ac:dyDescent="0.15">
      <c r="B1508" s="29" t="s">
        <v>2136</v>
      </c>
      <c r="C1508" s="29" t="s">
        <v>2137</v>
      </c>
      <c r="D1508" s="31">
        <f>SUMIFS(D1509:D3130,K1509:K3130,"0",B1509:B3130,"5 1 1 3 2*")-SUMIFS(E1509:E3130,K1509:K3130,"0",B1509:B3130,"5 1 1 3 2*")</f>
        <v>0</v>
      </c>
      <c r="E1508"/>
      <c r="F1508" s="31">
        <f>SUMIFS(F1509:F3130,K1509:K3130,"0",B1509:B3130,"5 1 1 3 2*")</f>
        <v>1848739.85</v>
      </c>
      <c r="G1508" s="31">
        <f>SUMIFS(G1509:G3130,K1509:K3130,"0",B1509:B3130,"5 1 1 3 2*")</f>
        <v>0</v>
      </c>
      <c r="H1508" s="31">
        <f t="shared" si="24"/>
        <v>1848739.85</v>
      </c>
      <c r="I1508" s="31"/>
      <c r="K1508" t="s">
        <v>13</v>
      </c>
    </row>
    <row r="1509" spans="2:11" ht="13" x14ac:dyDescent="0.15">
      <c r="B1509" s="29" t="s">
        <v>2138</v>
      </c>
      <c r="C1509" s="29" t="s">
        <v>24</v>
      </c>
      <c r="D1509" s="31">
        <f>SUMIFS(D1510:D3130,K1510:K3130,"0",B1510:B3130,"5 1 1 3 2 12*")-SUMIFS(E1510:E3130,K1510:K3130,"0",B1510:B3130,"5 1 1 3 2 12*")</f>
        <v>0</v>
      </c>
      <c r="E1509"/>
      <c r="F1509" s="31">
        <f>SUMIFS(F1510:F3130,K1510:K3130,"0",B1510:B3130,"5 1 1 3 2 12*")</f>
        <v>1848739.85</v>
      </c>
      <c r="G1509" s="31">
        <f>SUMIFS(G1510:G3130,K1510:K3130,"0",B1510:B3130,"5 1 1 3 2 12*")</f>
        <v>0</v>
      </c>
      <c r="H1509" s="31">
        <f t="shared" si="24"/>
        <v>1848739.85</v>
      </c>
      <c r="I1509" s="31"/>
      <c r="K1509" t="s">
        <v>13</v>
      </c>
    </row>
    <row r="1510" spans="2:11" ht="13" x14ac:dyDescent="0.15">
      <c r="B1510" s="29" t="s">
        <v>2139</v>
      </c>
      <c r="C1510" s="29" t="s">
        <v>26</v>
      </c>
      <c r="D1510" s="31">
        <f>SUMIFS(D1511:D3130,K1511:K3130,"0",B1511:B3130,"5 1 1 3 2 12 31111*")-SUMIFS(E1511:E3130,K1511:K3130,"0",B1511:B3130,"5 1 1 3 2 12 31111*")</f>
        <v>0</v>
      </c>
      <c r="E1510"/>
      <c r="F1510" s="31">
        <f>SUMIFS(F1511:F3130,K1511:K3130,"0",B1511:B3130,"5 1 1 3 2 12 31111*")</f>
        <v>1848739.85</v>
      </c>
      <c r="G1510" s="31">
        <f>SUMIFS(G1511:G3130,K1511:K3130,"0",B1511:B3130,"5 1 1 3 2 12 31111*")</f>
        <v>0</v>
      </c>
      <c r="H1510" s="31">
        <f t="shared" si="24"/>
        <v>1848739.85</v>
      </c>
      <c r="I1510" s="31"/>
      <c r="K1510" t="s">
        <v>13</v>
      </c>
    </row>
    <row r="1511" spans="2:11" ht="13" x14ac:dyDescent="0.15">
      <c r="B1511" s="29" t="s">
        <v>2140</v>
      </c>
      <c r="C1511" s="29" t="s">
        <v>28</v>
      </c>
      <c r="D1511" s="31">
        <f>SUMIFS(D1512:D3130,K1512:K3130,"0",B1512:B3130,"5 1 1 3 2 12 31111 6*")-SUMIFS(E1512:E3130,K1512:K3130,"0",B1512:B3130,"5 1 1 3 2 12 31111 6*")</f>
        <v>0</v>
      </c>
      <c r="E1511"/>
      <c r="F1511" s="31">
        <f>SUMIFS(F1512:F3130,K1512:K3130,"0",B1512:B3130,"5 1 1 3 2 12 31111 6*")</f>
        <v>1848739.85</v>
      </c>
      <c r="G1511" s="31">
        <f>SUMIFS(G1512:G3130,K1512:K3130,"0",B1512:B3130,"5 1 1 3 2 12 31111 6*")</f>
        <v>0</v>
      </c>
      <c r="H1511" s="31">
        <f t="shared" si="24"/>
        <v>1848739.85</v>
      </c>
      <c r="I1511" s="31"/>
      <c r="K1511" t="s">
        <v>13</v>
      </c>
    </row>
    <row r="1512" spans="2:11" ht="13" x14ac:dyDescent="0.15">
      <c r="B1512" s="29" t="s">
        <v>2141</v>
      </c>
      <c r="C1512" s="29" t="s">
        <v>1567</v>
      </c>
      <c r="D1512" s="31">
        <f>SUMIFS(D1513:D3130,K1513:K3130,"0",B1513:B3130,"5 1 1 3 2 12 31111 6 M78*")-SUMIFS(E1513:E3130,K1513:K3130,"0",B1513:B3130,"5 1 1 3 2 12 31111 6 M78*")</f>
        <v>0</v>
      </c>
      <c r="E1512"/>
      <c r="F1512" s="31">
        <f>SUMIFS(F1513:F3130,K1513:K3130,"0",B1513:B3130,"5 1 1 3 2 12 31111 6 M78*")</f>
        <v>1848739.85</v>
      </c>
      <c r="G1512" s="31">
        <f>SUMIFS(G1513:G3130,K1513:K3130,"0",B1513:B3130,"5 1 1 3 2 12 31111 6 M78*")</f>
        <v>0</v>
      </c>
      <c r="H1512" s="31">
        <f t="shared" si="24"/>
        <v>1848739.85</v>
      </c>
      <c r="I1512" s="31"/>
      <c r="K1512" t="s">
        <v>13</v>
      </c>
    </row>
    <row r="1513" spans="2:11" ht="13" x14ac:dyDescent="0.15">
      <c r="B1513" s="29" t="s">
        <v>2142</v>
      </c>
      <c r="C1513" s="29" t="s">
        <v>1804</v>
      </c>
      <c r="D1513" s="31">
        <f>SUMIFS(D1514:D3130,K1514:K3130,"0",B1514:B3130,"5 1 1 3 2 12 31111 6 M78 01000*")-SUMIFS(E1514:E3130,K1514:K3130,"0",B1514:B3130,"5 1 1 3 2 12 31111 6 M78 01000*")</f>
        <v>0</v>
      </c>
      <c r="E1513"/>
      <c r="F1513" s="31">
        <f>SUMIFS(F1514:F3130,K1514:K3130,"0",B1514:B3130,"5 1 1 3 2 12 31111 6 M78 01000*")</f>
        <v>154540.15</v>
      </c>
      <c r="G1513" s="31">
        <f>SUMIFS(G1514:G3130,K1514:K3130,"0",B1514:B3130,"5 1 1 3 2 12 31111 6 M78 01000*")</f>
        <v>0</v>
      </c>
      <c r="H1513" s="31">
        <f t="shared" si="24"/>
        <v>154540.15</v>
      </c>
      <c r="I1513" s="31"/>
      <c r="K1513" t="s">
        <v>13</v>
      </c>
    </row>
    <row r="1514" spans="2:11" ht="13" x14ac:dyDescent="0.15">
      <c r="B1514" s="29" t="s">
        <v>2143</v>
      </c>
      <c r="C1514" s="29" t="s">
        <v>1806</v>
      </c>
      <c r="D1514" s="31">
        <f>SUMIFS(D1515:D3130,K1515:K3130,"0",B1515:B3130,"5 1 1 3 2 12 31111 6 M78 01000 131*")-SUMIFS(E1515:E3130,K1515:K3130,"0",B1515:B3130,"5 1 1 3 2 12 31111 6 M78 01000 131*")</f>
        <v>0</v>
      </c>
      <c r="E1514"/>
      <c r="F1514" s="31">
        <f>SUMIFS(F1515:F3130,K1515:K3130,"0",B1515:B3130,"5 1 1 3 2 12 31111 6 M78 01000 131*")</f>
        <v>154540.15</v>
      </c>
      <c r="G1514" s="31">
        <f>SUMIFS(G1515:G3130,K1515:K3130,"0",B1515:B3130,"5 1 1 3 2 12 31111 6 M78 01000 131*")</f>
        <v>0</v>
      </c>
      <c r="H1514" s="31">
        <f t="shared" si="24"/>
        <v>154540.15</v>
      </c>
      <c r="I1514" s="31"/>
      <c r="K1514" t="s">
        <v>13</v>
      </c>
    </row>
    <row r="1515" spans="2:11" ht="13" x14ac:dyDescent="0.15">
      <c r="B1515" s="29" t="s">
        <v>2144</v>
      </c>
      <c r="C1515" s="29" t="s">
        <v>265</v>
      </c>
      <c r="D1515" s="31">
        <f>SUMIFS(D1516:D3130,K1516:K3130,"0",B1516:B3130,"5 1 1 3 2 12 31111 6 M78 01000 131 00C*")-SUMIFS(E1516:E3130,K1516:K3130,"0",B1516:B3130,"5 1 1 3 2 12 31111 6 M78 01000 131 00C*")</f>
        <v>0</v>
      </c>
      <c r="E1515"/>
      <c r="F1515" s="31">
        <f>SUMIFS(F1516:F3130,K1516:K3130,"0",B1516:B3130,"5 1 1 3 2 12 31111 6 M78 01000 131 00C*")</f>
        <v>154540.15</v>
      </c>
      <c r="G1515" s="31">
        <f>SUMIFS(G1516:G3130,K1516:K3130,"0",B1516:B3130,"5 1 1 3 2 12 31111 6 M78 01000 131 00C*")</f>
        <v>0</v>
      </c>
      <c r="H1515" s="31">
        <f t="shared" si="24"/>
        <v>154540.15</v>
      </c>
      <c r="I1515" s="31"/>
      <c r="K1515" t="s">
        <v>13</v>
      </c>
    </row>
    <row r="1516" spans="2:11" ht="13" x14ac:dyDescent="0.15">
      <c r="B1516" s="29" t="s">
        <v>2145</v>
      </c>
      <c r="C1516" s="29" t="s">
        <v>32</v>
      </c>
      <c r="D1516" s="31">
        <f>SUMIFS(D1517:D3130,K1517:K3130,"0",B1517:B3130,"5 1 1 3 2 12 31111 6 M78 01000 131 00C 001*")-SUMIFS(E1517:E3130,K1517:K3130,"0",B1517:B3130,"5 1 1 3 2 12 31111 6 M78 01000 131 00C 001*")</f>
        <v>0</v>
      </c>
      <c r="E1516"/>
      <c r="F1516" s="31">
        <f>SUMIFS(F1517:F3130,K1517:K3130,"0",B1517:B3130,"5 1 1 3 2 12 31111 6 M78 01000 131 00C 001*")</f>
        <v>154540.15</v>
      </c>
      <c r="G1516" s="31">
        <f>SUMIFS(G1517:G3130,K1517:K3130,"0",B1517:B3130,"5 1 1 3 2 12 31111 6 M78 01000 131 00C 001*")</f>
        <v>0</v>
      </c>
      <c r="H1516" s="31">
        <f t="shared" si="24"/>
        <v>154540.15</v>
      </c>
      <c r="I1516" s="31"/>
      <c r="K1516" t="s">
        <v>13</v>
      </c>
    </row>
    <row r="1517" spans="2:11" ht="13" x14ac:dyDescent="0.15">
      <c r="B1517" s="29" t="s">
        <v>2146</v>
      </c>
      <c r="C1517" s="29" t="s">
        <v>2147</v>
      </c>
      <c r="D1517" s="31">
        <f>SUMIFS(D1518:D3130,K1518:K3130,"0",B1518:B3130,"5 1 1 3 2 12 31111 6 M78 01000 131 00C 001 13202*")-SUMIFS(E1518:E3130,K1518:K3130,"0",B1518:B3130,"5 1 1 3 2 12 31111 6 M78 01000 131 00C 001 13202*")</f>
        <v>0</v>
      </c>
      <c r="E1517"/>
      <c r="F1517" s="31">
        <f>SUMIFS(F1518:F3130,K1518:K3130,"0",B1518:B3130,"5 1 1 3 2 12 31111 6 M78 01000 131 00C 001 13202*")</f>
        <v>154540.15</v>
      </c>
      <c r="G1517" s="31">
        <f>SUMIFS(G1518:G3130,K1518:K3130,"0",B1518:B3130,"5 1 1 3 2 12 31111 6 M78 01000 131 00C 001 13202*")</f>
        <v>0</v>
      </c>
      <c r="H1517" s="31">
        <f t="shared" si="24"/>
        <v>154540.15</v>
      </c>
      <c r="I1517" s="31"/>
      <c r="K1517" t="s">
        <v>13</v>
      </c>
    </row>
    <row r="1518" spans="2:11" ht="22" x14ac:dyDescent="0.15">
      <c r="B1518" s="29" t="s">
        <v>2148</v>
      </c>
      <c r="C1518" s="29" t="s">
        <v>271</v>
      </c>
      <c r="D1518" s="31">
        <f>SUMIFS(D1519:D3130,K1519:K3130,"0",B1519:B3130,"5 1 1 3 2 12 31111 6 M78 01000 131 00C 001 13202 015*")-SUMIFS(E1519:E3130,K1519:K3130,"0",B1519:B3130,"5 1 1 3 2 12 31111 6 M78 01000 131 00C 001 13202 015*")</f>
        <v>0</v>
      </c>
      <c r="E1518"/>
      <c r="F1518" s="31">
        <f>SUMIFS(F1519:F3130,K1519:K3130,"0",B1519:B3130,"5 1 1 3 2 12 31111 6 M78 01000 131 00C 001 13202 015*")</f>
        <v>154540.15</v>
      </c>
      <c r="G1518" s="31">
        <f>SUMIFS(G1519:G3130,K1519:K3130,"0",B1519:B3130,"5 1 1 3 2 12 31111 6 M78 01000 131 00C 001 13202 015*")</f>
        <v>0</v>
      </c>
      <c r="H1518" s="31">
        <f t="shared" si="24"/>
        <v>154540.15</v>
      </c>
      <c r="I1518" s="31"/>
      <c r="K1518" t="s">
        <v>13</v>
      </c>
    </row>
    <row r="1519" spans="2:11" ht="22" x14ac:dyDescent="0.15">
      <c r="B1519" s="29" t="s">
        <v>2149</v>
      </c>
      <c r="C1519" s="29" t="s">
        <v>1813</v>
      </c>
      <c r="D1519" s="31">
        <f>SUMIFS(D1520:D3130,K1520:K3130,"0",B1520:B3130,"5 1 1 3 2 12 31111 6 M78 01000 131 00C 001 13202 015 2111100*")-SUMIFS(E1520:E3130,K1520:K3130,"0",B1520:B3130,"5 1 1 3 2 12 31111 6 M78 01000 131 00C 001 13202 015 2111100*")</f>
        <v>0</v>
      </c>
      <c r="E1519"/>
      <c r="F1519" s="31">
        <f>SUMIFS(F1520:F3130,K1520:K3130,"0",B1520:B3130,"5 1 1 3 2 12 31111 6 M78 01000 131 00C 001 13202 015 2111100*")</f>
        <v>154540.15</v>
      </c>
      <c r="G1519" s="31">
        <f>SUMIFS(G1520:G3130,K1520:K3130,"0",B1520:B3130,"5 1 1 3 2 12 31111 6 M78 01000 131 00C 001 13202 015 2111100*")</f>
        <v>0</v>
      </c>
      <c r="H1519" s="31">
        <f t="shared" si="24"/>
        <v>154540.15</v>
      </c>
      <c r="I1519" s="31"/>
      <c r="K1519" t="s">
        <v>13</v>
      </c>
    </row>
    <row r="1520" spans="2:11" ht="22" x14ac:dyDescent="0.15">
      <c r="B1520" s="29" t="s">
        <v>2150</v>
      </c>
      <c r="C1520" s="29" t="s">
        <v>275</v>
      </c>
      <c r="D1520" s="31">
        <f>SUMIFS(D1521:D3130,K1521:K3130,"0",B1521:B3130,"5 1 1 3 2 12 31111 6 M78 01000 131 00C 001 13202 015 2111100 2024*")-SUMIFS(E1521:E3130,K1521:K3130,"0",B1521:B3130,"5 1 1 3 2 12 31111 6 M78 01000 131 00C 001 13202 015 2111100 2024*")</f>
        <v>0</v>
      </c>
      <c r="E1520"/>
      <c r="F1520" s="31">
        <f>SUMIFS(F1521:F3130,K1521:K3130,"0",B1521:B3130,"5 1 1 3 2 12 31111 6 M78 01000 131 00C 001 13202 015 2111100 2024*")</f>
        <v>154540.15</v>
      </c>
      <c r="G1520" s="31">
        <f>SUMIFS(G1521:G3130,K1521:K3130,"0",B1521:B3130,"5 1 1 3 2 12 31111 6 M78 01000 131 00C 001 13202 015 2111100 2024*")</f>
        <v>0</v>
      </c>
      <c r="H1520" s="31">
        <f t="shared" si="24"/>
        <v>154540.15</v>
      </c>
      <c r="I1520" s="31"/>
      <c r="K1520" t="s">
        <v>13</v>
      </c>
    </row>
    <row r="1521" spans="2:11" ht="22" x14ac:dyDescent="0.15">
      <c r="B1521" s="29" t="s">
        <v>2151</v>
      </c>
      <c r="C1521" s="29" t="s">
        <v>277</v>
      </c>
      <c r="D1521" s="31">
        <f>SUMIFS(D1522:D3130,K1522:K3130,"0",B1522:B3130,"5 1 1 3 2 12 31111 6 M78 01000 131 00C 001 13202 015 2111100 2024 00000000*")-SUMIFS(E1522:E3130,K1522:K3130,"0",B1522:B3130,"5 1 1 3 2 12 31111 6 M78 01000 131 00C 001 13202 015 2111100 2024 00000000*")</f>
        <v>0</v>
      </c>
      <c r="E1521"/>
      <c r="F1521" s="31">
        <f>SUMIFS(F1522:F3130,K1522:K3130,"0",B1522:B3130,"5 1 1 3 2 12 31111 6 M78 01000 131 00C 001 13202 015 2111100 2024 00000000*")</f>
        <v>154540.15</v>
      </c>
      <c r="G1521" s="31">
        <f>SUMIFS(G1522:G3130,K1522:K3130,"0",B1522:B3130,"5 1 1 3 2 12 31111 6 M78 01000 131 00C 001 13202 015 2111100 2024 00000000*")</f>
        <v>0</v>
      </c>
      <c r="H1521" s="31">
        <f t="shared" si="24"/>
        <v>154540.15</v>
      </c>
      <c r="I1521" s="31"/>
      <c r="K1521" t="s">
        <v>13</v>
      </c>
    </row>
    <row r="1522" spans="2:11" ht="22" x14ac:dyDescent="0.15">
      <c r="B1522" s="29" t="s">
        <v>2152</v>
      </c>
      <c r="C1522" s="29" t="s">
        <v>32</v>
      </c>
      <c r="D1522" s="31">
        <f>SUMIFS(D1523:D3130,K1523:K3130,"0",B1523:B3130,"5 1 1 3 2 12 31111 6 M78 01000 131 00C 001 13202 015 2111100 2024 00000000 001*")-SUMIFS(E1523:E3130,K1523:K3130,"0",B1523:B3130,"5 1 1 3 2 12 31111 6 M78 01000 131 00C 001 13202 015 2111100 2024 00000000 001*")</f>
        <v>0</v>
      </c>
      <c r="E1522"/>
      <c r="F1522" s="31">
        <f>SUMIFS(F1523:F3130,K1523:K3130,"0",B1523:B3130,"5 1 1 3 2 12 31111 6 M78 01000 131 00C 001 13202 015 2111100 2024 00000000 001*")</f>
        <v>154540.15</v>
      </c>
      <c r="G1522" s="31">
        <f>SUMIFS(G1523:G3130,K1523:K3130,"0",B1523:B3130,"5 1 1 3 2 12 31111 6 M78 01000 131 00C 001 13202 015 2111100 2024 00000000 001*")</f>
        <v>0</v>
      </c>
      <c r="H1522" s="31">
        <f t="shared" si="24"/>
        <v>154540.15</v>
      </c>
      <c r="I1522" s="31"/>
      <c r="K1522" t="s">
        <v>13</v>
      </c>
    </row>
    <row r="1523" spans="2:11" ht="22" x14ac:dyDescent="0.15">
      <c r="B1523" s="29" t="s">
        <v>2153</v>
      </c>
      <c r="C1523" s="29" t="s">
        <v>1818</v>
      </c>
      <c r="D1523" s="31">
        <f>SUMIFS(D1524:D3130,K1524:K3130,"0",B1524:B3130,"5 1 1 3 2 12 31111 6 M78 01000 131 00C 001 13202 015 2111100 2024 00000000 001 001*")-SUMIFS(E1524:E3130,K1524:K3130,"0",B1524:B3130,"5 1 1 3 2 12 31111 6 M78 01000 131 00C 001 13202 015 2111100 2024 00000000 001 001*")</f>
        <v>0</v>
      </c>
      <c r="E1523"/>
      <c r="F1523" s="31">
        <f>SUMIFS(F1524:F3130,K1524:K3130,"0",B1524:B3130,"5 1 1 3 2 12 31111 6 M78 01000 131 00C 001 13202 015 2111100 2024 00000000 001 001*")</f>
        <v>154540.15</v>
      </c>
      <c r="G1523" s="31">
        <f>SUMIFS(G1524:G3130,K1524:K3130,"0",B1524:B3130,"5 1 1 3 2 12 31111 6 M78 01000 131 00C 001 13202 015 2111100 2024 00000000 001 001*")</f>
        <v>0</v>
      </c>
      <c r="H1523" s="31">
        <f t="shared" si="24"/>
        <v>154540.15</v>
      </c>
      <c r="I1523" s="31"/>
      <c r="K1523" t="s">
        <v>13</v>
      </c>
    </row>
    <row r="1524" spans="2:11" ht="22" x14ac:dyDescent="0.15">
      <c r="B1524" s="27" t="s">
        <v>2154</v>
      </c>
      <c r="C1524" s="27" t="s">
        <v>2155</v>
      </c>
      <c r="D1524" s="30">
        <v>0</v>
      </c>
      <c r="E1524" s="30"/>
      <c r="F1524" s="30">
        <v>154540.15</v>
      </c>
      <c r="G1524" s="30">
        <v>0</v>
      </c>
      <c r="H1524" s="30">
        <f t="shared" si="24"/>
        <v>154540.15</v>
      </c>
      <c r="I1524" s="30"/>
      <c r="K1524" t="s">
        <v>37</v>
      </c>
    </row>
    <row r="1525" spans="2:11" ht="13" x14ac:dyDescent="0.15">
      <c r="B1525" s="29" t="s">
        <v>2156</v>
      </c>
      <c r="C1525" s="29" t="s">
        <v>1822</v>
      </c>
      <c r="D1525" s="31">
        <f>SUMIFS(D1526:D3130,K1526:K3130,"0",B1526:B3130,"5 1 1 3 2 12 31111 6 M78 02000*")-SUMIFS(E1526:E3130,K1526:K3130,"0",B1526:B3130,"5 1 1 3 2 12 31111 6 M78 02000*")</f>
        <v>0</v>
      </c>
      <c r="E1525"/>
      <c r="F1525" s="31">
        <f>SUMIFS(F1526:F3130,K1526:K3130,"0",B1526:B3130,"5 1 1 3 2 12 31111 6 M78 02000*")</f>
        <v>84751.54</v>
      </c>
      <c r="G1525" s="31">
        <f>SUMIFS(G1526:G3130,K1526:K3130,"0",B1526:B3130,"5 1 1 3 2 12 31111 6 M78 02000*")</f>
        <v>0</v>
      </c>
      <c r="H1525" s="31">
        <f t="shared" si="24"/>
        <v>84751.54</v>
      </c>
      <c r="I1525" s="31"/>
      <c r="K1525" t="s">
        <v>13</v>
      </c>
    </row>
    <row r="1526" spans="2:11" ht="13" x14ac:dyDescent="0.15">
      <c r="B1526" s="29" t="s">
        <v>2157</v>
      </c>
      <c r="C1526" s="29" t="s">
        <v>1824</v>
      </c>
      <c r="D1526" s="31">
        <f>SUMIFS(D1527:D3130,K1527:K3130,"0",B1527:B3130,"5 1 1 3 2 12 31111 6 M78 02000 122*")-SUMIFS(E1527:E3130,K1527:K3130,"0",B1527:B3130,"5 1 1 3 2 12 31111 6 M78 02000 122*")</f>
        <v>0</v>
      </c>
      <c r="E1526"/>
      <c r="F1526" s="31">
        <f>SUMIFS(F1527:F3130,K1527:K3130,"0",B1527:B3130,"5 1 1 3 2 12 31111 6 M78 02000 122*")</f>
        <v>84751.54</v>
      </c>
      <c r="G1526" s="31">
        <f>SUMIFS(G1527:G3130,K1527:K3130,"0",B1527:B3130,"5 1 1 3 2 12 31111 6 M78 02000 122*")</f>
        <v>0</v>
      </c>
      <c r="H1526" s="31">
        <f t="shared" si="24"/>
        <v>84751.54</v>
      </c>
      <c r="I1526" s="31"/>
      <c r="K1526" t="s">
        <v>13</v>
      </c>
    </row>
    <row r="1527" spans="2:11" ht="13" x14ac:dyDescent="0.15">
      <c r="B1527" s="29" t="s">
        <v>2158</v>
      </c>
      <c r="C1527" s="29" t="s">
        <v>265</v>
      </c>
      <c r="D1527" s="31">
        <f>SUMIFS(D1528:D3130,K1528:K3130,"0",B1528:B3130,"5 1 1 3 2 12 31111 6 M78 02000 122 00C*")-SUMIFS(E1528:E3130,K1528:K3130,"0",B1528:B3130,"5 1 1 3 2 12 31111 6 M78 02000 122 00C*")</f>
        <v>0</v>
      </c>
      <c r="E1527"/>
      <c r="F1527" s="31">
        <f>SUMIFS(F1528:F3130,K1528:K3130,"0",B1528:B3130,"5 1 1 3 2 12 31111 6 M78 02000 122 00C*")</f>
        <v>84751.54</v>
      </c>
      <c r="G1527" s="31">
        <f>SUMIFS(G1528:G3130,K1528:K3130,"0",B1528:B3130,"5 1 1 3 2 12 31111 6 M78 02000 122 00C*")</f>
        <v>0</v>
      </c>
      <c r="H1527" s="31">
        <f t="shared" si="24"/>
        <v>84751.54</v>
      </c>
      <c r="I1527" s="31"/>
      <c r="K1527" t="s">
        <v>13</v>
      </c>
    </row>
    <row r="1528" spans="2:11" ht="13" x14ac:dyDescent="0.15">
      <c r="B1528" s="29" t="s">
        <v>2159</v>
      </c>
      <c r="C1528" s="29" t="s">
        <v>32</v>
      </c>
      <c r="D1528" s="31">
        <f>SUMIFS(D1529:D3130,K1529:K3130,"0",B1529:B3130,"5 1 1 3 2 12 31111 6 M78 02000 122 00C 001*")-SUMIFS(E1529:E3130,K1529:K3130,"0",B1529:B3130,"5 1 1 3 2 12 31111 6 M78 02000 122 00C 001*")</f>
        <v>0</v>
      </c>
      <c r="E1528"/>
      <c r="F1528" s="31">
        <f>SUMIFS(F1529:F3130,K1529:K3130,"0",B1529:B3130,"5 1 1 3 2 12 31111 6 M78 02000 122 00C 001*")</f>
        <v>84751.54</v>
      </c>
      <c r="G1528" s="31">
        <f>SUMIFS(G1529:G3130,K1529:K3130,"0",B1529:B3130,"5 1 1 3 2 12 31111 6 M78 02000 122 00C 001*")</f>
        <v>0</v>
      </c>
      <c r="H1528" s="31">
        <f t="shared" si="24"/>
        <v>84751.54</v>
      </c>
      <c r="I1528" s="31"/>
      <c r="K1528" t="s">
        <v>13</v>
      </c>
    </row>
    <row r="1529" spans="2:11" ht="13" x14ac:dyDescent="0.15">
      <c r="B1529" s="29" t="s">
        <v>2160</v>
      </c>
      <c r="C1529" s="29" t="s">
        <v>2147</v>
      </c>
      <c r="D1529" s="31">
        <f>SUMIFS(D1530:D3130,K1530:K3130,"0",B1530:B3130,"5 1 1 3 2 12 31111 6 M78 02000 122 00C 001 13202*")-SUMIFS(E1530:E3130,K1530:K3130,"0",B1530:B3130,"5 1 1 3 2 12 31111 6 M78 02000 122 00C 001 13202*")</f>
        <v>0</v>
      </c>
      <c r="E1529"/>
      <c r="F1529" s="31">
        <f>SUMIFS(F1530:F3130,K1530:K3130,"0",B1530:B3130,"5 1 1 3 2 12 31111 6 M78 02000 122 00C 001 13202*")</f>
        <v>84751.54</v>
      </c>
      <c r="G1529" s="31">
        <f>SUMIFS(G1530:G3130,K1530:K3130,"0",B1530:B3130,"5 1 1 3 2 12 31111 6 M78 02000 122 00C 001 13202*")</f>
        <v>0</v>
      </c>
      <c r="H1529" s="31">
        <f t="shared" si="24"/>
        <v>84751.54</v>
      </c>
      <c r="I1529" s="31"/>
      <c r="K1529" t="s">
        <v>13</v>
      </c>
    </row>
    <row r="1530" spans="2:11" ht="22" x14ac:dyDescent="0.15">
      <c r="B1530" s="29" t="s">
        <v>2161</v>
      </c>
      <c r="C1530" s="29" t="s">
        <v>271</v>
      </c>
      <c r="D1530" s="31">
        <f>SUMIFS(D1531:D3130,K1531:K3130,"0",B1531:B3130,"5 1 1 3 2 12 31111 6 M78 02000 122 00C 001 13202 015*")-SUMIFS(E1531:E3130,K1531:K3130,"0",B1531:B3130,"5 1 1 3 2 12 31111 6 M78 02000 122 00C 001 13202 015*")</f>
        <v>0</v>
      </c>
      <c r="E1530"/>
      <c r="F1530" s="31">
        <f>SUMIFS(F1531:F3130,K1531:K3130,"0",B1531:B3130,"5 1 1 3 2 12 31111 6 M78 02000 122 00C 001 13202 015*")</f>
        <v>84751.54</v>
      </c>
      <c r="G1530" s="31">
        <f>SUMIFS(G1531:G3130,K1531:K3130,"0",B1531:B3130,"5 1 1 3 2 12 31111 6 M78 02000 122 00C 001 13202 015*")</f>
        <v>0</v>
      </c>
      <c r="H1530" s="31">
        <f t="shared" si="24"/>
        <v>84751.54</v>
      </c>
      <c r="I1530" s="31"/>
      <c r="K1530" t="s">
        <v>13</v>
      </c>
    </row>
    <row r="1531" spans="2:11" ht="22" x14ac:dyDescent="0.15">
      <c r="B1531" s="29" t="s">
        <v>2162</v>
      </c>
      <c r="C1531" s="29" t="s">
        <v>1813</v>
      </c>
      <c r="D1531" s="31">
        <f>SUMIFS(D1532:D3130,K1532:K3130,"0",B1532:B3130,"5 1 1 3 2 12 31111 6 M78 02000 122 00C 001 13202 015 2111100*")-SUMIFS(E1532:E3130,K1532:K3130,"0",B1532:B3130,"5 1 1 3 2 12 31111 6 M78 02000 122 00C 001 13202 015 2111100*")</f>
        <v>0</v>
      </c>
      <c r="E1531"/>
      <c r="F1531" s="31">
        <f>SUMIFS(F1532:F3130,K1532:K3130,"0",B1532:B3130,"5 1 1 3 2 12 31111 6 M78 02000 122 00C 001 13202 015 2111100*")</f>
        <v>84751.54</v>
      </c>
      <c r="G1531" s="31">
        <f>SUMIFS(G1532:G3130,K1532:K3130,"0",B1532:B3130,"5 1 1 3 2 12 31111 6 M78 02000 122 00C 001 13202 015 2111100*")</f>
        <v>0</v>
      </c>
      <c r="H1531" s="31">
        <f t="shared" si="24"/>
        <v>84751.54</v>
      </c>
      <c r="I1531" s="31"/>
      <c r="K1531" t="s">
        <v>13</v>
      </c>
    </row>
    <row r="1532" spans="2:11" ht="22" x14ac:dyDescent="0.15">
      <c r="B1532" s="29" t="s">
        <v>2163</v>
      </c>
      <c r="C1532" s="29" t="s">
        <v>275</v>
      </c>
      <c r="D1532" s="31">
        <f>SUMIFS(D1533:D3130,K1533:K3130,"0",B1533:B3130,"5 1 1 3 2 12 31111 6 M78 02000 122 00C 001 13202 015 2111100 2024*")-SUMIFS(E1533:E3130,K1533:K3130,"0",B1533:B3130,"5 1 1 3 2 12 31111 6 M78 02000 122 00C 001 13202 015 2111100 2024*")</f>
        <v>0</v>
      </c>
      <c r="E1532"/>
      <c r="F1532" s="31">
        <f>SUMIFS(F1533:F3130,K1533:K3130,"0",B1533:B3130,"5 1 1 3 2 12 31111 6 M78 02000 122 00C 001 13202 015 2111100 2024*")</f>
        <v>84751.54</v>
      </c>
      <c r="G1532" s="31">
        <f>SUMIFS(G1533:G3130,K1533:K3130,"0",B1533:B3130,"5 1 1 3 2 12 31111 6 M78 02000 122 00C 001 13202 015 2111100 2024*")</f>
        <v>0</v>
      </c>
      <c r="H1532" s="31">
        <f t="shared" si="24"/>
        <v>84751.54</v>
      </c>
      <c r="I1532" s="31"/>
      <c r="K1532" t="s">
        <v>13</v>
      </c>
    </row>
    <row r="1533" spans="2:11" ht="22" x14ac:dyDescent="0.15">
      <c r="B1533" s="29" t="s">
        <v>2164</v>
      </c>
      <c r="C1533" s="29" t="s">
        <v>277</v>
      </c>
      <c r="D1533" s="31">
        <f>SUMIFS(D1534:D3130,K1534:K3130,"0",B1534:B3130,"5 1 1 3 2 12 31111 6 M78 02000 122 00C 001 13202 015 2111100 2024 00000000*")-SUMIFS(E1534:E3130,K1534:K3130,"0",B1534:B3130,"5 1 1 3 2 12 31111 6 M78 02000 122 00C 001 13202 015 2111100 2024 00000000*")</f>
        <v>0</v>
      </c>
      <c r="E1533"/>
      <c r="F1533" s="31">
        <f>SUMIFS(F1534:F3130,K1534:K3130,"0",B1534:B3130,"5 1 1 3 2 12 31111 6 M78 02000 122 00C 001 13202 015 2111100 2024 00000000*")</f>
        <v>84751.54</v>
      </c>
      <c r="G1533" s="31">
        <f>SUMIFS(G1534:G3130,K1534:K3130,"0",B1534:B3130,"5 1 1 3 2 12 31111 6 M78 02000 122 00C 001 13202 015 2111100 2024 00000000*")</f>
        <v>0</v>
      </c>
      <c r="H1533" s="31">
        <f t="shared" si="24"/>
        <v>84751.54</v>
      </c>
      <c r="I1533" s="31"/>
      <c r="K1533" t="s">
        <v>13</v>
      </c>
    </row>
    <row r="1534" spans="2:11" ht="22" x14ac:dyDescent="0.15">
      <c r="B1534" s="29" t="s">
        <v>2165</v>
      </c>
      <c r="C1534" s="29" t="s">
        <v>32</v>
      </c>
      <c r="D1534" s="31">
        <f>SUMIFS(D1535:D3130,K1535:K3130,"0",B1535:B3130,"5 1 1 3 2 12 31111 6 M78 02000 122 00C 001 13202 015 2111100 2024 00000000 001*")-SUMIFS(E1535:E3130,K1535:K3130,"0",B1535:B3130,"5 1 1 3 2 12 31111 6 M78 02000 122 00C 001 13202 015 2111100 2024 00000000 001*")</f>
        <v>0</v>
      </c>
      <c r="E1534"/>
      <c r="F1534" s="31">
        <f>SUMIFS(F1535:F3130,K1535:K3130,"0",B1535:B3130,"5 1 1 3 2 12 31111 6 M78 02000 122 00C 001 13202 015 2111100 2024 00000000 001*")</f>
        <v>84751.54</v>
      </c>
      <c r="G1534" s="31">
        <f>SUMIFS(G1535:G3130,K1535:K3130,"0",B1535:B3130,"5 1 1 3 2 12 31111 6 M78 02000 122 00C 001 13202 015 2111100 2024 00000000 001*")</f>
        <v>0</v>
      </c>
      <c r="H1534" s="31">
        <f t="shared" si="24"/>
        <v>84751.54</v>
      </c>
      <c r="I1534" s="31"/>
      <c r="K1534" t="s">
        <v>13</v>
      </c>
    </row>
    <row r="1535" spans="2:11" ht="22" x14ac:dyDescent="0.15">
      <c r="B1535" s="29" t="s">
        <v>2166</v>
      </c>
      <c r="C1535" s="29" t="s">
        <v>1834</v>
      </c>
      <c r="D1535" s="31">
        <f>SUMIFS(D1536:D3130,K1536:K3130,"0",B1536:B3130,"5 1 1 3 2 12 31111 6 M78 02000 122 00C 001 13202 015 2111100 2024 00000000 001 001*")-SUMIFS(E1536:E3130,K1536:K3130,"0",B1536:B3130,"5 1 1 3 2 12 31111 6 M78 02000 122 00C 001 13202 015 2111100 2024 00000000 001 001*")</f>
        <v>0</v>
      </c>
      <c r="E1535"/>
      <c r="F1535" s="31">
        <f>SUMIFS(F1536:F3130,K1536:K3130,"0",B1536:B3130,"5 1 1 3 2 12 31111 6 M78 02000 122 00C 001 13202 015 2111100 2024 00000000 001 001*")</f>
        <v>84751.54</v>
      </c>
      <c r="G1535" s="31">
        <f>SUMIFS(G1536:G3130,K1536:K3130,"0",B1536:B3130,"5 1 1 3 2 12 31111 6 M78 02000 122 00C 001 13202 015 2111100 2024 00000000 001 001*")</f>
        <v>0</v>
      </c>
      <c r="H1535" s="31">
        <f t="shared" si="24"/>
        <v>84751.54</v>
      </c>
      <c r="I1535" s="31"/>
      <c r="K1535" t="s">
        <v>13</v>
      </c>
    </row>
    <row r="1536" spans="2:11" ht="22" x14ac:dyDescent="0.15">
      <c r="B1536" s="27" t="s">
        <v>2167</v>
      </c>
      <c r="C1536" s="27" t="s">
        <v>2155</v>
      </c>
      <c r="D1536" s="30">
        <v>0</v>
      </c>
      <c r="E1536" s="30"/>
      <c r="F1536" s="30">
        <v>84751.54</v>
      </c>
      <c r="G1536" s="30">
        <v>0</v>
      </c>
      <c r="H1536" s="30">
        <f t="shared" si="24"/>
        <v>84751.54</v>
      </c>
      <c r="I1536" s="30"/>
      <c r="K1536" t="s">
        <v>37</v>
      </c>
    </row>
    <row r="1537" spans="2:11" ht="13" x14ac:dyDescent="0.15">
      <c r="B1537" s="29" t="s">
        <v>2168</v>
      </c>
      <c r="C1537" s="29" t="s">
        <v>1837</v>
      </c>
      <c r="D1537" s="31">
        <f>SUMIFS(D1538:D3130,K1538:K3130,"0",B1538:B3130,"5 1 1 3 2 12 31111 6 M78 03000*")-SUMIFS(E1538:E3130,K1538:K3130,"0",B1538:B3130,"5 1 1 3 2 12 31111 6 M78 03000*")</f>
        <v>0</v>
      </c>
      <c r="E1537"/>
      <c r="F1537" s="31">
        <f>SUMIFS(F1538:F3130,K1538:K3130,"0",B1538:B3130,"5 1 1 3 2 12 31111 6 M78 03000*")</f>
        <v>64678.79</v>
      </c>
      <c r="G1537" s="31">
        <f>SUMIFS(G1538:G3130,K1538:K3130,"0",B1538:B3130,"5 1 1 3 2 12 31111 6 M78 03000*")</f>
        <v>0</v>
      </c>
      <c r="H1537" s="31">
        <f t="shared" si="24"/>
        <v>64678.79</v>
      </c>
      <c r="I1537" s="31"/>
      <c r="K1537" t="s">
        <v>13</v>
      </c>
    </row>
    <row r="1538" spans="2:11" ht="13" x14ac:dyDescent="0.15">
      <c r="B1538" s="29" t="s">
        <v>2169</v>
      </c>
      <c r="C1538" s="29" t="s">
        <v>1839</v>
      </c>
      <c r="D1538" s="31">
        <f>SUMIFS(D1539:D3130,K1539:K3130,"0",B1539:B3130,"5 1 1 3 2 12 31111 6 M78 03000 135*")-SUMIFS(E1539:E3130,K1539:K3130,"0",B1539:B3130,"5 1 1 3 2 12 31111 6 M78 03000 135*")</f>
        <v>0</v>
      </c>
      <c r="E1538"/>
      <c r="F1538" s="31">
        <f>SUMIFS(F1539:F3130,K1539:K3130,"0",B1539:B3130,"5 1 1 3 2 12 31111 6 M78 03000 135*")</f>
        <v>64678.79</v>
      </c>
      <c r="G1538" s="31">
        <f>SUMIFS(G1539:G3130,K1539:K3130,"0",B1539:B3130,"5 1 1 3 2 12 31111 6 M78 03000 135*")</f>
        <v>0</v>
      </c>
      <c r="H1538" s="31">
        <f t="shared" si="24"/>
        <v>64678.79</v>
      </c>
      <c r="I1538" s="31"/>
      <c r="K1538" t="s">
        <v>13</v>
      </c>
    </row>
    <row r="1539" spans="2:11" ht="13" x14ac:dyDescent="0.15">
      <c r="B1539" s="29" t="s">
        <v>2170</v>
      </c>
      <c r="C1539" s="29" t="s">
        <v>285</v>
      </c>
      <c r="D1539" s="31">
        <f>SUMIFS(D1540:D3130,K1540:K3130,"0",B1540:B3130,"5 1 1 3 2 12 31111 6 M78 03000 135 00I*")-SUMIFS(E1540:E3130,K1540:K3130,"0",B1540:B3130,"5 1 1 3 2 12 31111 6 M78 03000 135 00I*")</f>
        <v>0</v>
      </c>
      <c r="E1539"/>
      <c r="F1539" s="31">
        <f>SUMIFS(F1540:F3130,K1540:K3130,"0",B1540:B3130,"5 1 1 3 2 12 31111 6 M78 03000 135 00I*")</f>
        <v>64678.79</v>
      </c>
      <c r="G1539" s="31">
        <f>SUMIFS(G1540:G3130,K1540:K3130,"0",B1540:B3130,"5 1 1 3 2 12 31111 6 M78 03000 135 00I*")</f>
        <v>0</v>
      </c>
      <c r="H1539" s="31">
        <f t="shared" si="24"/>
        <v>64678.79</v>
      </c>
      <c r="I1539" s="31"/>
      <c r="K1539" t="s">
        <v>13</v>
      </c>
    </row>
    <row r="1540" spans="2:11" ht="13" x14ac:dyDescent="0.15">
      <c r="B1540" s="29" t="s">
        <v>2171</v>
      </c>
      <c r="C1540" s="29" t="s">
        <v>32</v>
      </c>
      <c r="D1540" s="31">
        <f>SUMIFS(D1541:D3130,K1541:K3130,"0",B1541:B3130,"5 1 1 3 2 12 31111 6 M78 03000 135 00I 001*")-SUMIFS(E1541:E3130,K1541:K3130,"0",B1541:B3130,"5 1 1 3 2 12 31111 6 M78 03000 135 00I 001*")</f>
        <v>0</v>
      </c>
      <c r="E1540"/>
      <c r="F1540" s="31">
        <f>SUMIFS(F1541:F3130,K1541:K3130,"0",B1541:B3130,"5 1 1 3 2 12 31111 6 M78 03000 135 00I 001*")</f>
        <v>64678.79</v>
      </c>
      <c r="G1540" s="31">
        <f>SUMIFS(G1541:G3130,K1541:K3130,"0",B1541:B3130,"5 1 1 3 2 12 31111 6 M78 03000 135 00I 001*")</f>
        <v>0</v>
      </c>
      <c r="H1540" s="31">
        <f t="shared" si="24"/>
        <v>64678.79</v>
      </c>
      <c r="I1540" s="31"/>
      <c r="K1540" t="s">
        <v>13</v>
      </c>
    </row>
    <row r="1541" spans="2:11" ht="13" x14ac:dyDescent="0.15">
      <c r="B1541" s="29" t="s">
        <v>2172</v>
      </c>
      <c r="C1541" s="29" t="s">
        <v>2147</v>
      </c>
      <c r="D1541" s="31">
        <f>SUMIFS(D1542:D3130,K1542:K3130,"0",B1542:B3130,"5 1 1 3 2 12 31111 6 M78 03000 135 00I 001 13202*")-SUMIFS(E1542:E3130,K1542:K3130,"0",B1542:B3130,"5 1 1 3 2 12 31111 6 M78 03000 135 00I 001 13202*")</f>
        <v>0</v>
      </c>
      <c r="E1541"/>
      <c r="F1541" s="31">
        <f>SUMIFS(F1542:F3130,K1542:K3130,"0",B1542:B3130,"5 1 1 3 2 12 31111 6 M78 03000 135 00I 001 13202*")</f>
        <v>64678.79</v>
      </c>
      <c r="G1541" s="31">
        <f>SUMIFS(G1542:G3130,K1542:K3130,"0",B1542:B3130,"5 1 1 3 2 12 31111 6 M78 03000 135 00I 001 13202*")</f>
        <v>0</v>
      </c>
      <c r="H1541" s="31">
        <f t="shared" si="24"/>
        <v>64678.79</v>
      </c>
      <c r="I1541" s="31"/>
      <c r="K1541" t="s">
        <v>13</v>
      </c>
    </row>
    <row r="1542" spans="2:11" ht="22" x14ac:dyDescent="0.15">
      <c r="B1542" s="29" t="s">
        <v>2173</v>
      </c>
      <c r="C1542" s="29" t="s">
        <v>290</v>
      </c>
      <c r="D1542" s="31">
        <f>SUMIFS(D1543:D3130,K1543:K3130,"0",B1543:B3130,"5 1 1 3 2 12 31111 6 M78 03000 135 00I 001 13202 025*")-SUMIFS(E1543:E3130,K1543:K3130,"0",B1543:B3130,"5 1 1 3 2 12 31111 6 M78 03000 135 00I 001 13202 025*")</f>
        <v>0</v>
      </c>
      <c r="E1542"/>
      <c r="F1542" s="31">
        <f>SUMIFS(F1543:F3130,K1543:K3130,"0",B1543:B3130,"5 1 1 3 2 12 31111 6 M78 03000 135 00I 001 13202 025*")</f>
        <v>64678.79</v>
      </c>
      <c r="G1542" s="31">
        <f>SUMIFS(G1543:G3130,K1543:K3130,"0",B1543:B3130,"5 1 1 3 2 12 31111 6 M78 03000 135 00I 001 13202 025*")</f>
        <v>0</v>
      </c>
      <c r="H1542" s="31">
        <f t="shared" si="24"/>
        <v>64678.79</v>
      </c>
      <c r="I1542" s="31"/>
      <c r="K1542" t="s">
        <v>13</v>
      </c>
    </row>
    <row r="1543" spans="2:11" ht="22" x14ac:dyDescent="0.15">
      <c r="B1543" s="29" t="s">
        <v>2174</v>
      </c>
      <c r="C1543" s="29" t="s">
        <v>1813</v>
      </c>
      <c r="D1543" s="31">
        <f>SUMIFS(D1544:D3130,K1544:K3130,"0",B1544:B3130,"5 1 1 3 2 12 31111 6 M78 03000 135 00I 001 13202 025 2111100*")-SUMIFS(E1544:E3130,K1544:K3130,"0",B1544:B3130,"5 1 1 3 2 12 31111 6 M78 03000 135 00I 001 13202 025 2111100*")</f>
        <v>0</v>
      </c>
      <c r="E1543"/>
      <c r="F1543" s="31">
        <f>SUMIFS(F1544:F3130,K1544:K3130,"0",B1544:B3130,"5 1 1 3 2 12 31111 6 M78 03000 135 00I 001 13202 025 2111100*")</f>
        <v>64678.79</v>
      </c>
      <c r="G1543" s="31">
        <f>SUMIFS(G1544:G3130,K1544:K3130,"0",B1544:B3130,"5 1 1 3 2 12 31111 6 M78 03000 135 00I 001 13202 025 2111100*")</f>
        <v>0</v>
      </c>
      <c r="H1543" s="31">
        <f t="shared" si="24"/>
        <v>64678.79</v>
      </c>
      <c r="I1543" s="31"/>
      <c r="K1543" t="s">
        <v>13</v>
      </c>
    </row>
    <row r="1544" spans="2:11" ht="22" x14ac:dyDescent="0.15">
      <c r="B1544" s="29" t="s">
        <v>2175</v>
      </c>
      <c r="C1544" s="29" t="s">
        <v>275</v>
      </c>
      <c r="D1544" s="31">
        <f>SUMIFS(D1545:D3130,K1545:K3130,"0",B1545:B3130,"5 1 1 3 2 12 31111 6 M78 03000 135 00I 001 13202 025 2111100 2024*")-SUMIFS(E1545:E3130,K1545:K3130,"0",B1545:B3130,"5 1 1 3 2 12 31111 6 M78 03000 135 00I 001 13202 025 2111100 2024*")</f>
        <v>0</v>
      </c>
      <c r="E1544"/>
      <c r="F1544" s="31">
        <f>SUMIFS(F1545:F3130,K1545:K3130,"0",B1545:B3130,"5 1 1 3 2 12 31111 6 M78 03000 135 00I 001 13202 025 2111100 2024*")</f>
        <v>64678.79</v>
      </c>
      <c r="G1544" s="31">
        <f>SUMIFS(G1545:G3130,K1545:K3130,"0",B1545:B3130,"5 1 1 3 2 12 31111 6 M78 03000 135 00I 001 13202 025 2111100 2024*")</f>
        <v>0</v>
      </c>
      <c r="H1544" s="31">
        <f t="shared" si="24"/>
        <v>64678.79</v>
      </c>
      <c r="I1544" s="31"/>
      <c r="K1544" t="s">
        <v>13</v>
      </c>
    </row>
    <row r="1545" spans="2:11" ht="22" x14ac:dyDescent="0.15">
      <c r="B1545" s="29" t="s">
        <v>2176</v>
      </c>
      <c r="C1545" s="29" t="s">
        <v>277</v>
      </c>
      <c r="D1545" s="31">
        <f>SUMIFS(D1546:D3130,K1546:K3130,"0",B1546:B3130,"5 1 1 3 2 12 31111 6 M78 03000 135 00I 001 13202 025 2111100 2024 00000000*")-SUMIFS(E1546:E3130,K1546:K3130,"0",B1546:B3130,"5 1 1 3 2 12 31111 6 M78 03000 135 00I 001 13202 025 2111100 2024 00000000*")</f>
        <v>0</v>
      </c>
      <c r="E1545"/>
      <c r="F1545" s="31">
        <f>SUMIFS(F1546:F3130,K1546:K3130,"0",B1546:B3130,"5 1 1 3 2 12 31111 6 M78 03000 135 00I 001 13202 025 2111100 2024 00000000*")</f>
        <v>64678.79</v>
      </c>
      <c r="G1545" s="31">
        <f>SUMIFS(G1546:G3130,K1546:K3130,"0",B1546:B3130,"5 1 1 3 2 12 31111 6 M78 03000 135 00I 001 13202 025 2111100 2024 00000000*")</f>
        <v>0</v>
      </c>
      <c r="H1545" s="31">
        <f t="shared" si="24"/>
        <v>64678.79</v>
      </c>
      <c r="I1545" s="31"/>
      <c r="K1545" t="s">
        <v>13</v>
      </c>
    </row>
    <row r="1546" spans="2:11" ht="22" x14ac:dyDescent="0.15">
      <c r="B1546" s="29" t="s">
        <v>2177</v>
      </c>
      <c r="C1546" s="29" t="s">
        <v>581</v>
      </c>
      <c r="D1546" s="31">
        <f>SUMIFS(D1547:D3130,K1547:K3130,"0",B1547:B3130,"5 1 1 3 2 12 31111 6 M78 03000 135 00I 001 13202 025 2111100 2024 00000000 003*")-SUMIFS(E1547:E3130,K1547:K3130,"0",B1547:B3130,"5 1 1 3 2 12 31111 6 M78 03000 135 00I 001 13202 025 2111100 2024 00000000 003*")</f>
        <v>0</v>
      </c>
      <c r="E1546"/>
      <c r="F1546" s="31">
        <f>SUMIFS(F1547:F3130,K1547:K3130,"0",B1547:B3130,"5 1 1 3 2 12 31111 6 M78 03000 135 00I 001 13202 025 2111100 2024 00000000 003*")</f>
        <v>64678.79</v>
      </c>
      <c r="G1546" s="31">
        <f>SUMIFS(G1547:G3130,K1547:K3130,"0",B1547:B3130,"5 1 1 3 2 12 31111 6 M78 03000 135 00I 001 13202 025 2111100 2024 00000000 003*")</f>
        <v>0</v>
      </c>
      <c r="H1546" s="31">
        <f t="shared" si="24"/>
        <v>64678.79</v>
      </c>
      <c r="I1546" s="31"/>
      <c r="K1546" t="s">
        <v>13</v>
      </c>
    </row>
    <row r="1547" spans="2:11" ht="22" x14ac:dyDescent="0.15">
      <c r="B1547" s="29" t="s">
        <v>2178</v>
      </c>
      <c r="C1547" s="29" t="s">
        <v>1849</v>
      </c>
      <c r="D1547" s="31">
        <f>SUMIFS(D1548:D3130,K1548:K3130,"0",B1548:B3130,"5 1 1 3 2 12 31111 6 M78 03000 135 00I 001 13202 025 2111100 2024 00000000 003 001*")-SUMIFS(E1548:E3130,K1548:K3130,"0",B1548:B3130,"5 1 1 3 2 12 31111 6 M78 03000 135 00I 001 13202 025 2111100 2024 00000000 003 001*")</f>
        <v>0</v>
      </c>
      <c r="E1547"/>
      <c r="F1547" s="31">
        <f>SUMIFS(F1548:F3130,K1548:K3130,"0",B1548:B3130,"5 1 1 3 2 12 31111 6 M78 03000 135 00I 001 13202 025 2111100 2024 00000000 003 001*")</f>
        <v>64678.79</v>
      </c>
      <c r="G1547" s="31">
        <f>SUMIFS(G1548:G3130,K1548:K3130,"0",B1548:B3130,"5 1 1 3 2 12 31111 6 M78 03000 135 00I 001 13202 025 2111100 2024 00000000 003 001*")</f>
        <v>0</v>
      </c>
      <c r="H1547" s="31">
        <f t="shared" ref="H1547:H1610" si="25">D1547 + F1547 - G1547</f>
        <v>64678.79</v>
      </c>
      <c r="I1547" s="31"/>
      <c r="K1547" t="s">
        <v>13</v>
      </c>
    </row>
    <row r="1548" spans="2:11" ht="22" x14ac:dyDescent="0.15">
      <c r="B1548" s="27" t="s">
        <v>2179</v>
      </c>
      <c r="C1548" s="27" t="s">
        <v>2180</v>
      </c>
      <c r="D1548" s="30">
        <v>0</v>
      </c>
      <c r="E1548" s="30"/>
      <c r="F1548" s="30">
        <v>64678.79</v>
      </c>
      <c r="G1548" s="30">
        <v>0</v>
      </c>
      <c r="H1548" s="30">
        <f t="shared" si="25"/>
        <v>64678.79</v>
      </c>
      <c r="I1548" s="30"/>
      <c r="K1548" t="s">
        <v>37</v>
      </c>
    </row>
    <row r="1549" spans="2:11" ht="13" x14ac:dyDescent="0.15">
      <c r="B1549" s="29" t="s">
        <v>2181</v>
      </c>
      <c r="C1549" s="29" t="s">
        <v>1852</v>
      </c>
      <c r="D1549" s="31">
        <f>SUMIFS(D1550:D3130,K1550:K3130,"0",B1550:B3130,"5 1 1 3 2 12 31111 6 M78 04000*")-SUMIFS(E1550:E3130,K1550:K3130,"0",B1550:B3130,"5 1 1 3 2 12 31111 6 M78 04000*")</f>
        <v>0</v>
      </c>
      <c r="E1549"/>
      <c r="F1549" s="31">
        <f>SUMIFS(F1550:F3130,K1550:K3130,"0",B1550:B3130,"5 1 1 3 2 12 31111 6 M78 04000*")</f>
        <v>75900.22</v>
      </c>
      <c r="G1549" s="31">
        <f>SUMIFS(G1550:G3130,K1550:K3130,"0",B1550:B3130,"5 1 1 3 2 12 31111 6 M78 04000*")</f>
        <v>0</v>
      </c>
      <c r="H1549" s="31">
        <f t="shared" si="25"/>
        <v>75900.22</v>
      </c>
      <c r="I1549" s="31"/>
      <c r="K1549" t="s">
        <v>13</v>
      </c>
    </row>
    <row r="1550" spans="2:11" ht="13" x14ac:dyDescent="0.15">
      <c r="B1550" s="29" t="s">
        <v>2182</v>
      </c>
      <c r="C1550" s="29" t="s">
        <v>634</v>
      </c>
      <c r="D1550" s="31">
        <f>SUMIFS(D1551:D3130,K1551:K3130,"0",B1551:B3130,"5 1 1 3 2 12 31111 6 M78 04000 152*")-SUMIFS(E1551:E3130,K1551:K3130,"0",B1551:B3130,"5 1 1 3 2 12 31111 6 M78 04000 152*")</f>
        <v>0</v>
      </c>
      <c r="E1550"/>
      <c r="F1550" s="31">
        <f>SUMIFS(F1551:F3130,K1551:K3130,"0",B1551:B3130,"5 1 1 3 2 12 31111 6 M78 04000 152*")</f>
        <v>75900.22</v>
      </c>
      <c r="G1550" s="31">
        <f>SUMIFS(G1551:G3130,K1551:K3130,"0",B1551:B3130,"5 1 1 3 2 12 31111 6 M78 04000 152*")</f>
        <v>0</v>
      </c>
      <c r="H1550" s="31">
        <f t="shared" si="25"/>
        <v>75900.22</v>
      </c>
      <c r="I1550" s="31"/>
      <c r="K1550" t="s">
        <v>13</v>
      </c>
    </row>
    <row r="1551" spans="2:11" ht="13" x14ac:dyDescent="0.15">
      <c r="B1551" s="29" t="s">
        <v>2183</v>
      </c>
      <c r="C1551" s="29" t="s">
        <v>285</v>
      </c>
      <c r="D1551" s="31">
        <f>SUMIFS(D1552:D3130,K1552:K3130,"0",B1552:B3130,"5 1 1 3 2 12 31111 6 M78 04000 152 00I*")-SUMIFS(E1552:E3130,K1552:K3130,"0",B1552:B3130,"5 1 1 3 2 12 31111 6 M78 04000 152 00I*")</f>
        <v>0</v>
      </c>
      <c r="E1551"/>
      <c r="F1551" s="31">
        <f>SUMIFS(F1552:F3130,K1552:K3130,"0",B1552:B3130,"5 1 1 3 2 12 31111 6 M78 04000 152 00I*")</f>
        <v>75900.22</v>
      </c>
      <c r="G1551" s="31">
        <f>SUMIFS(G1552:G3130,K1552:K3130,"0",B1552:B3130,"5 1 1 3 2 12 31111 6 M78 04000 152 00I*")</f>
        <v>0</v>
      </c>
      <c r="H1551" s="31">
        <f t="shared" si="25"/>
        <v>75900.22</v>
      </c>
      <c r="I1551" s="31"/>
      <c r="K1551" t="s">
        <v>13</v>
      </c>
    </row>
    <row r="1552" spans="2:11" ht="13" x14ac:dyDescent="0.15">
      <c r="B1552" s="29" t="s">
        <v>2184</v>
      </c>
      <c r="C1552" s="29" t="s">
        <v>32</v>
      </c>
      <c r="D1552" s="31">
        <f>SUMIFS(D1553:D3130,K1553:K3130,"0",B1553:B3130,"5 1 1 3 2 12 31111 6 M78 04000 152 00I 001*")-SUMIFS(E1553:E3130,K1553:K3130,"0",B1553:B3130,"5 1 1 3 2 12 31111 6 M78 04000 152 00I 001*")</f>
        <v>0</v>
      </c>
      <c r="E1552"/>
      <c r="F1552" s="31">
        <f>SUMIFS(F1553:F3130,K1553:K3130,"0",B1553:B3130,"5 1 1 3 2 12 31111 6 M78 04000 152 00I 001*")</f>
        <v>75900.22</v>
      </c>
      <c r="G1552" s="31">
        <f>SUMIFS(G1553:G3130,K1553:K3130,"0",B1553:B3130,"5 1 1 3 2 12 31111 6 M78 04000 152 00I 001*")</f>
        <v>0</v>
      </c>
      <c r="H1552" s="31">
        <f t="shared" si="25"/>
        <v>75900.22</v>
      </c>
      <c r="I1552" s="31"/>
      <c r="K1552" t="s">
        <v>13</v>
      </c>
    </row>
    <row r="1553" spans="2:11" ht="13" x14ac:dyDescent="0.15">
      <c r="B1553" s="29" t="s">
        <v>2185</v>
      </c>
      <c r="C1553" s="29" t="s">
        <v>2147</v>
      </c>
      <c r="D1553" s="31">
        <f>SUMIFS(D1554:D3130,K1554:K3130,"0",B1554:B3130,"5 1 1 3 2 12 31111 6 M78 04000 152 00I 001 13202*")-SUMIFS(E1554:E3130,K1554:K3130,"0",B1554:B3130,"5 1 1 3 2 12 31111 6 M78 04000 152 00I 001 13202*")</f>
        <v>0</v>
      </c>
      <c r="E1553"/>
      <c r="F1553" s="31">
        <f>SUMIFS(F1554:F3130,K1554:K3130,"0",B1554:B3130,"5 1 1 3 2 12 31111 6 M78 04000 152 00I 001 13202*")</f>
        <v>75900.22</v>
      </c>
      <c r="G1553" s="31">
        <f>SUMIFS(G1554:G3130,K1554:K3130,"0",B1554:B3130,"5 1 1 3 2 12 31111 6 M78 04000 152 00I 001 13202*")</f>
        <v>0</v>
      </c>
      <c r="H1553" s="31">
        <f t="shared" si="25"/>
        <v>75900.22</v>
      </c>
      <c r="I1553" s="31"/>
      <c r="K1553" t="s">
        <v>13</v>
      </c>
    </row>
    <row r="1554" spans="2:11" ht="22" x14ac:dyDescent="0.15">
      <c r="B1554" s="29" t="s">
        <v>2186</v>
      </c>
      <c r="C1554" s="29" t="s">
        <v>290</v>
      </c>
      <c r="D1554" s="31">
        <f>SUMIFS(D1555:D3130,K1555:K3130,"0",B1555:B3130,"5 1 1 3 2 12 31111 6 M78 04000 152 00I 001 13202 025*")-SUMIFS(E1555:E3130,K1555:K3130,"0",B1555:B3130,"5 1 1 3 2 12 31111 6 M78 04000 152 00I 001 13202 025*")</f>
        <v>0</v>
      </c>
      <c r="E1554"/>
      <c r="F1554" s="31">
        <f>SUMIFS(F1555:F3130,K1555:K3130,"0",B1555:B3130,"5 1 1 3 2 12 31111 6 M78 04000 152 00I 001 13202 025*")</f>
        <v>75900.22</v>
      </c>
      <c r="G1554" s="31">
        <f>SUMIFS(G1555:G3130,K1555:K3130,"0",B1555:B3130,"5 1 1 3 2 12 31111 6 M78 04000 152 00I 001 13202 025*")</f>
        <v>0</v>
      </c>
      <c r="H1554" s="31">
        <f t="shared" si="25"/>
        <v>75900.22</v>
      </c>
      <c r="I1554" s="31"/>
      <c r="K1554" t="s">
        <v>13</v>
      </c>
    </row>
    <row r="1555" spans="2:11" ht="22" x14ac:dyDescent="0.15">
      <c r="B1555" s="29" t="s">
        <v>2187</v>
      </c>
      <c r="C1555" s="29" t="s">
        <v>1813</v>
      </c>
      <c r="D1555" s="31">
        <f>SUMIFS(D1556:D3130,K1556:K3130,"0",B1556:B3130,"5 1 1 3 2 12 31111 6 M78 04000 152 00I 001 13202 025 2111100*")-SUMIFS(E1556:E3130,K1556:K3130,"0",B1556:B3130,"5 1 1 3 2 12 31111 6 M78 04000 152 00I 001 13202 025 2111100*")</f>
        <v>0</v>
      </c>
      <c r="E1555"/>
      <c r="F1555" s="31">
        <f>SUMIFS(F1556:F3130,K1556:K3130,"0",B1556:B3130,"5 1 1 3 2 12 31111 6 M78 04000 152 00I 001 13202 025 2111100*")</f>
        <v>75900.22</v>
      </c>
      <c r="G1555" s="31">
        <f>SUMIFS(G1556:G3130,K1556:K3130,"0",B1556:B3130,"5 1 1 3 2 12 31111 6 M78 04000 152 00I 001 13202 025 2111100*")</f>
        <v>0</v>
      </c>
      <c r="H1555" s="31">
        <f t="shared" si="25"/>
        <v>75900.22</v>
      </c>
      <c r="I1555" s="31"/>
      <c r="K1555" t="s">
        <v>13</v>
      </c>
    </row>
    <row r="1556" spans="2:11" ht="22" x14ac:dyDescent="0.15">
      <c r="B1556" s="29" t="s">
        <v>2188</v>
      </c>
      <c r="C1556" s="29" t="s">
        <v>275</v>
      </c>
      <c r="D1556" s="31">
        <f>SUMIFS(D1557:D3130,K1557:K3130,"0",B1557:B3130,"5 1 1 3 2 12 31111 6 M78 04000 152 00I 001 13202 025 2111100 2024*")-SUMIFS(E1557:E3130,K1557:K3130,"0",B1557:B3130,"5 1 1 3 2 12 31111 6 M78 04000 152 00I 001 13202 025 2111100 2024*")</f>
        <v>0</v>
      </c>
      <c r="E1556"/>
      <c r="F1556" s="31">
        <f>SUMIFS(F1557:F3130,K1557:K3130,"0",B1557:B3130,"5 1 1 3 2 12 31111 6 M78 04000 152 00I 001 13202 025 2111100 2024*")</f>
        <v>75900.22</v>
      </c>
      <c r="G1556" s="31">
        <f>SUMIFS(G1557:G3130,K1557:K3130,"0",B1557:B3130,"5 1 1 3 2 12 31111 6 M78 04000 152 00I 001 13202 025 2111100 2024*")</f>
        <v>0</v>
      </c>
      <c r="H1556" s="31">
        <f t="shared" si="25"/>
        <v>75900.22</v>
      </c>
      <c r="I1556" s="31"/>
      <c r="K1556" t="s">
        <v>13</v>
      </c>
    </row>
    <row r="1557" spans="2:11" ht="22" x14ac:dyDescent="0.15">
      <c r="B1557" s="29" t="s">
        <v>2189</v>
      </c>
      <c r="C1557" s="29" t="s">
        <v>277</v>
      </c>
      <c r="D1557" s="31">
        <f>SUMIFS(D1558:D3130,K1558:K3130,"0",B1558:B3130,"5 1 1 3 2 12 31111 6 M78 04000 152 00I 001 13202 025 2111100 2024 00000000*")-SUMIFS(E1558:E3130,K1558:K3130,"0",B1558:B3130,"5 1 1 3 2 12 31111 6 M78 04000 152 00I 001 13202 025 2111100 2024 00000000*")</f>
        <v>0</v>
      </c>
      <c r="E1557"/>
      <c r="F1557" s="31">
        <f>SUMIFS(F1558:F3130,K1558:K3130,"0",B1558:B3130,"5 1 1 3 2 12 31111 6 M78 04000 152 00I 001 13202 025 2111100 2024 00000000*")</f>
        <v>75900.22</v>
      </c>
      <c r="G1557" s="31">
        <f>SUMIFS(G1558:G3130,K1558:K3130,"0",B1558:B3130,"5 1 1 3 2 12 31111 6 M78 04000 152 00I 001 13202 025 2111100 2024 00000000*")</f>
        <v>0</v>
      </c>
      <c r="H1557" s="31">
        <f t="shared" si="25"/>
        <v>75900.22</v>
      </c>
      <c r="I1557" s="31"/>
      <c r="K1557" t="s">
        <v>13</v>
      </c>
    </row>
    <row r="1558" spans="2:11" ht="22" x14ac:dyDescent="0.15">
      <c r="B1558" s="29" t="s">
        <v>2190</v>
      </c>
      <c r="C1558" s="29" t="s">
        <v>581</v>
      </c>
      <c r="D1558" s="31">
        <f>SUMIFS(D1559:D3130,K1559:K3130,"0",B1559:B3130,"5 1 1 3 2 12 31111 6 M78 04000 152 00I 001 13202 025 2111100 2024 00000000 003*")-SUMIFS(E1559:E3130,K1559:K3130,"0",B1559:B3130,"5 1 1 3 2 12 31111 6 M78 04000 152 00I 001 13202 025 2111100 2024 00000000 003*")</f>
        <v>0</v>
      </c>
      <c r="E1558"/>
      <c r="F1558" s="31">
        <f>SUMIFS(F1559:F3130,K1559:K3130,"0",B1559:B3130,"5 1 1 3 2 12 31111 6 M78 04000 152 00I 001 13202 025 2111100 2024 00000000 003*")</f>
        <v>75900.22</v>
      </c>
      <c r="G1558" s="31">
        <f>SUMIFS(G1559:G3130,K1559:K3130,"0",B1559:B3130,"5 1 1 3 2 12 31111 6 M78 04000 152 00I 001 13202 025 2111100 2024 00000000 003*")</f>
        <v>0</v>
      </c>
      <c r="H1558" s="31">
        <f t="shared" si="25"/>
        <v>75900.22</v>
      </c>
      <c r="I1558" s="31"/>
      <c r="K1558" t="s">
        <v>13</v>
      </c>
    </row>
    <row r="1559" spans="2:11" ht="22" x14ac:dyDescent="0.15">
      <c r="B1559" s="29" t="s">
        <v>2191</v>
      </c>
      <c r="C1559" s="29" t="s">
        <v>1863</v>
      </c>
      <c r="D1559" s="31">
        <f>SUMIFS(D1560:D3130,K1560:K3130,"0",B1560:B3130,"5 1 1 3 2 12 31111 6 M78 04000 152 00I 001 13202 025 2111100 2024 00000000 003 001*")-SUMIFS(E1560:E3130,K1560:K3130,"0",B1560:B3130,"5 1 1 3 2 12 31111 6 M78 04000 152 00I 001 13202 025 2111100 2024 00000000 003 001*")</f>
        <v>0</v>
      </c>
      <c r="E1559"/>
      <c r="F1559" s="31">
        <f>SUMIFS(F1560:F3130,K1560:K3130,"0",B1560:B3130,"5 1 1 3 2 12 31111 6 M78 04000 152 00I 001 13202 025 2111100 2024 00000000 003 001*")</f>
        <v>75900.22</v>
      </c>
      <c r="G1559" s="31">
        <f>SUMIFS(G1560:G3130,K1560:K3130,"0",B1560:B3130,"5 1 1 3 2 12 31111 6 M78 04000 152 00I 001 13202 025 2111100 2024 00000000 003 001*")</f>
        <v>0</v>
      </c>
      <c r="H1559" s="31">
        <f t="shared" si="25"/>
        <v>75900.22</v>
      </c>
      <c r="I1559" s="31"/>
      <c r="K1559" t="s">
        <v>13</v>
      </c>
    </row>
    <row r="1560" spans="2:11" ht="22" x14ac:dyDescent="0.15">
      <c r="B1560" s="27" t="s">
        <v>2192</v>
      </c>
      <c r="C1560" s="27" t="s">
        <v>2180</v>
      </c>
      <c r="D1560" s="30">
        <v>0</v>
      </c>
      <c r="E1560" s="30"/>
      <c r="F1560" s="30">
        <v>75900.22</v>
      </c>
      <c r="G1560" s="30">
        <v>0</v>
      </c>
      <c r="H1560" s="30">
        <f t="shared" si="25"/>
        <v>75900.22</v>
      </c>
      <c r="I1560" s="30"/>
      <c r="K1560" t="s">
        <v>37</v>
      </c>
    </row>
    <row r="1561" spans="2:11" ht="13" x14ac:dyDescent="0.15">
      <c r="B1561" s="29" t="s">
        <v>2193</v>
      </c>
      <c r="C1561" s="29" t="s">
        <v>1867</v>
      </c>
      <c r="D1561" s="31">
        <f>SUMIFS(D1562:D3130,K1562:K3130,"0",B1562:B3130,"5 1 1 3 2 12 31111 6 M78 05000*")-SUMIFS(E1562:E3130,K1562:K3130,"0",B1562:B3130,"5 1 1 3 2 12 31111 6 M78 05000*")</f>
        <v>0</v>
      </c>
      <c r="E1561"/>
      <c r="F1561" s="31">
        <f>SUMIFS(F1562:F3130,K1562:K3130,"0",B1562:B3130,"5 1 1 3 2 12 31111 6 M78 05000*")</f>
        <v>281501.71000000002</v>
      </c>
      <c r="G1561" s="31">
        <f>SUMIFS(G1562:G3130,K1562:K3130,"0",B1562:B3130,"5 1 1 3 2 12 31111 6 M78 05000*")</f>
        <v>0</v>
      </c>
      <c r="H1561" s="31">
        <f t="shared" si="25"/>
        <v>281501.71000000002</v>
      </c>
      <c r="I1561" s="31"/>
      <c r="K1561" t="s">
        <v>13</v>
      </c>
    </row>
    <row r="1562" spans="2:11" ht="13" x14ac:dyDescent="0.15">
      <c r="B1562" s="29" t="s">
        <v>2194</v>
      </c>
      <c r="C1562" s="29" t="s">
        <v>1869</v>
      </c>
      <c r="D1562" s="31">
        <f>SUMIFS(D1563:D3130,K1563:K3130,"0",B1563:B3130,"5 1 1 3 2 12 31111 6 M78 05000 111*")-SUMIFS(E1563:E3130,K1563:K3130,"0",B1563:B3130,"5 1 1 3 2 12 31111 6 M78 05000 111*")</f>
        <v>0</v>
      </c>
      <c r="E1562"/>
      <c r="F1562" s="31">
        <f>SUMIFS(F1563:F3130,K1563:K3130,"0",B1563:B3130,"5 1 1 3 2 12 31111 6 M78 05000 111*")</f>
        <v>281501.71000000002</v>
      </c>
      <c r="G1562" s="31">
        <f>SUMIFS(G1563:G3130,K1563:K3130,"0",B1563:B3130,"5 1 1 3 2 12 31111 6 M78 05000 111*")</f>
        <v>0</v>
      </c>
      <c r="H1562" s="31">
        <f t="shared" si="25"/>
        <v>281501.71000000002</v>
      </c>
      <c r="I1562" s="31"/>
      <c r="K1562" t="s">
        <v>13</v>
      </c>
    </row>
    <row r="1563" spans="2:11" ht="13" x14ac:dyDescent="0.15">
      <c r="B1563" s="29" t="s">
        <v>2195</v>
      </c>
      <c r="C1563" s="29" t="s">
        <v>265</v>
      </c>
      <c r="D1563" s="31">
        <f>SUMIFS(D1564:D3130,K1564:K3130,"0",B1564:B3130,"5 1 1 3 2 12 31111 6 M78 05000 111 00C*")-SUMIFS(E1564:E3130,K1564:K3130,"0",B1564:B3130,"5 1 1 3 2 12 31111 6 M78 05000 111 00C*")</f>
        <v>0</v>
      </c>
      <c r="E1563"/>
      <c r="F1563" s="31">
        <f>SUMIFS(F1564:F3130,K1564:K3130,"0",B1564:B3130,"5 1 1 3 2 12 31111 6 M78 05000 111 00C*")</f>
        <v>281501.71000000002</v>
      </c>
      <c r="G1563" s="31">
        <f>SUMIFS(G1564:G3130,K1564:K3130,"0",B1564:B3130,"5 1 1 3 2 12 31111 6 M78 05000 111 00C*")</f>
        <v>0</v>
      </c>
      <c r="H1563" s="31">
        <f t="shared" si="25"/>
        <v>281501.71000000002</v>
      </c>
      <c r="I1563" s="31"/>
      <c r="K1563" t="s">
        <v>13</v>
      </c>
    </row>
    <row r="1564" spans="2:11" ht="13" x14ac:dyDescent="0.15">
      <c r="B1564" s="29" t="s">
        <v>2196</v>
      </c>
      <c r="C1564" s="29" t="s">
        <v>32</v>
      </c>
      <c r="D1564" s="31">
        <f>SUMIFS(D1565:D3130,K1565:K3130,"0",B1565:B3130,"5 1 1 3 2 12 31111 6 M78 05000 111 00C 001*")-SUMIFS(E1565:E3130,K1565:K3130,"0",B1565:B3130,"5 1 1 3 2 12 31111 6 M78 05000 111 00C 001*")</f>
        <v>0</v>
      </c>
      <c r="E1564"/>
      <c r="F1564" s="31">
        <f>SUMIFS(F1565:F3130,K1565:K3130,"0",B1565:B3130,"5 1 1 3 2 12 31111 6 M78 05000 111 00C 001*")</f>
        <v>281501.71000000002</v>
      </c>
      <c r="G1564" s="31">
        <f>SUMIFS(G1565:G3130,K1565:K3130,"0",B1565:B3130,"5 1 1 3 2 12 31111 6 M78 05000 111 00C 001*")</f>
        <v>0</v>
      </c>
      <c r="H1564" s="31">
        <f t="shared" si="25"/>
        <v>281501.71000000002</v>
      </c>
      <c r="I1564" s="31"/>
      <c r="K1564" t="s">
        <v>13</v>
      </c>
    </row>
    <row r="1565" spans="2:11" ht="13" x14ac:dyDescent="0.15">
      <c r="B1565" s="29" t="s">
        <v>2197</v>
      </c>
      <c r="C1565" s="29" t="s">
        <v>2147</v>
      </c>
      <c r="D1565" s="31">
        <f>SUMIFS(D1566:D3130,K1566:K3130,"0",B1566:B3130,"5 1 1 3 2 12 31111 6 M78 05000 111 00C 001 13202*")-SUMIFS(E1566:E3130,K1566:K3130,"0",B1566:B3130,"5 1 1 3 2 12 31111 6 M78 05000 111 00C 001 13202*")</f>
        <v>0</v>
      </c>
      <c r="E1565"/>
      <c r="F1565" s="31">
        <f>SUMIFS(F1566:F3130,K1566:K3130,"0",B1566:B3130,"5 1 1 3 2 12 31111 6 M78 05000 111 00C 001 13202*")</f>
        <v>281501.71000000002</v>
      </c>
      <c r="G1565" s="31">
        <f>SUMIFS(G1566:G3130,K1566:K3130,"0",B1566:B3130,"5 1 1 3 2 12 31111 6 M78 05000 111 00C 001 13202*")</f>
        <v>0</v>
      </c>
      <c r="H1565" s="31">
        <f t="shared" si="25"/>
        <v>281501.71000000002</v>
      </c>
      <c r="I1565" s="31"/>
      <c r="K1565" t="s">
        <v>13</v>
      </c>
    </row>
    <row r="1566" spans="2:11" ht="22" x14ac:dyDescent="0.15">
      <c r="B1566" s="29" t="s">
        <v>2198</v>
      </c>
      <c r="C1566" s="29" t="s">
        <v>271</v>
      </c>
      <c r="D1566" s="31">
        <f>SUMIFS(D1567:D3130,K1567:K3130,"0",B1567:B3130,"5 1 1 3 2 12 31111 6 M78 05000 111 00C 001 13202 015*")-SUMIFS(E1567:E3130,K1567:K3130,"0",B1567:B3130,"5 1 1 3 2 12 31111 6 M78 05000 111 00C 001 13202 015*")</f>
        <v>0</v>
      </c>
      <c r="E1566"/>
      <c r="F1566" s="31">
        <f>SUMIFS(F1567:F3130,K1567:K3130,"0",B1567:B3130,"5 1 1 3 2 12 31111 6 M78 05000 111 00C 001 13202 015*")</f>
        <v>281501.71000000002</v>
      </c>
      <c r="G1566" s="31">
        <f>SUMIFS(G1567:G3130,K1567:K3130,"0",B1567:B3130,"5 1 1 3 2 12 31111 6 M78 05000 111 00C 001 13202 015*")</f>
        <v>0</v>
      </c>
      <c r="H1566" s="31">
        <f t="shared" si="25"/>
        <v>281501.71000000002</v>
      </c>
      <c r="I1566" s="31"/>
      <c r="K1566" t="s">
        <v>13</v>
      </c>
    </row>
    <row r="1567" spans="2:11" ht="22" x14ac:dyDescent="0.15">
      <c r="B1567" s="29" t="s">
        <v>2199</v>
      </c>
      <c r="C1567" s="29" t="s">
        <v>1813</v>
      </c>
      <c r="D1567" s="31">
        <f>SUMIFS(D1568:D3130,K1568:K3130,"0",B1568:B3130,"5 1 1 3 2 12 31111 6 M78 05000 111 00C 001 13202 015 2111100*")-SUMIFS(E1568:E3130,K1568:K3130,"0",B1568:B3130,"5 1 1 3 2 12 31111 6 M78 05000 111 00C 001 13202 015 2111100*")</f>
        <v>0</v>
      </c>
      <c r="E1567"/>
      <c r="F1567" s="31">
        <f>SUMIFS(F1568:F3130,K1568:K3130,"0",B1568:B3130,"5 1 1 3 2 12 31111 6 M78 05000 111 00C 001 13202 015 2111100*")</f>
        <v>281501.71000000002</v>
      </c>
      <c r="G1567" s="31">
        <f>SUMIFS(G1568:G3130,K1568:K3130,"0",B1568:B3130,"5 1 1 3 2 12 31111 6 M78 05000 111 00C 001 13202 015 2111100*")</f>
        <v>0</v>
      </c>
      <c r="H1567" s="31">
        <f t="shared" si="25"/>
        <v>281501.71000000002</v>
      </c>
      <c r="I1567" s="31"/>
      <c r="K1567" t="s">
        <v>13</v>
      </c>
    </row>
    <row r="1568" spans="2:11" ht="22" x14ac:dyDescent="0.15">
      <c r="B1568" s="29" t="s">
        <v>2200</v>
      </c>
      <c r="C1568" s="29" t="s">
        <v>275</v>
      </c>
      <c r="D1568" s="31">
        <f>SUMIFS(D1569:D3130,K1569:K3130,"0",B1569:B3130,"5 1 1 3 2 12 31111 6 M78 05000 111 00C 001 13202 015 2111100 2024*")-SUMIFS(E1569:E3130,K1569:K3130,"0",B1569:B3130,"5 1 1 3 2 12 31111 6 M78 05000 111 00C 001 13202 015 2111100 2024*")</f>
        <v>0</v>
      </c>
      <c r="E1568"/>
      <c r="F1568" s="31">
        <f>SUMIFS(F1569:F3130,K1569:K3130,"0",B1569:B3130,"5 1 1 3 2 12 31111 6 M78 05000 111 00C 001 13202 015 2111100 2024*")</f>
        <v>281501.71000000002</v>
      </c>
      <c r="G1568" s="31">
        <f>SUMIFS(G1569:G3130,K1569:K3130,"0",B1569:B3130,"5 1 1 3 2 12 31111 6 M78 05000 111 00C 001 13202 015 2111100 2024*")</f>
        <v>0</v>
      </c>
      <c r="H1568" s="31">
        <f t="shared" si="25"/>
        <v>281501.71000000002</v>
      </c>
      <c r="I1568" s="31"/>
      <c r="K1568" t="s">
        <v>13</v>
      </c>
    </row>
    <row r="1569" spans="2:11" ht="22" x14ac:dyDescent="0.15">
      <c r="B1569" s="29" t="s">
        <v>2201</v>
      </c>
      <c r="C1569" s="29" t="s">
        <v>277</v>
      </c>
      <c r="D1569" s="31">
        <f>SUMIFS(D1570:D3130,K1570:K3130,"0",B1570:B3130,"5 1 1 3 2 12 31111 6 M78 05000 111 00C 001 13202 015 2111100 2024 00000000*")-SUMIFS(E1570:E3130,K1570:K3130,"0",B1570:B3130,"5 1 1 3 2 12 31111 6 M78 05000 111 00C 001 13202 015 2111100 2024 00000000*")</f>
        <v>0</v>
      </c>
      <c r="E1569"/>
      <c r="F1569" s="31">
        <f>SUMIFS(F1570:F3130,K1570:K3130,"0",B1570:B3130,"5 1 1 3 2 12 31111 6 M78 05000 111 00C 001 13202 015 2111100 2024 00000000*")</f>
        <v>281501.71000000002</v>
      </c>
      <c r="G1569" s="31">
        <f>SUMIFS(G1570:G3130,K1570:K3130,"0",B1570:B3130,"5 1 1 3 2 12 31111 6 M78 05000 111 00C 001 13202 015 2111100 2024 00000000*")</f>
        <v>0</v>
      </c>
      <c r="H1569" s="31">
        <f t="shared" si="25"/>
        <v>281501.71000000002</v>
      </c>
      <c r="I1569" s="31"/>
      <c r="K1569" t="s">
        <v>13</v>
      </c>
    </row>
    <row r="1570" spans="2:11" ht="22" x14ac:dyDescent="0.15">
      <c r="B1570" s="29" t="s">
        <v>2202</v>
      </c>
      <c r="C1570" s="29" t="s">
        <v>32</v>
      </c>
      <c r="D1570" s="31">
        <f>SUMIFS(D1571:D3130,K1571:K3130,"0",B1571:B3130,"5 1 1 3 2 12 31111 6 M78 05000 111 00C 001 13202 015 2111100 2024 00000000 001*")-SUMIFS(E1571:E3130,K1571:K3130,"0",B1571:B3130,"5 1 1 3 2 12 31111 6 M78 05000 111 00C 001 13202 015 2111100 2024 00000000 001*")</f>
        <v>0</v>
      </c>
      <c r="E1570"/>
      <c r="F1570" s="31">
        <f>SUMIFS(F1571:F3130,K1571:K3130,"0",B1571:B3130,"5 1 1 3 2 12 31111 6 M78 05000 111 00C 001 13202 015 2111100 2024 00000000 001*")</f>
        <v>281501.71000000002</v>
      </c>
      <c r="G1570" s="31">
        <f>SUMIFS(G1571:G3130,K1571:K3130,"0",B1571:B3130,"5 1 1 3 2 12 31111 6 M78 05000 111 00C 001 13202 015 2111100 2024 00000000 001*")</f>
        <v>0</v>
      </c>
      <c r="H1570" s="31">
        <f t="shared" si="25"/>
        <v>281501.71000000002</v>
      </c>
      <c r="I1570" s="31"/>
      <c r="K1570" t="s">
        <v>13</v>
      </c>
    </row>
    <row r="1571" spans="2:11" ht="22" x14ac:dyDescent="0.15">
      <c r="B1571" s="29" t="s">
        <v>2203</v>
      </c>
      <c r="C1571" s="29" t="s">
        <v>1879</v>
      </c>
      <c r="D1571" s="31">
        <f>SUMIFS(D1572:D3130,K1572:K3130,"0",B1572:B3130,"5 1 1 3 2 12 31111 6 M78 05000 111 00C 001 13202 015 2111100 2024 00000000 001 001*")-SUMIFS(E1572:E3130,K1572:K3130,"0",B1572:B3130,"5 1 1 3 2 12 31111 6 M78 05000 111 00C 001 13202 015 2111100 2024 00000000 001 001*")</f>
        <v>0</v>
      </c>
      <c r="E1571"/>
      <c r="F1571" s="31">
        <f>SUMIFS(F1572:F3130,K1572:K3130,"0",B1572:B3130,"5 1 1 3 2 12 31111 6 M78 05000 111 00C 001 13202 015 2111100 2024 00000000 001 001*")</f>
        <v>281501.71000000002</v>
      </c>
      <c r="G1571" s="31">
        <f>SUMIFS(G1572:G3130,K1572:K3130,"0",B1572:B3130,"5 1 1 3 2 12 31111 6 M78 05000 111 00C 001 13202 015 2111100 2024 00000000 001 001*")</f>
        <v>0</v>
      </c>
      <c r="H1571" s="31">
        <f t="shared" si="25"/>
        <v>281501.71000000002</v>
      </c>
      <c r="I1571" s="31"/>
      <c r="K1571" t="s">
        <v>13</v>
      </c>
    </row>
    <row r="1572" spans="2:11" ht="22" x14ac:dyDescent="0.15">
      <c r="B1572" s="27" t="s">
        <v>2204</v>
      </c>
      <c r="C1572" s="27" t="s">
        <v>2155</v>
      </c>
      <c r="D1572" s="30">
        <v>0</v>
      </c>
      <c r="E1572" s="30"/>
      <c r="F1572" s="30">
        <v>281501.71000000002</v>
      </c>
      <c r="G1572" s="30">
        <v>0</v>
      </c>
      <c r="H1572" s="30">
        <f t="shared" si="25"/>
        <v>281501.71000000002</v>
      </c>
      <c r="I1572" s="30"/>
      <c r="K1572" t="s">
        <v>37</v>
      </c>
    </row>
    <row r="1573" spans="2:11" ht="13" x14ac:dyDescent="0.15">
      <c r="B1573" s="29" t="s">
        <v>2205</v>
      </c>
      <c r="C1573" s="29" t="s">
        <v>1882</v>
      </c>
      <c r="D1573" s="31">
        <f>SUMIFS(D1574:D3130,K1574:K3130,"0",B1574:B3130,"5 1 1 3 2 12 31111 6 M78 06000*")-SUMIFS(E1574:E3130,K1574:K3130,"0",B1574:B3130,"5 1 1 3 2 12 31111 6 M78 06000*")</f>
        <v>0</v>
      </c>
      <c r="E1573"/>
      <c r="F1573" s="31">
        <f>SUMIFS(F1574:F3130,K1574:K3130,"0",B1574:B3130,"5 1 1 3 2 12 31111 6 M78 06000*")</f>
        <v>26258.3</v>
      </c>
      <c r="G1573" s="31">
        <f>SUMIFS(G1574:G3130,K1574:K3130,"0",B1574:B3130,"5 1 1 3 2 12 31111 6 M78 06000*")</f>
        <v>0</v>
      </c>
      <c r="H1573" s="31">
        <f t="shared" si="25"/>
        <v>26258.3</v>
      </c>
      <c r="I1573" s="31"/>
      <c r="K1573" t="s">
        <v>13</v>
      </c>
    </row>
    <row r="1574" spans="2:11" ht="13" x14ac:dyDescent="0.15">
      <c r="B1574" s="29" t="s">
        <v>2206</v>
      </c>
      <c r="C1574" s="29" t="s">
        <v>1884</v>
      </c>
      <c r="D1574" s="31">
        <f>SUMIFS(D1575:D3130,K1575:K3130,"0",B1575:B3130,"5 1 1 3 2 12 31111 6 M78 06000 132*")-SUMIFS(E1575:E3130,K1575:K3130,"0",B1575:B3130,"5 1 1 3 2 12 31111 6 M78 06000 132*")</f>
        <v>0</v>
      </c>
      <c r="E1574"/>
      <c r="F1574" s="31">
        <f>SUMIFS(F1575:F3130,K1575:K3130,"0",B1575:B3130,"5 1 1 3 2 12 31111 6 M78 06000 132*")</f>
        <v>26258.3</v>
      </c>
      <c r="G1574" s="31">
        <f>SUMIFS(G1575:G3130,K1575:K3130,"0",B1575:B3130,"5 1 1 3 2 12 31111 6 M78 06000 132*")</f>
        <v>0</v>
      </c>
      <c r="H1574" s="31">
        <f t="shared" si="25"/>
        <v>26258.3</v>
      </c>
      <c r="I1574" s="31"/>
      <c r="K1574" t="s">
        <v>13</v>
      </c>
    </row>
    <row r="1575" spans="2:11" ht="13" x14ac:dyDescent="0.15">
      <c r="B1575" s="29" t="s">
        <v>2207</v>
      </c>
      <c r="C1575" s="29" t="s">
        <v>265</v>
      </c>
      <c r="D1575" s="31">
        <f>SUMIFS(D1576:D3130,K1576:K3130,"0",B1576:B3130,"5 1 1 3 2 12 31111 6 M78 06000 132 00C*")-SUMIFS(E1576:E3130,K1576:K3130,"0",B1576:B3130,"5 1 1 3 2 12 31111 6 M78 06000 132 00C*")</f>
        <v>0</v>
      </c>
      <c r="E1575"/>
      <c r="F1575" s="31">
        <f>SUMIFS(F1576:F3130,K1576:K3130,"0",B1576:B3130,"5 1 1 3 2 12 31111 6 M78 06000 132 00C*")</f>
        <v>26258.3</v>
      </c>
      <c r="G1575" s="31">
        <f>SUMIFS(G1576:G3130,K1576:K3130,"0",B1576:B3130,"5 1 1 3 2 12 31111 6 M78 06000 132 00C*")</f>
        <v>0</v>
      </c>
      <c r="H1575" s="31">
        <f t="shared" si="25"/>
        <v>26258.3</v>
      </c>
      <c r="I1575" s="31"/>
      <c r="K1575" t="s">
        <v>13</v>
      </c>
    </row>
    <row r="1576" spans="2:11" ht="13" x14ac:dyDescent="0.15">
      <c r="B1576" s="29" t="s">
        <v>2208</v>
      </c>
      <c r="C1576" s="29" t="s">
        <v>32</v>
      </c>
      <c r="D1576" s="31">
        <f>SUMIFS(D1577:D3130,K1577:K3130,"0",B1577:B3130,"5 1 1 3 2 12 31111 6 M78 06000 132 00C 001*")-SUMIFS(E1577:E3130,K1577:K3130,"0",B1577:B3130,"5 1 1 3 2 12 31111 6 M78 06000 132 00C 001*")</f>
        <v>0</v>
      </c>
      <c r="E1576"/>
      <c r="F1576" s="31">
        <f>SUMIFS(F1577:F3130,K1577:K3130,"0",B1577:B3130,"5 1 1 3 2 12 31111 6 M78 06000 132 00C 001*")</f>
        <v>26258.3</v>
      </c>
      <c r="G1576" s="31">
        <f>SUMIFS(G1577:G3130,K1577:K3130,"0",B1577:B3130,"5 1 1 3 2 12 31111 6 M78 06000 132 00C 001*")</f>
        <v>0</v>
      </c>
      <c r="H1576" s="31">
        <f t="shared" si="25"/>
        <v>26258.3</v>
      </c>
      <c r="I1576" s="31"/>
      <c r="K1576" t="s">
        <v>13</v>
      </c>
    </row>
    <row r="1577" spans="2:11" ht="13" x14ac:dyDescent="0.15">
      <c r="B1577" s="29" t="s">
        <v>2209</v>
      </c>
      <c r="C1577" s="29" t="s">
        <v>2147</v>
      </c>
      <c r="D1577" s="31">
        <f>SUMIFS(D1578:D3130,K1578:K3130,"0",B1578:B3130,"5 1 1 3 2 12 31111 6 M78 06000 132 00C 001 13202*")-SUMIFS(E1578:E3130,K1578:K3130,"0",B1578:B3130,"5 1 1 3 2 12 31111 6 M78 06000 132 00C 001 13202*")</f>
        <v>0</v>
      </c>
      <c r="E1577"/>
      <c r="F1577" s="31">
        <f>SUMIFS(F1578:F3130,K1578:K3130,"0",B1578:B3130,"5 1 1 3 2 12 31111 6 M78 06000 132 00C 001 13202*")</f>
        <v>26258.3</v>
      </c>
      <c r="G1577" s="31">
        <f>SUMIFS(G1578:G3130,K1578:K3130,"0",B1578:B3130,"5 1 1 3 2 12 31111 6 M78 06000 132 00C 001 13202*")</f>
        <v>0</v>
      </c>
      <c r="H1577" s="31">
        <f t="shared" si="25"/>
        <v>26258.3</v>
      </c>
      <c r="I1577" s="31"/>
      <c r="K1577" t="s">
        <v>13</v>
      </c>
    </row>
    <row r="1578" spans="2:11" ht="22" x14ac:dyDescent="0.15">
      <c r="B1578" s="29" t="s">
        <v>2210</v>
      </c>
      <c r="C1578" s="29" t="s">
        <v>271</v>
      </c>
      <c r="D1578" s="31">
        <f>SUMIFS(D1579:D3130,K1579:K3130,"0",B1579:B3130,"5 1 1 3 2 12 31111 6 M78 06000 132 00C 001 13202 015*")-SUMIFS(E1579:E3130,K1579:K3130,"0",B1579:B3130,"5 1 1 3 2 12 31111 6 M78 06000 132 00C 001 13202 015*")</f>
        <v>0</v>
      </c>
      <c r="E1578"/>
      <c r="F1578" s="31">
        <f>SUMIFS(F1579:F3130,K1579:K3130,"0",B1579:B3130,"5 1 1 3 2 12 31111 6 M78 06000 132 00C 001 13202 015*")</f>
        <v>26258.3</v>
      </c>
      <c r="G1578" s="31">
        <f>SUMIFS(G1579:G3130,K1579:K3130,"0",B1579:B3130,"5 1 1 3 2 12 31111 6 M78 06000 132 00C 001 13202 015*")</f>
        <v>0</v>
      </c>
      <c r="H1578" s="31">
        <f t="shared" si="25"/>
        <v>26258.3</v>
      </c>
      <c r="I1578" s="31"/>
      <c r="K1578" t="s">
        <v>13</v>
      </c>
    </row>
    <row r="1579" spans="2:11" ht="22" x14ac:dyDescent="0.15">
      <c r="B1579" s="29" t="s">
        <v>2211</v>
      </c>
      <c r="C1579" s="29" t="s">
        <v>1813</v>
      </c>
      <c r="D1579" s="31">
        <f>SUMIFS(D1580:D3130,K1580:K3130,"0",B1580:B3130,"5 1 1 3 2 12 31111 6 M78 06000 132 00C 001 13202 015 2111100*")-SUMIFS(E1580:E3130,K1580:K3130,"0",B1580:B3130,"5 1 1 3 2 12 31111 6 M78 06000 132 00C 001 13202 015 2111100*")</f>
        <v>0</v>
      </c>
      <c r="E1579"/>
      <c r="F1579" s="31">
        <f>SUMIFS(F1580:F3130,K1580:K3130,"0",B1580:B3130,"5 1 1 3 2 12 31111 6 M78 06000 132 00C 001 13202 015 2111100*")</f>
        <v>26258.3</v>
      </c>
      <c r="G1579" s="31">
        <f>SUMIFS(G1580:G3130,K1580:K3130,"0",B1580:B3130,"5 1 1 3 2 12 31111 6 M78 06000 132 00C 001 13202 015 2111100*")</f>
        <v>0</v>
      </c>
      <c r="H1579" s="31">
        <f t="shared" si="25"/>
        <v>26258.3</v>
      </c>
      <c r="I1579" s="31"/>
      <c r="K1579" t="s">
        <v>13</v>
      </c>
    </row>
    <row r="1580" spans="2:11" ht="22" x14ac:dyDescent="0.15">
      <c r="B1580" s="29" t="s">
        <v>2212</v>
      </c>
      <c r="C1580" s="29" t="s">
        <v>275</v>
      </c>
      <c r="D1580" s="31">
        <f>SUMIFS(D1581:D3130,K1581:K3130,"0",B1581:B3130,"5 1 1 3 2 12 31111 6 M78 06000 132 00C 001 13202 015 2111100 2024*")-SUMIFS(E1581:E3130,K1581:K3130,"0",B1581:B3130,"5 1 1 3 2 12 31111 6 M78 06000 132 00C 001 13202 015 2111100 2024*")</f>
        <v>0</v>
      </c>
      <c r="E1580"/>
      <c r="F1580" s="31">
        <f>SUMIFS(F1581:F3130,K1581:K3130,"0",B1581:B3130,"5 1 1 3 2 12 31111 6 M78 06000 132 00C 001 13202 015 2111100 2024*")</f>
        <v>26258.3</v>
      </c>
      <c r="G1580" s="31">
        <f>SUMIFS(G1581:G3130,K1581:K3130,"0",B1581:B3130,"5 1 1 3 2 12 31111 6 M78 06000 132 00C 001 13202 015 2111100 2024*")</f>
        <v>0</v>
      </c>
      <c r="H1580" s="31">
        <f t="shared" si="25"/>
        <v>26258.3</v>
      </c>
      <c r="I1580" s="31"/>
      <c r="K1580" t="s">
        <v>13</v>
      </c>
    </row>
    <row r="1581" spans="2:11" ht="22" x14ac:dyDescent="0.15">
      <c r="B1581" s="29" t="s">
        <v>2213</v>
      </c>
      <c r="C1581" s="29" t="s">
        <v>277</v>
      </c>
      <c r="D1581" s="31">
        <f>SUMIFS(D1582:D3130,K1582:K3130,"0",B1582:B3130,"5 1 1 3 2 12 31111 6 M78 06000 132 00C 001 13202 015 2111100 2024 00000000*")-SUMIFS(E1582:E3130,K1582:K3130,"0",B1582:B3130,"5 1 1 3 2 12 31111 6 M78 06000 132 00C 001 13202 015 2111100 2024 00000000*")</f>
        <v>0</v>
      </c>
      <c r="E1581"/>
      <c r="F1581" s="31">
        <f>SUMIFS(F1582:F3130,K1582:K3130,"0",B1582:B3130,"5 1 1 3 2 12 31111 6 M78 06000 132 00C 001 13202 015 2111100 2024 00000000*")</f>
        <v>26258.3</v>
      </c>
      <c r="G1581" s="31">
        <f>SUMIFS(G1582:G3130,K1582:K3130,"0",B1582:B3130,"5 1 1 3 2 12 31111 6 M78 06000 132 00C 001 13202 015 2111100 2024 00000000*")</f>
        <v>0</v>
      </c>
      <c r="H1581" s="31">
        <f t="shared" si="25"/>
        <v>26258.3</v>
      </c>
      <c r="I1581" s="31"/>
      <c r="K1581" t="s">
        <v>13</v>
      </c>
    </row>
    <row r="1582" spans="2:11" ht="22" x14ac:dyDescent="0.15">
      <c r="B1582" s="29" t="s">
        <v>2214</v>
      </c>
      <c r="C1582" s="29" t="s">
        <v>32</v>
      </c>
      <c r="D1582" s="31">
        <f>SUMIFS(D1583:D3130,K1583:K3130,"0",B1583:B3130,"5 1 1 3 2 12 31111 6 M78 06000 132 00C 001 13202 015 2111100 2024 00000000 001*")-SUMIFS(E1583:E3130,K1583:K3130,"0",B1583:B3130,"5 1 1 3 2 12 31111 6 M78 06000 132 00C 001 13202 015 2111100 2024 00000000 001*")</f>
        <v>0</v>
      </c>
      <c r="E1582"/>
      <c r="F1582" s="31">
        <f>SUMIFS(F1583:F3130,K1583:K3130,"0",B1583:B3130,"5 1 1 3 2 12 31111 6 M78 06000 132 00C 001 13202 015 2111100 2024 00000000 001*")</f>
        <v>26258.3</v>
      </c>
      <c r="G1582" s="31">
        <f>SUMIFS(G1583:G3130,K1583:K3130,"0",B1583:B3130,"5 1 1 3 2 12 31111 6 M78 06000 132 00C 001 13202 015 2111100 2024 00000000 001*")</f>
        <v>0</v>
      </c>
      <c r="H1582" s="31">
        <f t="shared" si="25"/>
        <v>26258.3</v>
      </c>
      <c r="I1582" s="31"/>
      <c r="K1582" t="s">
        <v>13</v>
      </c>
    </row>
    <row r="1583" spans="2:11" ht="22" x14ac:dyDescent="0.15">
      <c r="B1583" s="29" t="s">
        <v>2215</v>
      </c>
      <c r="C1583" s="29" t="s">
        <v>1894</v>
      </c>
      <c r="D1583" s="31">
        <f>SUMIFS(D1584:D3130,K1584:K3130,"0",B1584:B3130,"5 1 1 3 2 12 31111 6 M78 06000 132 00C 001 13202 015 2111100 2024 00000000 001 001*")-SUMIFS(E1584:E3130,K1584:K3130,"0",B1584:B3130,"5 1 1 3 2 12 31111 6 M78 06000 132 00C 001 13202 015 2111100 2024 00000000 001 001*")</f>
        <v>0</v>
      </c>
      <c r="E1583"/>
      <c r="F1583" s="31">
        <f>SUMIFS(F1584:F3130,K1584:K3130,"0",B1584:B3130,"5 1 1 3 2 12 31111 6 M78 06000 132 00C 001 13202 015 2111100 2024 00000000 001 001*")</f>
        <v>26258.3</v>
      </c>
      <c r="G1583" s="31">
        <f>SUMIFS(G1584:G3130,K1584:K3130,"0",B1584:B3130,"5 1 1 3 2 12 31111 6 M78 06000 132 00C 001 13202 015 2111100 2024 00000000 001 001*")</f>
        <v>0</v>
      </c>
      <c r="H1583" s="31">
        <f t="shared" si="25"/>
        <v>26258.3</v>
      </c>
      <c r="I1583" s="31"/>
      <c r="K1583" t="s">
        <v>13</v>
      </c>
    </row>
    <row r="1584" spans="2:11" ht="22" x14ac:dyDescent="0.15">
      <c r="B1584" s="27" t="s">
        <v>2216</v>
      </c>
      <c r="C1584" s="27" t="s">
        <v>2155</v>
      </c>
      <c r="D1584" s="30">
        <v>0</v>
      </c>
      <c r="E1584" s="30"/>
      <c r="F1584" s="30">
        <v>26258.3</v>
      </c>
      <c r="G1584" s="30">
        <v>0</v>
      </c>
      <c r="H1584" s="30">
        <f t="shared" si="25"/>
        <v>26258.3</v>
      </c>
      <c r="I1584" s="30"/>
      <c r="K1584" t="s">
        <v>37</v>
      </c>
    </row>
    <row r="1585" spans="2:11" ht="13" x14ac:dyDescent="0.15">
      <c r="B1585" s="29" t="s">
        <v>2217</v>
      </c>
      <c r="C1585" s="29" t="s">
        <v>8</v>
      </c>
      <c r="D1585" s="31">
        <f>SUMIFS(D1586:D3130,K1586:K3130,"0",B1586:B3130,"5 1 1 3 2 12 31111 6 M78 07000*")-SUMIFS(E1586:E3130,K1586:K3130,"0",B1586:B3130,"5 1 1 3 2 12 31111 6 M78 07000*")</f>
        <v>0</v>
      </c>
      <c r="E1585"/>
      <c r="F1585" s="31">
        <f>SUMIFS(F1586:F3130,K1586:K3130,"0",B1586:B3130,"5 1 1 3 2 12 31111 6 M78 07000*")</f>
        <v>94234.19</v>
      </c>
      <c r="G1585" s="31">
        <f>SUMIFS(G1586:G3130,K1586:K3130,"0",B1586:B3130,"5 1 1 3 2 12 31111 6 M78 07000*")</f>
        <v>0</v>
      </c>
      <c r="H1585" s="31">
        <f t="shared" si="25"/>
        <v>94234.19</v>
      </c>
      <c r="I1585" s="31"/>
      <c r="K1585" t="s">
        <v>13</v>
      </c>
    </row>
    <row r="1586" spans="2:11" ht="13" x14ac:dyDescent="0.15">
      <c r="B1586" s="29" t="s">
        <v>2218</v>
      </c>
      <c r="C1586" s="29" t="s">
        <v>588</v>
      </c>
      <c r="D1586" s="31">
        <f>SUMIFS(D1587:D3130,K1587:K3130,"0",B1587:B3130,"5 1 1 3 2 12 31111 6 M78 07000 151*")-SUMIFS(E1587:E3130,K1587:K3130,"0",B1587:B3130,"5 1 1 3 2 12 31111 6 M78 07000 151*")</f>
        <v>0</v>
      </c>
      <c r="E1586"/>
      <c r="F1586" s="31">
        <f>SUMIFS(F1587:F3130,K1587:K3130,"0",B1587:B3130,"5 1 1 3 2 12 31111 6 M78 07000 151*")</f>
        <v>94234.19</v>
      </c>
      <c r="G1586" s="31">
        <f>SUMIFS(G1587:G3130,K1587:K3130,"0",B1587:B3130,"5 1 1 3 2 12 31111 6 M78 07000 151*")</f>
        <v>0</v>
      </c>
      <c r="H1586" s="31">
        <f t="shared" si="25"/>
        <v>94234.19</v>
      </c>
      <c r="I1586" s="31"/>
      <c r="K1586" t="s">
        <v>13</v>
      </c>
    </row>
    <row r="1587" spans="2:11" ht="13" x14ac:dyDescent="0.15">
      <c r="B1587" s="29" t="s">
        <v>2219</v>
      </c>
      <c r="C1587" s="29" t="s">
        <v>265</v>
      </c>
      <c r="D1587" s="31">
        <f>SUMIFS(D1588:D3130,K1588:K3130,"0",B1588:B3130,"5 1 1 3 2 12 31111 6 M78 07000 151 00C*")-SUMIFS(E1588:E3130,K1588:K3130,"0",B1588:B3130,"5 1 1 3 2 12 31111 6 M78 07000 151 00C*")</f>
        <v>0</v>
      </c>
      <c r="E1587"/>
      <c r="F1587" s="31">
        <f>SUMIFS(F1588:F3130,K1588:K3130,"0",B1588:B3130,"5 1 1 3 2 12 31111 6 M78 07000 151 00C*")</f>
        <v>94234.19</v>
      </c>
      <c r="G1587" s="31">
        <f>SUMIFS(G1588:G3130,K1588:K3130,"0",B1588:B3130,"5 1 1 3 2 12 31111 6 M78 07000 151 00C*")</f>
        <v>0</v>
      </c>
      <c r="H1587" s="31">
        <f t="shared" si="25"/>
        <v>94234.19</v>
      </c>
      <c r="I1587" s="31"/>
      <c r="K1587" t="s">
        <v>13</v>
      </c>
    </row>
    <row r="1588" spans="2:11" ht="13" x14ac:dyDescent="0.15">
      <c r="B1588" s="29" t="s">
        <v>2220</v>
      </c>
      <c r="C1588" s="29" t="s">
        <v>32</v>
      </c>
      <c r="D1588" s="31">
        <f>SUMIFS(D1589:D3130,K1589:K3130,"0",B1589:B3130,"5 1 1 3 2 12 31111 6 M78 07000 151 00C 001*")-SUMIFS(E1589:E3130,K1589:K3130,"0",B1589:B3130,"5 1 1 3 2 12 31111 6 M78 07000 151 00C 001*")</f>
        <v>0</v>
      </c>
      <c r="E1588"/>
      <c r="F1588" s="31">
        <f>SUMIFS(F1589:F3130,K1589:K3130,"0",B1589:B3130,"5 1 1 3 2 12 31111 6 M78 07000 151 00C 001*")</f>
        <v>94234.19</v>
      </c>
      <c r="G1588" s="31">
        <f>SUMIFS(G1589:G3130,K1589:K3130,"0",B1589:B3130,"5 1 1 3 2 12 31111 6 M78 07000 151 00C 001*")</f>
        <v>0</v>
      </c>
      <c r="H1588" s="31">
        <f t="shared" si="25"/>
        <v>94234.19</v>
      </c>
      <c r="I1588" s="31"/>
      <c r="K1588" t="s">
        <v>13</v>
      </c>
    </row>
    <row r="1589" spans="2:11" ht="13" x14ac:dyDescent="0.15">
      <c r="B1589" s="29" t="s">
        <v>2221</v>
      </c>
      <c r="C1589" s="29" t="s">
        <v>2147</v>
      </c>
      <c r="D1589" s="31">
        <f>SUMIFS(D1590:D3130,K1590:K3130,"0",B1590:B3130,"5 1 1 3 2 12 31111 6 M78 07000 151 00C 001 13202*")-SUMIFS(E1590:E3130,K1590:K3130,"0",B1590:B3130,"5 1 1 3 2 12 31111 6 M78 07000 151 00C 001 13202*")</f>
        <v>0</v>
      </c>
      <c r="E1589"/>
      <c r="F1589" s="31">
        <f>SUMIFS(F1590:F3130,K1590:K3130,"0",B1590:B3130,"5 1 1 3 2 12 31111 6 M78 07000 151 00C 001 13202*")</f>
        <v>94234.19</v>
      </c>
      <c r="G1589" s="31">
        <f>SUMIFS(G1590:G3130,K1590:K3130,"0",B1590:B3130,"5 1 1 3 2 12 31111 6 M78 07000 151 00C 001 13202*")</f>
        <v>0</v>
      </c>
      <c r="H1589" s="31">
        <f t="shared" si="25"/>
        <v>94234.19</v>
      </c>
      <c r="I1589" s="31"/>
      <c r="K1589" t="s">
        <v>13</v>
      </c>
    </row>
    <row r="1590" spans="2:11" ht="22" x14ac:dyDescent="0.15">
      <c r="B1590" s="29" t="s">
        <v>2222</v>
      </c>
      <c r="C1590" s="29" t="s">
        <v>271</v>
      </c>
      <c r="D1590" s="31">
        <f>SUMIFS(D1591:D3130,K1591:K3130,"0",B1591:B3130,"5 1 1 3 2 12 31111 6 M78 07000 151 00C 001 13202 015*")-SUMIFS(E1591:E3130,K1591:K3130,"0",B1591:B3130,"5 1 1 3 2 12 31111 6 M78 07000 151 00C 001 13202 015*")</f>
        <v>0</v>
      </c>
      <c r="E1590"/>
      <c r="F1590" s="31">
        <f>SUMIFS(F1591:F3130,K1591:K3130,"0",B1591:B3130,"5 1 1 3 2 12 31111 6 M78 07000 151 00C 001 13202 015*")</f>
        <v>94234.19</v>
      </c>
      <c r="G1590" s="31">
        <f>SUMIFS(G1591:G3130,K1591:K3130,"0",B1591:B3130,"5 1 1 3 2 12 31111 6 M78 07000 151 00C 001 13202 015*")</f>
        <v>0</v>
      </c>
      <c r="H1590" s="31">
        <f t="shared" si="25"/>
        <v>94234.19</v>
      </c>
      <c r="I1590" s="31"/>
      <c r="K1590" t="s">
        <v>13</v>
      </c>
    </row>
    <row r="1591" spans="2:11" ht="22" x14ac:dyDescent="0.15">
      <c r="B1591" s="29" t="s">
        <v>2223</v>
      </c>
      <c r="C1591" s="29" t="s">
        <v>1813</v>
      </c>
      <c r="D1591" s="31">
        <f>SUMIFS(D1592:D3130,K1592:K3130,"0",B1592:B3130,"5 1 1 3 2 12 31111 6 M78 07000 151 00C 001 13202 015 2111100*")-SUMIFS(E1592:E3130,K1592:K3130,"0",B1592:B3130,"5 1 1 3 2 12 31111 6 M78 07000 151 00C 001 13202 015 2111100*")</f>
        <v>0</v>
      </c>
      <c r="E1591"/>
      <c r="F1591" s="31">
        <f>SUMIFS(F1592:F3130,K1592:K3130,"0",B1592:B3130,"5 1 1 3 2 12 31111 6 M78 07000 151 00C 001 13202 015 2111100*")</f>
        <v>94234.19</v>
      </c>
      <c r="G1591" s="31">
        <f>SUMIFS(G1592:G3130,K1592:K3130,"0",B1592:B3130,"5 1 1 3 2 12 31111 6 M78 07000 151 00C 001 13202 015 2111100*")</f>
        <v>0</v>
      </c>
      <c r="H1591" s="31">
        <f t="shared" si="25"/>
        <v>94234.19</v>
      </c>
      <c r="I1591" s="31"/>
      <c r="K1591" t="s">
        <v>13</v>
      </c>
    </row>
    <row r="1592" spans="2:11" ht="22" x14ac:dyDescent="0.15">
      <c r="B1592" s="29" t="s">
        <v>2224</v>
      </c>
      <c r="C1592" s="29" t="s">
        <v>275</v>
      </c>
      <c r="D1592" s="31">
        <f>SUMIFS(D1593:D3130,K1593:K3130,"0",B1593:B3130,"5 1 1 3 2 12 31111 6 M78 07000 151 00C 001 13202 015 2111100 2024*")-SUMIFS(E1593:E3130,K1593:K3130,"0",B1593:B3130,"5 1 1 3 2 12 31111 6 M78 07000 151 00C 001 13202 015 2111100 2024*")</f>
        <v>0</v>
      </c>
      <c r="E1592"/>
      <c r="F1592" s="31">
        <f>SUMIFS(F1593:F3130,K1593:K3130,"0",B1593:B3130,"5 1 1 3 2 12 31111 6 M78 07000 151 00C 001 13202 015 2111100 2024*")</f>
        <v>94234.19</v>
      </c>
      <c r="G1592" s="31">
        <f>SUMIFS(G1593:G3130,K1593:K3130,"0",B1593:B3130,"5 1 1 3 2 12 31111 6 M78 07000 151 00C 001 13202 015 2111100 2024*")</f>
        <v>0</v>
      </c>
      <c r="H1592" s="31">
        <f t="shared" si="25"/>
        <v>94234.19</v>
      </c>
      <c r="I1592" s="31"/>
      <c r="K1592" t="s">
        <v>13</v>
      </c>
    </row>
    <row r="1593" spans="2:11" ht="22" x14ac:dyDescent="0.15">
      <c r="B1593" s="29" t="s">
        <v>2225</v>
      </c>
      <c r="C1593" s="29" t="s">
        <v>277</v>
      </c>
      <c r="D1593" s="31">
        <f>SUMIFS(D1594:D3130,K1594:K3130,"0",B1594:B3130,"5 1 1 3 2 12 31111 6 M78 07000 151 00C 001 13202 015 2111100 2024 00000000*")-SUMIFS(E1594:E3130,K1594:K3130,"0",B1594:B3130,"5 1 1 3 2 12 31111 6 M78 07000 151 00C 001 13202 015 2111100 2024 00000000*")</f>
        <v>0</v>
      </c>
      <c r="E1593"/>
      <c r="F1593" s="31">
        <f>SUMIFS(F1594:F3130,K1594:K3130,"0",B1594:B3130,"5 1 1 3 2 12 31111 6 M78 07000 151 00C 001 13202 015 2111100 2024 00000000*")</f>
        <v>94234.19</v>
      </c>
      <c r="G1593" s="31">
        <f>SUMIFS(G1594:G3130,K1594:K3130,"0",B1594:B3130,"5 1 1 3 2 12 31111 6 M78 07000 151 00C 001 13202 015 2111100 2024 00000000*")</f>
        <v>0</v>
      </c>
      <c r="H1593" s="31">
        <f t="shared" si="25"/>
        <v>94234.19</v>
      </c>
      <c r="I1593" s="31"/>
      <c r="K1593" t="s">
        <v>13</v>
      </c>
    </row>
    <row r="1594" spans="2:11" ht="22" x14ac:dyDescent="0.15">
      <c r="B1594" s="29" t="s">
        <v>2226</v>
      </c>
      <c r="C1594" s="29" t="s">
        <v>32</v>
      </c>
      <c r="D1594" s="31">
        <f>SUMIFS(D1595:D3130,K1595:K3130,"0",B1595:B3130,"5 1 1 3 2 12 31111 6 M78 07000 151 00C 001 13202 015 2111100 2024 00000000 001*")-SUMIFS(E1595:E3130,K1595:K3130,"0",B1595:B3130,"5 1 1 3 2 12 31111 6 M78 07000 151 00C 001 13202 015 2111100 2024 00000000 001*")</f>
        <v>0</v>
      </c>
      <c r="E1594"/>
      <c r="F1594" s="31">
        <f>SUMIFS(F1595:F3130,K1595:K3130,"0",B1595:B3130,"5 1 1 3 2 12 31111 6 M78 07000 151 00C 001 13202 015 2111100 2024 00000000 001*")</f>
        <v>94234.19</v>
      </c>
      <c r="G1594" s="31">
        <f>SUMIFS(G1595:G3130,K1595:K3130,"0",B1595:B3130,"5 1 1 3 2 12 31111 6 M78 07000 151 00C 001 13202 015 2111100 2024 00000000 001*")</f>
        <v>0</v>
      </c>
      <c r="H1594" s="31">
        <f t="shared" si="25"/>
        <v>94234.19</v>
      </c>
      <c r="I1594" s="31"/>
      <c r="K1594" t="s">
        <v>13</v>
      </c>
    </row>
    <row r="1595" spans="2:11" ht="22" x14ac:dyDescent="0.15">
      <c r="B1595" s="29" t="s">
        <v>2227</v>
      </c>
      <c r="C1595" s="29" t="s">
        <v>1913</v>
      </c>
      <c r="D1595" s="31">
        <f>SUMIFS(D1596:D3130,K1596:K3130,"0",B1596:B3130,"5 1 1 3 2 12 31111 6 M78 07000 151 00C 001 13202 015 2111100 2024 00000000 001 001*")-SUMIFS(E1596:E3130,K1596:K3130,"0",B1596:B3130,"5 1 1 3 2 12 31111 6 M78 07000 151 00C 001 13202 015 2111100 2024 00000000 001 001*")</f>
        <v>0</v>
      </c>
      <c r="E1595"/>
      <c r="F1595" s="31">
        <f>SUMIFS(F1596:F3130,K1596:K3130,"0",B1596:B3130,"5 1 1 3 2 12 31111 6 M78 07000 151 00C 001 13202 015 2111100 2024 00000000 001 001*")</f>
        <v>94234.19</v>
      </c>
      <c r="G1595" s="31">
        <f>SUMIFS(G1596:G3130,K1596:K3130,"0",B1596:B3130,"5 1 1 3 2 12 31111 6 M78 07000 151 00C 001 13202 015 2111100 2024 00000000 001 001*")</f>
        <v>0</v>
      </c>
      <c r="H1595" s="31">
        <f t="shared" si="25"/>
        <v>94234.19</v>
      </c>
      <c r="I1595" s="31"/>
      <c r="K1595" t="s">
        <v>13</v>
      </c>
    </row>
    <row r="1596" spans="2:11" ht="22" x14ac:dyDescent="0.15">
      <c r="B1596" s="27" t="s">
        <v>2228</v>
      </c>
      <c r="C1596" s="27" t="s">
        <v>2155</v>
      </c>
      <c r="D1596" s="30">
        <v>0</v>
      </c>
      <c r="E1596" s="30"/>
      <c r="F1596" s="30">
        <v>94234.19</v>
      </c>
      <c r="G1596" s="30">
        <v>0</v>
      </c>
      <c r="H1596" s="30">
        <f t="shared" si="25"/>
        <v>94234.19</v>
      </c>
      <c r="I1596" s="30"/>
      <c r="K1596" t="s">
        <v>37</v>
      </c>
    </row>
    <row r="1597" spans="2:11" ht="13" x14ac:dyDescent="0.15">
      <c r="B1597" s="29" t="s">
        <v>2229</v>
      </c>
      <c r="C1597" s="29" t="s">
        <v>1916</v>
      </c>
      <c r="D1597" s="31">
        <f>SUMIFS(D1598:D3130,K1598:K3130,"0",B1598:B3130,"5 1 1 3 2 12 31111 6 M78 08000*")-SUMIFS(E1598:E3130,K1598:K3130,"0",B1598:B3130,"5 1 1 3 2 12 31111 6 M78 08000*")</f>
        <v>0</v>
      </c>
      <c r="E1597"/>
      <c r="F1597" s="31">
        <f>SUMIFS(F1598:F3130,K1598:K3130,"0",B1598:B3130,"5 1 1 3 2 12 31111 6 M78 08000*")</f>
        <v>37046.379999999997</v>
      </c>
      <c r="G1597" s="31">
        <f>SUMIFS(G1598:G3130,K1598:K3130,"0",B1598:B3130,"5 1 1 3 2 12 31111 6 M78 08000*")</f>
        <v>0</v>
      </c>
      <c r="H1597" s="31">
        <f t="shared" si="25"/>
        <v>37046.379999999997</v>
      </c>
      <c r="I1597" s="31"/>
      <c r="K1597" t="s">
        <v>13</v>
      </c>
    </row>
    <row r="1598" spans="2:11" ht="13" x14ac:dyDescent="0.15">
      <c r="B1598" s="29" t="s">
        <v>2230</v>
      </c>
      <c r="C1598" s="29" t="s">
        <v>263</v>
      </c>
      <c r="D1598" s="31">
        <f>SUMIFS(D1599:D3130,K1599:K3130,"0",B1599:B3130,"5 1 1 3 2 12 31111 6 M78 08000 134*")-SUMIFS(E1599:E3130,K1599:K3130,"0",B1599:B3130,"5 1 1 3 2 12 31111 6 M78 08000 134*")</f>
        <v>0</v>
      </c>
      <c r="E1598"/>
      <c r="F1598" s="31">
        <f>SUMIFS(F1599:F3130,K1599:K3130,"0",B1599:B3130,"5 1 1 3 2 12 31111 6 M78 08000 134*")</f>
        <v>37046.379999999997</v>
      </c>
      <c r="G1598" s="31">
        <f>SUMIFS(G1599:G3130,K1599:K3130,"0",B1599:B3130,"5 1 1 3 2 12 31111 6 M78 08000 134*")</f>
        <v>0</v>
      </c>
      <c r="H1598" s="31">
        <f t="shared" si="25"/>
        <v>37046.379999999997</v>
      </c>
      <c r="I1598" s="31"/>
      <c r="K1598" t="s">
        <v>13</v>
      </c>
    </row>
    <row r="1599" spans="2:11" ht="13" x14ac:dyDescent="0.15">
      <c r="B1599" s="29" t="s">
        <v>2231</v>
      </c>
      <c r="C1599" s="29" t="s">
        <v>265</v>
      </c>
      <c r="D1599" s="31">
        <f>SUMIFS(D1600:D3130,K1600:K3130,"0",B1600:B3130,"5 1 1 3 2 12 31111 6 M78 08000 134 00C*")-SUMIFS(E1600:E3130,K1600:K3130,"0",B1600:B3130,"5 1 1 3 2 12 31111 6 M78 08000 134 00C*")</f>
        <v>0</v>
      </c>
      <c r="E1599"/>
      <c r="F1599" s="31">
        <f>SUMIFS(F1600:F3130,K1600:K3130,"0",B1600:B3130,"5 1 1 3 2 12 31111 6 M78 08000 134 00C*")</f>
        <v>37046.379999999997</v>
      </c>
      <c r="G1599" s="31">
        <f>SUMIFS(G1600:G3130,K1600:K3130,"0",B1600:B3130,"5 1 1 3 2 12 31111 6 M78 08000 134 00C*")</f>
        <v>0</v>
      </c>
      <c r="H1599" s="31">
        <f t="shared" si="25"/>
        <v>37046.379999999997</v>
      </c>
      <c r="I1599" s="31"/>
      <c r="K1599" t="s">
        <v>13</v>
      </c>
    </row>
    <row r="1600" spans="2:11" ht="13" x14ac:dyDescent="0.15">
      <c r="B1600" s="29" t="s">
        <v>2232</v>
      </c>
      <c r="C1600" s="29" t="s">
        <v>32</v>
      </c>
      <c r="D1600" s="31">
        <f>SUMIFS(D1601:D3130,K1601:K3130,"0",B1601:B3130,"5 1 1 3 2 12 31111 6 M78 08000 134 00C 001*")-SUMIFS(E1601:E3130,K1601:K3130,"0",B1601:B3130,"5 1 1 3 2 12 31111 6 M78 08000 134 00C 001*")</f>
        <v>0</v>
      </c>
      <c r="E1600"/>
      <c r="F1600" s="31">
        <f>SUMIFS(F1601:F3130,K1601:K3130,"0",B1601:B3130,"5 1 1 3 2 12 31111 6 M78 08000 134 00C 001*")</f>
        <v>37046.379999999997</v>
      </c>
      <c r="G1600" s="31">
        <f>SUMIFS(G1601:G3130,K1601:K3130,"0",B1601:B3130,"5 1 1 3 2 12 31111 6 M78 08000 134 00C 001*")</f>
        <v>0</v>
      </c>
      <c r="H1600" s="31">
        <f t="shared" si="25"/>
        <v>37046.379999999997</v>
      </c>
      <c r="I1600" s="31"/>
      <c r="K1600" t="s">
        <v>13</v>
      </c>
    </row>
    <row r="1601" spans="2:11" ht="13" x14ac:dyDescent="0.15">
      <c r="B1601" s="29" t="s">
        <v>2233</v>
      </c>
      <c r="C1601" s="29" t="s">
        <v>2147</v>
      </c>
      <c r="D1601" s="31">
        <f>SUMIFS(D1602:D3130,K1602:K3130,"0",B1602:B3130,"5 1 1 3 2 12 31111 6 M78 08000 134 00C 001 13202*")-SUMIFS(E1602:E3130,K1602:K3130,"0",B1602:B3130,"5 1 1 3 2 12 31111 6 M78 08000 134 00C 001 13202*")</f>
        <v>0</v>
      </c>
      <c r="E1601"/>
      <c r="F1601" s="31">
        <f>SUMIFS(F1602:F3130,K1602:K3130,"0",B1602:B3130,"5 1 1 3 2 12 31111 6 M78 08000 134 00C 001 13202*")</f>
        <v>37046.379999999997</v>
      </c>
      <c r="G1601" s="31">
        <f>SUMIFS(G1602:G3130,K1602:K3130,"0",B1602:B3130,"5 1 1 3 2 12 31111 6 M78 08000 134 00C 001 13202*")</f>
        <v>0</v>
      </c>
      <c r="H1601" s="31">
        <f t="shared" si="25"/>
        <v>37046.379999999997</v>
      </c>
      <c r="I1601" s="31"/>
      <c r="K1601" t="s">
        <v>13</v>
      </c>
    </row>
    <row r="1602" spans="2:11" ht="22" x14ac:dyDescent="0.15">
      <c r="B1602" s="29" t="s">
        <v>2234</v>
      </c>
      <c r="C1602" s="29" t="s">
        <v>271</v>
      </c>
      <c r="D1602" s="31">
        <f>SUMIFS(D1603:D3130,K1603:K3130,"0",B1603:B3130,"5 1 1 3 2 12 31111 6 M78 08000 134 00C 001 13202 015*")-SUMIFS(E1603:E3130,K1603:K3130,"0",B1603:B3130,"5 1 1 3 2 12 31111 6 M78 08000 134 00C 001 13202 015*")</f>
        <v>0</v>
      </c>
      <c r="E1602"/>
      <c r="F1602" s="31">
        <f>SUMIFS(F1603:F3130,K1603:K3130,"0",B1603:B3130,"5 1 1 3 2 12 31111 6 M78 08000 134 00C 001 13202 015*")</f>
        <v>37046.379999999997</v>
      </c>
      <c r="G1602" s="31">
        <f>SUMIFS(G1603:G3130,K1603:K3130,"0",B1603:B3130,"5 1 1 3 2 12 31111 6 M78 08000 134 00C 001 13202 015*")</f>
        <v>0</v>
      </c>
      <c r="H1602" s="31">
        <f t="shared" si="25"/>
        <v>37046.379999999997</v>
      </c>
      <c r="I1602" s="31"/>
      <c r="K1602" t="s">
        <v>13</v>
      </c>
    </row>
    <row r="1603" spans="2:11" ht="22" x14ac:dyDescent="0.15">
      <c r="B1603" s="29" t="s">
        <v>2235</v>
      </c>
      <c r="C1603" s="29" t="s">
        <v>1813</v>
      </c>
      <c r="D1603" s="31">
        <f>SUMIFS(D1604:D3130,K1604:K3130,"0",B1604:B3130,"5 1 1 3 2 12 31111 6 M78 08000 134 00C 001 13202 015 2111100*")-SUMIFS(E1604:E3130,K1604:K3130,"0",B1604:B3130,"5 1 1 3 2 12 31111 6 M78 08000 134 00C 001 13202 015 2111100*")</f>
        <v>0</v>
      </c>
      <c r="E1603"/>
      <c r="F1603" s="31">
        <f>SUMIFS(F1604:F3130,K1604:K3130,"0",B1604:B3130,"5 1 1 3 2 12 31111 6 M78 08000 134 00C 001 13202 015 2111100*")</f>
        <v>37046.379999999997</v>
      </c>
      <c r="G1603" s="31">
        <f>SUMIFS(G1604:G3130,K1604:K3130,"0",B1604:B3130,"5 1 1 3 2 12 31111 6 M78 08000 134 00C 001 13202 015 2111100*")</f>
        <v>0</v>
      </c>
      <c r="H1603" s="31">
        <f t="shared" si="25"/>
        <v>37046.379999999997</v>
      </c>
      <c r="I1603" s="31"/>
      <c r="K1603" t="s">
        <v>13</v>
      </c>
    </row>
    <row r="1604" spans="2:11" ht="22" x14ac:dyDescent="0.15">
      <c r="B1604" s="29" t="s">
        <v>2236</v>
      </c>
      <c r="C1604" s="29" t="s">
        <v>275</v>
      </c>
      <c r="D1604" s="31">
        <f>SUMIFS(D1605:D3130,K1605:K3130,"0",B1605:B3130,"5 1 1 3 2 12 31111 6 M78 08000 134 00C 001 13202 015 2111100 2024*")-SUMIFS(E1605:E3130,K1605:K3130,"0",B1605:B3130,"5 1 1 3 2 12 31111 6 M78 08000 134 00C 001 13202 015 2111100 2024*")</f>
        <v>0</v>
      </c>
      <c r="E1604"/>
      <c r="F1604" s="31">
        <f>SUMIFS(F1605:F3130,K1605:K3130,"0",B1605:B3130,"5 1 1 3 2 12 31111 6 M78 08000 134 00C 001 13202 015 2111100 2024*")</f>
        <v>37046.379999999997</v>
      </c>
      <c r="G1604" s="31">
        <f>SUMIFS(G1605:G3130,K1605:K3130,"0",B1605:B3130,"5 1 1 3 2 12 31111 6 M78 08000 134 00C 001 13202 015 2111100 2024*")</f>
        <v>0</v>
      </c>
      <c r="H1604" s="31">
        <f t="shared" si="25"/>
        <v>37046.379999999997</v>
      </c>
      <c r="I1604" s="31"/>
      <c r="K1604" t="s">
        <v>13</v>
      </c>
    </row>
    <row r="1605" spans="2:11" ht="22" x14ac:dyDescent="0.15">
      <c r="B1605" s="29" t="s">
        <v>2237</v>
      </c>
      <c r="C1605" s="29" t="s">
        <v>277</v>
      </c>
      <c r="D1605" s="31">
        <f>SUMIFS(D1606:D3130,K1606:K3130,"0",B1606:B3130,"5 1 1 3 2 12 31111 6 M78 08000 134 00C 001 13202 015 2111100 2024 00000000*")-SUMIFS(E1606:E3130,K1606:K3130,"0",B1606:B3130,"5 1 1 3 2 12 31111 6 M78 08000 134 00C 001 13202 015 2111100 2024 00000000*")</f>
        <v>0</v>
      </c>
      <c r="E1605"/>
      <c r="F1605" s="31">
        <f>SUMIFS(F1606:F3130,K1606:K3130,"0",B1606:B3130,"5 1 1 3 2 12 31111 6 M78 08000 134 00C 001 13202 015 2111100 2024 00000000*")</f>
        <v>37046.379999999997</v>
      </c>
      <c r="G1605" s="31">
        <f>SUMIFS(G1606:G3130,K1606:K3130,"0",B1606:B3130,"5 1 1 3 2 12 31111 6 M78 08000 134 00C 001 13202 015 2111100 2024 00000000*")</f>
        <v>0</v>
      </c>
      <c r="H1605" s="31">
        <f t="shared" si="25"/>
        <v>37046.379999999997</v>
      </c>
      <c r="I1605" s="31"/>
      <c r="K1605" t="s">
        <v>13</v>
      </c>
    </row>
    <row r="1606" spans="2:11" ht="22" x14ac:dyDescent="0.15">
      <c r="B1606" s="29" t="s">
        <v>2238</v>
      </c>
      <c r="C1606" s="29" t="s">
        <v>32</v>
      </c>
      <c r="D1606" s="31">
        <f>SUMIFS(D1607:D3130,K1607:K3130,"0",B1607:B3130,"5 1 1 3 2 12 31111 6 M78 08000 134 00C 001 13202 015 2111100 2024 00000000 001*")-SUMIFS(E1607:E3130,K1607:K3130,"0",B1607:B3130,"5 1 1 3 2 12 31111 6 M78 08000 134 00C 001 13202 015 2111100 2024 00000000 001*")</f>
        <v>0</v>
      </c>
      <c r="E1606"/>
      <c r="F1606" s="31">
        <f>SUMIFS(F1607:F3130,K1607:K3130,"0",B1607:B3130,"5 1 1 3 2 12 31111 6 M78 08000 134 00C 001 13202 015 2111100 2024 00000000 001*")</f>
        <v>37046.379999999997</v>
      </c>
      <c r="G1606" s="31">
        <f>SUMIFS(G1607:G3130,K1607:K3130,"0",B1607:B3130,"5 1 1 3 2 12 31111 6 M78 08000 134 00C 001 13202 015 2111100 2024 00000000 001*")</f>
        <v>0</v>
      </c>
      <c r="H1606" s="31">
        <f t="shared" si="25"/>
        <v>37046.379999999997</v>
      </c>
      <c r="I1606" s="31"/>
      <c r="K1606" t="s">
        <v>13</v>
      </c>
    </row>
    <row r="1607" spans="2:11" ht="22" x14ac:dyDescent="0.15">
      <c r="B1607" s="29" t="s">
        <v>2239</v>
      </c>
      <c r="C1607" s="29" t="s">
        <v>1927</v>
      </c>
      <c r="D1607" s="31">
        <f>SUMIFS(D1608:D3130,K1608:K3130,"0",B1608:B3130,"5 1 1 3 2 12 31111 6 M78 08000 134 00C 001 13202 015 2111100 2024 00000000 001 001*")-SUMIFS(E1608:E3130,K1608:K3130,"0",B1608:B3130,"5 1 1 3 2 12 31111 6 M78 08000 134 00C 001 13202 015 2111100 2024 00000000 001 001*")</f>
        <v>0</v>
      </c>
      <c r="E1607"/>
      <c r="F1607" s="31">
        <f>SUMIFS(F1608:F3130,K1608:K3130,"0",B1608:B3130,"5 1 1 3 2 12 31111 6 M78 08000 134 00C 001 13202 015 2111100 2024 00000000 001 001*")</f>
        <v>37046.379999999997</v>
      </c>
      <c r="G1607" s="31">
        <f>SUMIFS(G1608:G3130,K1608:K3130,"0",B1608:B3130,"5 1 1 3 2 12 31111 6 M78 08000 134 00C 001 13202 015 2111100 2024 00000000 001 001*")</f>
        <v>0</v>
      </c>
      <c r="H1607" s="31">
        <f t="shared" si="25"/>
        <v>37046.379999999997</v>
      </c>
      <c r="I1607" s="31"/>
      <c r="K1607" t="s">
        <v>13</v>
      </c>
    </row>
    <row r="1608" spans="2:11" ht="22" x14ac:dyDescent="0.15">
      <c r="B1608" s="27" t="s">
        <v>2240</v>
      </c>
      <c r="C1608" s="27" t="s">
        <v>2155</v>
      </c>
      <c r="D1608" s="30">
        <v>0</v>
      </c>
      <c r="E1608" s="30"/>
      <c r="F1608" s="30">
        <v>37046.379999999997</v>
      </c>
      <c r="G1608" s="30">
        <v>0</v>
      </c>
      <c r="H1608" s="30">
        <f t="shared" si="25"/>
        <v>37046.379999999997</v>
      </c>
      <c r="I1608" s="30"/>
      <c r="K1608" t="s">
        <v>37</v>
      </c>
    </row>
    <row r="1609" spans="2:11" ht="13" x14ac:dyDescent="0.15">
      <c r="B1609" s="29" t="s">
        <v>2241</v>
      </c>
      <c r="C1609" s="29" t="s">
        <v>261</v>
      </c>
      <c r="D1609" s="31">
        <f>SUMIFS(D1610:D3130,K1610:K3130,"0",B1610:B3130,"5 1 1 3 2 12 31111 6 M78 09000*")-SUMIFS(E1610:E3130,K1610:K3130,"0",B1610:B3130,"5 1 1 3 2 12 31111 6 M78 09000*")</f>
        <v>0</v>
      </c>
      <c r="E1609"/>
      <c r="F1609" s="31">
        <f>SUMIFS(F1610:F3130,K1610:K3130,"0",B1610:B3130,"5 1 1 3 2 12 31111 6 M78 09000*")</f>
        <v>86013.52</v>
      </c>
      <c r="G1609" s="31">
        <f>SUMIFS(G1610:G3130,K1610:K3130,"0",B1610:B3130,"5 1 1 3 2 12 31111 6 M78 09000*")</f>
        <v>0</v>
      </c>
      <c r="H1609" s="31">
        <f t="shared" si="25"/>
        <v>86013.52</v>
      </c>
      <c r="I1609" s="31"/>
      <c r="K1609" t="s">
        <v>13</v>
      </c>
    </row>
    <row r="1610" spans="2:11" ht="13" x14ac:dyDescent="0.15">
      <c r="B1610" s="29" t="s">
        <v>2242</v>
      </c>
      <c r="C1610" s="29" t="s">
        <v>263</v>
      </c>
      <c r="D1610" s="31">
        <f>SUMIFS(D1611:D3130,K1611:K3130,"0",B1611:B3130,"5 1 1 3 2 12 31111 6 M78 09000 134*")-SUMIFS(E1611:E3130,K1611:K3130,"0",B1611:B3130,"5 1 1 3 2 12 31111 6 M78 09000 134*")</f>
        <v>0</v>
      </c>
      <c r="E1610"/>
      <c r="F1610" s="31">
        <f>SUMIFS(F1611:F3130,K1611:K3130,"0",B1611:B3130,"5 1 1 3 2 12 31111 6 M78 09000 134*")</f>
        <v>86013.52</v>
      </c>
      <c r="G1610" s="31">
        <f>SUMIFS(G1611:G3130,K1611:K3130,"0",B1611:B3130,"5 1 1 3 2 12 31111 6 M78 09000 134*")</f>
        <v>0</v>
      </c>
      <c r="H1610" s="31">
        <f t="shared" si="25"/>
        <v>86013.52</v>
      </c>
      <c r="I1610" s="31"/>
      <c r="K1610" t="s">
        <v>13</v>
      </c>
    </row>
    <row r="1611" spans="2:11" ht="13" x14ac:dyDescent="0.15">
      <c r="B1611" s="29" t="s">
        <v>2243</v>
      </c>
      <c r="C1611" s="29" t="s">
        <v>265</v>
      </c>
      <c r="D1611" s="31">
        <f>SUMIFS(D1612:D3130,K1612:K3130,"0",B1612:B3130,"5 1 1 3 2 12 31111 6 M78 09000 134 00C*")-SUMIFS(E1612:E3130,K1612:K3130,"0",B1612:B3130,"5 1 1 3 2 12 31111 6 M78 09000 134 00C*")</f>
        <v>0</v>
      </c>
      <c r="E1611"/>
      <c r="F1611" s="31">
        <f>SUMIFS(F1612:F3130,K1612:K3130,"0",B1612:B3130,"5 1 1 3 2 12 31111 6 M78 09000 134 00C*")</f>
        <v>86013.52</v>
      </c>
      <c r="G1611" s="31">
        <f>SUMIFS(G1612:G3130,K1612:K3130,"0",B1612:B3130,"5 1 1 3 2 12 31111 6 M78 09000 134 00C*")</f>
        <v>0</v>
      </c>
      <c r="H1611" s="31">
        <f t="shared" ref="H1611:H1674" si="26">D1611 + F1611 - G1611</f>
        <v>86013.52</v>
      </c>
      <c r="I1611" s="31"/>
      <c r="K1611" t="s">
        <v>13</v>
      </c>
    </row>
    <row r="1612" spans="2:11" ht="13" x14ac:dyDescent="0.15">
      <c r="B1612" s="29" t="s">
        <v>2244</v>
      </c>
      <c r="C1612" s="29" t="s">
        <v>32</v>
      </c>
      <c r="D1612" s="31">
        <f>SUMIFS(D1613:D3130,K1613:K3130,"0",B1613:B3130,"5 1 1 3 2 12 31111 6 M78 09000 134 00C 001*")-SUMIFS(E1613:E3130,K1613:K3130,"0",B1613:B3130,"5 1 1 3 2 12 31111 6 M78 09000 134 00C 001*")</f>
        <v>0</v>
      </c>
      <c r="E1612"/>
      <c r="F1612" s="31">
        <f>SUMIFS(F1613:F3130,K1613:K3130,"0",B1613:B3130,"5 1 1 3 2 12 31111 6 M78 09000 134 00C 001*")</f>
        <v>86013.52</v>
      </c>
      <c r="G1612" s="31">
        <f>SUMIFS(G1613:G3130,K1613:K3130,"0",B1613:B3130,"5 1 1 3 2 12 31111 6 M78 09000 134 00C 001*")</f>
        <v>0</v>
      </c>
      <c r="H1612" s="31">
        <f t="shared" si="26"/>
        <v>86013.52</v>
      </c>
      <c r="I1612" s="31"/>
      <c r="K1612" t="s">
        <v>13</v>
      </c>
    </row>
    <row r="1613" spans="2:11" ht="13" x14ac:dyDescent="0.15">
      <c r="B1613" s="29" t="s">
        <v>2245</v>
      </c>
      <c r="C1613" s="29" t="s">
        <v>2147</v>
      </c>
      <c r="D1613" s="31">
        <f>SUMIFS(D1614:D3130,K1614:K3130,"0",B1614:B3130,"5 1 1 3 2 12 31111 6 M78 09000 134 00C 001 13202*")-SUMIFS(E1614:E3130,K1614:K3130,"0",B1614:B3130,"5 1 1 3 2 12 31111 6 M78 09000 134 00C 001 13202*")</f>
        <v>0</v>
      </c>
      <c r="E1613"/>
      <c r="F1613" s="31">
        <f>SUMIFS(F1614:F3130,K1614:K3130,"0",B1614:B3130,"5 1 1 3 2 12 31111 6 M78 09000 134 00C 001 13202*")</f>
        <v>86013.52</v>
      </c>
      <c r="G1613" s="31">
        <f>SUMIFS(G1614:G3130,K1614:K3130,"0",B1614:B3130,"5 1 1 3 2 12 31111 6 M78 09000 134 00C 001 13202*")</f>
        <v>0</v>
      </c>
      <c r="H1613" s="31">
        <f t="shared" si="26"/>
        <v>86013.52</v>
      </c>
      <c r="I1613" s="31"/>
      <c r="K1613" t="s">
        <v>13</v>
      </c>
    </row>
    <row r="1614" spans="2:11" ht="22" x14ac:dyDescent="0.15">
      <c r="B1614" s="29" t="s">
        <v>2246</v>
      </c>
      <c r="C1614" s="29" t="s">
        <v>271</v>
      </c>
      <c r="D1614" s="31">
        <f>SUMIFS(D1615:D3130,K1615:K3130,"0",B1615:B3130,"5 1 1 3 2 12 31111 6 M78 09000 134 00C 001 13202 015*")-SUMIFS(E1615:E3130,K1615:K3130,"0",B1615:B3130,"5 1 1 3 2 12 31111 6 M78 09000 134 00C 001 13202 015*")</f>
        <v>0</v>
      </c>
      <c r="E1614"/>
      <c r="F1614" s="31">
        <f>SUMIFS(F1615:F3130,K1615:K3130,"0",B1615:B3130,"5 1 1 3 2 12 31111 6 M78 09000 134 00C 001 13202 015*")</f>
        <v>86013.52</v>
      </c>
      <c r="G1614" s="31">
        <f>SUMIFS(G1615:G3130,K1615:K3130,"0",B1615:B3130,"5 1 1 3 2 12 31111 6 M78 09000 134 00C 001 13202 015*")</f>
        <v>0</v>
      </c>
      <c r="H1614" s="31">
        <f t="shared" si="26"/>
        <v>86013.52</v>
      </c>
      <c r="I1614" s="31"/>
      <c r="K1614" t="s">
        <v>13</v>
      </c>
    </row>
    <row r="1615" spans="2:11" ht="22" x14ac:dyDescent="0.15">
      <c r="B1615" s="29" t="s">
        <v>2247</v>
      </c>
      <c r="C1615" s="29" t="s">
        <v>1813</v>
      </c>
      <c r="D1615" s="31">
        <f>SUMIFS(D1616:D3130,K1616:K3130,"0",B1616:B3130,"5 1 1 3 2 12 31111 6 M78 09000 134 00C 001 13202 015 2111100*")-SUMIFS(E1616:E3130,K1616:K3130,"0",B1616:B3130,"5 1 1 3 2 12 31111 6 M78 09000 134 00C 001 13202 015 2111100*")</f>
        <v>0</v>
      </c>
      <c r="E1615"/>
      <c r="F1615" s="31">
        <f>SUMIFS(F1616:F3130,K1616:K3130,"0",B1616:B3130,"5 1 1 3 2 12 31111 6 M78 09000 134 00C 001 13202 015 2111100*")</f>
        <v>86013.52</v>
      </c>
      <c r="G1615" s="31">
        <f>SUMIFS(G1616:G3130,K1616:K3130,"0",B1616:B3130,"5 1 1 3 2 12 31111 6 M78 09000 134 00C 001 13202 015 2111100*")</f>
        <v>0</v>
      </c>
      <c r="H1615" s="31">
        <f t="shared" si="26"/>
        <v>86013.52</v>
      </c>
      <c r="I1615" s="31"/>
      <c r="K1615" t="s">
        <v>13</v>
      </c>
    </row>
    <row r="1616" spans="2:11" ht="22" x14ac:dyDescent="0.15">
      <c r="B1616" s="29" t="s">
        <v>2248</v>
      </c>
      <c r="C1616" s="29" t="s">
        <v>275</v>
      </c>
      <c r="D1616" s="31">
        <f>SUMIFS(D1617:D3130,K1617:K3130,"0",B1617:B3130,"5 1 1 3 2 12 31111 6 M78 09000 134 00C 001 13202 015 2111100 2024*")-SUMIFS(E1617:E3130,K1617:K3130,"0",B1617:B3130,"5 1 1 3 2 12 31111 6 M78 09000 134 00C 001 13202 015 2111100 2024*")</f>
        <v>0</v>
      </c>
      <c r="E1616"/>
      <c r="F1616" s="31">
        <f>SUMIFS(F1617:F3130,K1617:K3130,"0",B1617:B3130,"5 1 1 3 2 12 31111 6 M78 09000 134 00C 001 13202 015 2111100 2024*")</f>
        <v>86013.52</v>
      </c>
      <c r="G1616" s="31">
        <f>SUMIFS(G1617:G3130,K1617:K3130,"0",B1617:B3130,"5 1 1 3 2 12 31111 6 M78 09000 134 00C 001 13202 015 2111100 2024*")</f>
        <v>0</v>
      </c>
      <c r="H1616" s="31">
        <f t="shared" si="26"/>
        <v>86013.52</v>
      </c>
      <c r="I1616" s="31"/>
      <c r="K1616" t="s">
        <v>13</v>
      </c>
    </row>
    <row r="1617" spans="2:11" ht="22" x14ac:dyDescent="0.15">
      <c r="B1617" s="29" t="s">
        <v>2249</v>
      </c>
      <c r="C1617" s="29" t="s">
        <v>277</v>
      </c>
      <c r="D1617" s="31">
        <f>SUMIFS(D1618:D3130,K1618:K3130,"0",B1618:B3130,"5 1 1 3 2 12 31111 6 M78 09000 134 00C 001 13202 015 2111100 2024 00000000*")-SUMIFS(E1618:E3130,K1618:K3130,"0",B1618:B3130,"5 1 1 3 2 12 31111 6 M78 09000 134 00C 001 13202 015 2111100 2024 00000000*")</f>
        <v>0</v>
      </c>
      <c r="E1617"/>
      <c r="F1617" s="31">
        <f>SUMIFS(F1618:F3130,K1618:K3130,"0",B1618:B3130,"5 1 1 3 2 12 31111 6 M78 09000 134 00C 001 13202 015 2111100 2024 00000000*")</f>
        <v>86013.52</v>
      </c>
      <c r="G1617" s="31">
        <f>SUMIFS(G1618:G3130,K1618:K3130,"0",B1618:B3130,"5 1 1 3 2 12 31111 6 M78 09000 134 00C 001 13202 015 2111100 2024 00000000*")</f>
        <v>0</v>
      </c>
      <c r="H1617" s="31">
        <f t="shared" si="26"/>
        <v>86013.52</v>
      </c>
      <c r="I1617" s="31"/>
      <c r="K1617" t="s">
        <v>13</v>
      </c>
    </row>
    <row r="1618" spans="2:11" ht="22" x14ac:dyDescent="0.15">
      <c r="B1618" s="29" t="s">
        <v>2250</v>
      </c>
      <c r="C1618" s="29" t="s">
        <v>32</v>
      </c>
      <c r="D1618" s="31">
        <f>SUMIFS(D1619:D3130,K1619:K3130,"0",B1619:B3130,"5 1 1 3 2 12 31111 6 M78 09000 134 00C 001 13202 015 2111100 2024 00000000 001*")-SUMIFS(E1619:E3130,K1619:K3130,"0",B1619:B3130,"5 1 1 3 2 12 31111 6 M78 09000 134 00C 001 13202 015 2111100 2024 00000000 001*")</f>
        <v>0</v>
      </c>
      <c r="E1618"/>
      <c r="F1618" s="31">
        <f>SUMIFS(F1619:F3130,K1619:K3130,"0",B1619:B3130,"5 1 1 3 2 12 31111 6 M78 09000 134 00C 001 13202 015 2111100 2024 00000000 001*")</f>
        <v>86013.52</v>
      </c>
      <c r="G1618" s="31">
        <f>SUMIFS(G1619:G3130,K1619:K3130,"0",B1619:B3130,"5 1 1 3 2 12 31111 6 M78 09000 134 00C 001 13202 015 2111100 2024 00000000 001*")</f>
        <v>0</v>
      </c>
      <c r="H1618" s="31">
        <f t="shared" si="26"/>
        <v>86013.52</v>
      </c>
      <c r="I1618" s="31"/>
      <c r="K1618" t="s">
        <v>13</v>
      </c>
    </row>
    <row r="1619" spans="2:11" ht="22" x14ac:dyDescent="0.15">
      <c r="B1619" s="29" t="s">
        <v>2251</v>
      </c>
      <c r="C1619" s="29" t="s">
        <v>1940</v>
      </c>
      <c r="D1619" s="31">
        <f>SUMIFS(D1620:D3130,K1620:K3130,"0",B1620:B3130,"5 1 1 3 2 12 31111 6 M78 09000 134 00C 001 13202 015 2111100 2024 00000000 001 001*")-SUMIFS(E1620:E3130,K1620:K3130,"0",B1620:B3130,"5 1 1 3 2 12 31111 6 M78 09000 134 00C 001 13202 015 2111100 2024 00000000 001 001*")</f>
        <v>0</v>
      </c>
      <c r="E1619"/>
      <c r="F1619" s="31">
        <f>SUMIFS(F1620:F3130,K1620:K3130,"0",B1620:B3130,"5 1 1 3 2 12 31111 6 M78 09000 134 00C 001 13202 015 2111100 2024 00000000 001 001*")</f>
        <v>86013.52</v>
      </c>
      <c r="G1619" s="31">
        <f>SUMIFS(G1620:G3130,K1620:K3130,"0",B1620:B3130,"5 1 1 3 2 12 31111 6 M78 09000 134 00C 001 13202 015 2111100 2024 00000000 001 001*")</f>
        <v>0</v>
      </c>
      <c r="H1619" s="31">
        <f t="shared" si="26"/>
        <v>86013.52</v>
      </c>
      <c r="I1619" s="31"/>
      <c r="K1619" t="s">
        <v>13</v>
      </c>
    </row>
    <row r="1620" spans="2:11" ht="22" x14ac:dyDescent="0.15">
      <c r="B1620" s="27" t="s">
        <v>2252</v>
      </c>
      <c r="C1620" s="27" t="s">
        <v>2155</v>
      </c>
      <c r="D1620" s="30">
        <v>0</v>
      </c>
      <c r="E1620" s="30"/>
      <c r="F1620" s="30">
        <v>86013.52</v>
      </c>
      <c r="G1620" s="30">
        <v>0</v>
      </c>
      <c r="H1620" s="30">
        <f t="shared" si="26"/>
        <v>86013.52</v>
      </c>
      <c r="I1620" s="30"/>
      <c r="K1620" t="s">
        <v>37</v>
      </c>
    </row>
    <row r="1621" spans="2:11" ht="13" x14ac:dyDescent="0.15">
      <c r="B1621" s="29" t="s">
        <v>2253</v>
      </c>
      <c r="C1621" s="29" t="s">
        <v>1943</v>
      </c>
      <c r="D1621" s="31">
        <f>SUMIFS(D1622:D3130,K1622:K3130,"0",B1622:B3130,"5 1 1 3 2 12 31111 6 M78 11000*")-SUMIFS(E1622:E3130,K1622:K3130,"0",B1622:B3130,"5 1 1 3 2 12 31111 6 M78 11000*")</f>
        <v>0</v>
      </c>
      <c r="E1621"/>
      <c r="F1621" s="31">
        <f>SUMIFS(F1622:F3130,K1622:K3130,"0",B1622:B3130,"5 1 1 3 2 12 31111 6 M78 11000*")</f>
        <v>40987.96</v>
      </c>
      <c r="G1621" s="31">
        <f>SUMIFS(G1622:G3130,K1622:K3130,"0",B1622:B3130,"5 1 1 3 2 12 31111 6 M78 11000*")</f>
        <v>0</v>
      </c>
      <c r="H1621" s="31">
        <f t="shared" si="26"/>
        <v>40987.96</v>
      </c>
      <c r="I1621" s="31"/>
      <c r="K1621" t="s">
        <v>13</v>
      </c>
    </row>
    <row r="1622" spans="2:11" ht="13" x14ac:dyDescent="0.15">
      <c r="B1622" s="29" t="s">
        <v>2254</v>
      </c>
      <c r="C1622" s="29" t="s">
        <v>1945</v>
      </c>
      <c r="D1622" s="31">
        <f>SUMIFS(D1623:D3130,K1623:K3130,"0",B1623:B3130,"5 1 1 3 2 12 31111 6 M78 11000 263*")-SUMIFS(E1623:E3130,K1623:K3130,"0",B1623:B3130,"5 1 1 3 2 12 31111 6 M78 11000 263*")</f>
        <v>0</v>
      </c>
      <c r="E1622"/>
      <c r="F1622" s="31">
        <f>SUMIFS(F1623:F3130,K1623:K3130,"0",B1623:B3130,"5 1 1 3 2 12 31111 6 M78 11000 263*")</f>
        <v>40987.96</v>
      </c>
      <c r="G1622" s="31">
        <f>SUMIFS(G1623:G3130,K1623:K3130,"0",B1623:B3130,"5 1 1 3 2 12 31111 6 M78 11000 263*")</f>
        <v>0</v>
      </c>
      <c r="H1622" s="31">
        <f t="shared" si="26"/>
        <v>40987.96</v>
      </c>
      <c r="I1622" s="31"/>
      <c r="K1622" t="s">
        <v>13</v>
      </c>
    </row>
    <row r="1623" spans="2:11" ht="13" x14ac:dyDescent="0.15">
      <c r="B1623" s="29" t="s">
        <v>2255</v>
      </c>
      <c r="C1623" s="29" t="s">
        <v>265</v>
      </c>
      <c r="D1623" s="31">
        <f>SUMIFS(D1624:D3130,K1624:K3130,"0",B1624:B3130,"5 1 1 3 2 12 31111 6 M78 11000 263 00C*")-SUMIFS(E1624:E3130,K1624:K3130,"0",B1624:B3130,"5 1 1 3 2 12 31111 6 M78 11000 263 00C*")</f>
        <v>0</v>
      </c>
      <c r="E1623"/>
      <c r="F1623" s="31">
        <f>SUMIFS(F1624:F3130,K1624:K3130,"0",B1624:B3130,"5 1 1 3 2 12 31111 6 M78 11000 263 00C*")</f>
        <v>40987.96</v>
      </c>
      <c r="G1623" s="31">
        <f>SUMIFS(G1624:G3130,K1624:K3130,"0",B1624:B3130,"5 1 1 3 2 12 31111 6 M78 11000 263 00C*")</f>
        <v>0</v>
      </c>
      <c r="H1623" s="31">
        <f t="shared" si="26"/>
        <v>40987.96</v>
      </c>
      <c r="I1623" s="31"/>
      <c r="K1623" t="s">
        <v>13</v>
      </c>
    </row>
    <row r="1624" spans="2:11" ht="13" x14ac:dyDescent="0.15">
      <c r="B1624" s="29" t="s">
        <v>2256</v>
      </c>
      <c r="C1624" s="29" t="s">
        <v>32</v>
      </c>
      <c r="D1624" s="31">
        <f>SUMIFS(D1625:D3130,K1625:K3130,"0",B1625:B3130,"5 1 1 3 2 12 31111 6 M78 11000 263 00C 001*")-SUMIFS(E1625:E3130,K1625:K3130,"0",B1625:B3130,"5 1 1 3 2 12 31111 6 M78 11000 263 00C 001*")</f>
        <v>0</v>
      </c>
      <c r="E1624"/>
      <c r="F1624" s="31">
        <f>SUMIFS(F1625:F3130,K1625:K3130,"0",B1625:B3130,"5 1 1 3 2 12 31111 6 M78 11000 263 00C 001*")</f>
        <v>40987.96</v>
      </c>
      <c r="G1624" s="31">
        <f>SUMIFS(G1625:G3130,K1625:K3130,"0",B1625:B3130,"5 1 1 3 2 12 31111 6 M78 11000 263 00C 001*")</f>
        <v>0</v>
      </c>
      <c r="H1624" s="31">
        <f t="shared" si="26"/>
        <v>40987.96</v>
      </c>
      <c r="I1624" s="31"/>
      <c r="K1624" t="s">
        <v>13</v>
      </c>
    </row>
    <row r="1625" spans="2:11" ht="13" x14ac:dyDescent="0.15">
      <c r="B1625" s="29" t="s">
        <v>2257</v>
      </c>
      <c r="C1625" s="29" t="s">
        <v>2147</v>
      </c>
      <c r="D1625" s="31">
        <f>SUMIFS(D1626:D3130,K1626:K3130,"0",B1626:B3130,"5 1 1 3 2 12 31111 6 M78 11000 263 00C 001 13202*")-SUMIFS(E1626:E3130,K1626:K3130,"0",B1626:B3130,"5 1 1 3 2 12 31111 6 M78 11000 263 00C 001 13202*")</f>
        <v>0</v>
      </c>
      <c r="E1625"/>
      <c r="F1625" s="31">
        <f>SUMIFS(F1626:F3130,K1626:K3130,"0",B1626:B3130,"5 1 1 3 2 12 31111 6 M78 11000 263 00C 001 13202*")</f>
        <v>40987.96</v>
      </c>
      <c r="G1625" s="31">
        <f>SUMIFS(G1626:G3130,K1626:K3130,"0",B1626:B3130,"5 1 1 3 2 12 31111 6 M78 11000 263 00C 001 13202*")</f>
        <v>0</v>
      </c>
      <c r="H1625" s="31">
        <f t="shared" si="26"/>
        <v>40987.96</v>
      </c>
      <c r="I1625" s="31"/>
      <c r="K1625" t="s">
        <v>13</v>
      </c>
    </row>
    <row r="1626" spans="2:11" ht="22" x14ac:dyDescent="0.15">
      <c r="B1626" s="29" t="s">
        <v>2258</v>
      </c>
      <c r="C1626" s="29" t="s">
        <v>271</v>
      </c>
      <c r="D1626" s="31">
        <f>SUMIFS(D1627:D3130,K1627:K3130,"0",B1627:B3130,"5 1 1 3 2 12 31111 6 M78 11000 263 00C 001 13202 015*")-SUMIFS(E1627:E3130,K1627:K3130,"0",B1627:B3130,"5 1 1 3 2 12 31111 6 M78 11000 263 00C 001 13202 015*")</f>
        <v>0</v>
      </c>
      <c r="E1626"/>
      <c r="F1626" s="31">
        <f>SUMIFS(F1627:F3130,K1627:K3130,"0",B1627:B3130,"5 1 1 3 2 12 31111 6 M78 11000 263 00C 001 13202 015*")</f>
        <v>40987.96</v>
      </c>
      <c r="G1626" s="31">
        <f>SUMIFS(G1627:G3130,K1627:K3130,"0",B1627:B3130,"5 1 1 3 2 12 31111 6 M78 11000 263 00C 001 13202 015*")</f>
        <v>0</v>
      </c>
      <c r="H1626" s="31">
        <f t="shared" si="26"/>
        <v>40987.96</v>
      </c>
      <c r="I1626" s="31"/>
      <c r="K1626" t="s">
        <v>13</v>
      </c>
    </row>
    <row r="1627" spans="2:11" ht="22" x14ac:dyDescent="0.15">
      <c r="B1627" s="29" t="s">
        <v>2259</v>
      </c>
      <c r="C1627" s="29" t="s">
        <v>1813</v>
      </c>
      <c r="D1627" s="31">
        <f>SUMIFS(D1628:D3130,K1628:K3130,"0",B1628:B3130,"5 1 1 3 2 12 31111 6 M78 11000 263 00C 001 13202 015 2111100*")-SUMIFS(E1628:E3130,K1628:K3130,"0",B1628:B3130,"5 1 1 3 2 12 31111 6 M78 11000 263 00C 001 13202 015 2111100*")</f>
        <v>0</v>
      </c>
      <c r="E1627"/>
      <c r="F1627" s="31">
        <f>SUMIFS(F1628:F3130,K1628:K3130,"0",B1628:B3130,"5 1 1 3 2 12 31111 6 M78 11000 263 00C 001 13202 015 2111100*")</f>
        <v>40987.96</v>
      </c>
      <c r="G1627" s="31">
        <f>SUMIFS(G1628:G3130,K1628:K3130,"0",B1628:B3130,"5 1 1 3 2 12 31111 6 M78 11000 263 00C 001 13202 015 2111100*")</f>
        <v>0</v>
      </c>
      <c r="H1627" s="31">
        <f t="shared" si="26"/>
        <v>40987.96</v>
      </c>
      <c r="I1627" s="31"/>
      <c r="K1627" t="s">
        <v>13</v>
      </c>
    </row>
    <row r="1628" spans="2:11" ht="22" x14ac:dyDescent="0.15">
      <c r="B1628" s="29" t="s">
        <v>2260</v>
      </c>
      <c r="C1628" s="29" t="s">
        <v>275</v>
      </c>
      <c r="D1628" s="31">
        <f>SUMIFS(D1629:D3130,K1629:K3130,"0",B1629:B3130,"5 1 1 3 2 12 31111 6 M78 11000 263 00C 001 13202 015 2111100 2024*")-SUMIFS(E1629:E3130,K1629:K3130,"0",B1629:B3130,"5 1 1 3 2 12 31111 6 M78 11000 263 00C 001 13202 015 2111100 2024*")</f>
        <v>0</v>
      </c>
      <c r="E1628"/>
      <c r="F1628" s="31">
        <f>SUMIFS(F1629:F3130,K1629:K3130,"0",B1629:B3130,"5 1 1 3 2 12 31111 6 M78 11000 263 00C 001 13202 015 2111100 2024*")</f>
        <v>40987.96</v>
      </c>
      <c r="G1628" s="31">
        <f>SUMIFS(G1629:G3130,K1629:K3130,"0",B1629:B3130,"5 1 1 3 2 12 31111 6 M78 11000 263 00C 001 13202 015 2111100 2024*")</f>
        <v>0</v>
      </c>
      <c r="H1628" s="31">
        <f t="shared" si="26"/>
        <v>40987.96</v>
      </c>
      <c r="I1628" s="31"/>
      <c r="K1628" t="s">
        <v>13</v>
      </c>
    </row>
    <row r="1629" spans="2:11" ht="22" x14ac:dyDescent="0.15">
      <c r="B1629" s="29" t="s">
        <v>2261</v>
      </c>
      <c r="C1629" s="29" t="s">
        <v>277</v>
      </c>
      <c r="D1629" s="31">
        <f>SUMIFS(D1630:D3130,K1630:K3130,"0",B1630:B3130,"5 1 1 3 2 12 31111 6 M78 11000 263 00C 001 13202 015 2111100 2024 00000000*")-SUMIFS(E1630:E3130,K1630:K3130,"0",B1630:B3130,"5 1 1 3 2 12 31111 6 M78 11000 263 00C 001 13202 015 2111100 2024 00000000*")</f>
        <v>0</v>
      </c>
      <c r="E1629"/>
      <c r="F1629" s="31">
        <f>SUMIFS(F1630:F3130,K1630:K3130,"0",B1630:B3130,"5 1 1 3 2 12 31111 6 M78 11000 263 00C 001 13202 015 2111100 2024 00000000*")</f>
        <v>40987.96</v>
      </c>
      <c r="G1629" s="31">
        <f>SUMIFS(G1630:G3130,K1630:K3130,"0",B1630:B3130,"5 1 1 3 2 12 31111 6 M78 11000 263 00C 001 13202 015 2111100 2024 00000000*")</f>
        <v>0</v>
      </c>
      <c r="H1629" s="31">
        <f t="shared" si="26"/>
        <v>40987.96</v>
      </c>
      <c r="I1629" s="31"/>
      <c r="K1629" t="s">
        <v>13</v>
      </c>
    </row>
    <row r="1630" spans="2:11" ht="22" x14ac:dyDescent="0.15">
      <c r="B1630" s="29" t="s">
        <v>2262</v>
      </c>
      <c r="C1630" s="29" t="s">
        <v>32</v>
      </c>
      <c r="D1630" s="31">
        <f>SUMIFS(D1631:D3130,K1631:K3130,"0",B1631:B3130,"5 1 1 3 2 12 31111 6 M78 11000 263 00C 001 13202 015 2111100 2024 00000000 001*")-SUMIFS(E1631:E3130,K1631:K3130,"0",B1631:B3130,"5 1 1 3 2 12 31111 6 M78 11000 263 00C 001 13202 015 2111100 2024 00000000 001*")</f>
        <v>0</v>
      </c>
      <c r="E1630"/>
      <c r="F1630" s="31">
        <f>SUMIFS(F1631:F3130,K1631:K3130,"0",B1631:B3130,"5 1 1 3 2 12 31111 6 M78 11000 263 00C 001 13202 015 2111100 2024 00000000 001*")</f>
        <v>40987.96</v>
      </c>
      <c r="G1630" s="31">
        <f>SUMIFS(G1631:G3130,K1631:K3130,"0",B1631:B3130,"5 1 1 3 2 12 31111 6 M78 11000 263 00C 001 13202 015 2111100 2024 00000000 001*")</f>
        <v>0</v>
      </c>
      <c r="H1630" s="31">
        <f t="shared" si="26"/>
        <v>40987.96</v>
      </c>
      <c r="I1630" s="31"/>
      <c r="K1630" t="s">
        <v>13</v>
      </c>
    </row>
    <row r="1631" spans="2:11" ht="22" x14ac:dyDescent="0.15">
      <c r="B1631" s="29" t="s">
        <v>2263</v>
      </c>
      <c r="C1631" s="29" t="s">
        <v>1955</v>
      </c>
      <c r="D1631" s="31">
        <f>SUMIFS(D1632:D3130,K1632:K3130,"0",B1632:B3130,"5 1 1 3 2 12 31111 6 M78 11000 263 00C 001 13202 015 2111100 2024 00000000 001 001*")-SUMIFS(E1632:E3130,K1632:K3130,"0",B1632:B3130,"5 1 1 3 2 12 31111 6 M78 11000 263 00C 001 13202 015 2111100 2024 00000000 001 001*")</f>
        <v>0</v>
      </c>
      <c r="E1631"/>
      <c r="F1631" s="31">
        <f>SUMIFS(F1632:F3130,K1632:K3130,"0",B1632:B3130,"5 1 1 3 2 12 31111 6 M78 11000 263 00C 001 13202 015 2111100 2024 00000000 001 001*")</f>
        <v>40987.96</v>
      </c>
      <c r="G1631" s="31">
        <f>SUMIFS(G1632:G3130,K1632:K3130,"0",B1632:B3130,"5 1 1 3 2 12 31111 6 M78 11000 263 00C 001 13202 015 2111100 2024 00000000 001 001*")</f>
        <v>0</v>
      </c>
      <c r="H1631" s="31">
        <f t="shared" si="26"/>
        <v>40987.96</v>
      </c>
      <c r="I1631" s="31"/>
      <c r="K1631" t="s">
        <v>13</v>
      </c>
    </row>
    <row r="1632" spans="2:11" ht="22" x14ac:dyDescent="0.15">
      <c r="B1632" s="27" t="s">
        <v>2264</v>
      </c>
      <c r="C1632" s="27" t="s">
        <v>2155</v>
      </c>
      <c r="D1632" s="30">
        <v>0</v>
      </c>
      <c r="E1632" s="30"/>
      <c r="F1632" s="30">
        <v>40987.96</v>
      </c>
      <c r="G1632" s="30">
        <v>0</v>
      </c>
      <c r="H1632" s="30">
        <f t="shared" si="26"/>
        <v>40987.96</v>
      </c>
      <c r="I1632" s="30"/>
      <c r="K1632" t="s">
        <v>37</v>
      </c>
    </row>
    <row r="1633" spans="2:11" ht="13" x14ac:dyDescent="0.15">
      <c r="B1633" s="29" t="s">
        <v>2265</v>
      </c>
      <c r="C1633" s="29" t="s">
        <v>1958</v>
      </c>
      <c r="D1633" s="31">
        <f>SUMIFS(D1634:D3130,K1634:K3130,"0",B1634:B3130,"5 1 1 3 2 12 31111 6 M78 12000*")-SUMIFS(E1634:E3130,K1634:K3130,"0",B1634:B3130,"5 1 1 3 2 12 31111 6 M78 12000*")</f>
        <v>0</v>
      </c>
      <c r="E1633"/>
      <c r="F1633" s="31">
        <f>SUMIFS(F1634:F3130,K1634:K3130,"0",B1634:B3130,"5 1 1 3 2 12 31111 6 M78 12000*")</f>
        <v>178647.13</v>
      </c>
      <c r="G1633" s="31">
        <f>SUMIFS(G1634:G3130,K1634:K3130,"0",B1634:B3130,"5 1 1 3 2 12 31111 6 M78 12000*")</f>
        <v>0</v>
      </c>
      <c r="H1633" s="31">
        <f t="shared" si="26"/>
        <v>178647.13</v>
      </c>
      <c r="I1633" s="31"/>
      <c r="K1633" t="s">
        <v>13</v>
      </c>
    </row>
    <row r="1634" spans="2:11" ht="13" x14ac:dyDescent="0.15">
      <c r="B1634" s="29" t="s">
        <v>2266</v>
      </c>
      <c r="C1634" s="29" t="s">
        <v>1960</v>
      </c>
      <c r="D1634" s="31">
        <f>SUMIFS(D1635:D3130,K1635:K3130,"0",B1635:B3130,"5 1 1 3 2 12 31111 6 M78 12000 265*")-SUMIFS(E1635:E3130,K1635:K3130,"0",B1635:B3130,"5 1 1 3 2 12 31111 6 M78 12000 265*")</f>
        <v>0</v>
      </c>
      <c r="E1634"/>
      <c r="F1634" s="31">
        <f>SUMIFS(F1635:F3130,K1635:K3130,"0",B1635:B3130,"5 1 1 3 2 12 31111 6 M78 12000 265*")</f>
        <v>178647.13</v>
      </c>
      <c r="G1634" s="31">
        <f>SUMIFS(G1635:G3130,K1635:K3130,"0",B1635:B3130,"5 1 1 3 2 12 31111 6 M78 12000 265*")</f>
        <v>0</v>
      </c>
      <c r="H1634" s="31">
        <f t="shared" si="26"/>
        <v>178647.13</v>
      </c>
      <c r="I1634" s="31"/>
      <c r="K1634" t="s">
        <v>13</v>
      </c>
    </row>
    <row r="1635" spans="2:11" ht="13" x14ac:dyDescent="0.15">
      <c r="B1635" s="29" t="s">
        <v>2267</v>
      </c>
      <c r="C1635" s="29" t="s">
        <v>265</v>
      </c>
      <c r="D1635" s="31">
        <f>SUMIFS(D1636:D3130,K1636:K3130,"0",B1636:B3130,"5 1 1 3 2 12 31111 6 M78 12000 265 00C*")-SUMIFS(E1636:E3130,K1636:K3130,"0",B1636:B3130,"5 1 1 3 2 12 31111 6 M78 12000 265 00C*")</f>
        <v>0</v>
      </c>
      <c r="E1635"/>
      <c r="F1635" s="31">
        <f>SUMIFS(F1636:F3130,K1636:K3130,"0",B1636:B3130,"5 1 1 3 2 12 31111 6 M78 12000 265 00C*")</f>
        <v>178647.13</v>
      </c>
      <c r="G1635" s="31">
        <f>SUMIFS(G1636:G3130,K1636:K3130,"0",B1636:B3130,"5 1 1 3 2 12 31111 6 M78 12000 265 00C*")</f>
        <v>0</v>
      </c>
      <c r="H1635" s="31">
        <f t="shared" si="26"/>
        <v>178647.13</v>
      </c>
      <c r="I1635" s="31"/>
      <c r="K1635" t="s">
        <v>13</v>
      </c>
    </row>
    <row r="1636" spans="2:11" ht="13" x14ac:dyDescent="0.15">
      <c r="B1636" s="29" t="s">
        <v>2268</v>
      </c>
      <c r="C1636" s="29" t="s">
        <v>32</v>
      </c>
      <c r="D1636" s="31">
        <f>SUMIFS(D1637:D3130,K1637:K3130,"0",B1637:B3130,"5 1 1 3 2 12 31111 6 M78 12000 265 00C 001*")-SUMIFS(E1637:E3130,K1637:K3130,"0",B1637:B3130,"5 1 1 3 2 12 31111 6 M78 12000 265 00C 001*")</f>
        <v>0</v>
      </c>
      <c r="E1636"/>
      <c r="F1636" s="31">
        <f>SUMIFS(F1637:F3130,K1637:K3130,"0",B1637:B3130,"5 1 1 3 2 12 31111 6 M78 12000 265 00C 001*")</f>
        <v>178647.13</v>
      </c>
      <c r="G1636" s="31">
        <f>SUMIFS(G1637:G3130,K1637:K3130,"0",B1637:B3130,"5 1 1 3 2 12 31111 6 M78 12000 265 00C 001*")</f>
        <v>0</v>
      </c>
      <c r="H1636" s="31">
        <f t="shared" si="26"/>
        <v>178647.13</v>
      </c>
      <c r="I1636" s="31"/>
      <c r="K1636" t="s">
        <v>13</v>
      </c>
    </row>
    <row r="1637" spans="2:11" ht="13" x14ac:dyDescent="0.15">
      <c r="B1637" s="29" t="s">
        <v>2269</v>
      </c>
      <c r="C1637" s="29" t="s">
        <v>2147</v>
      </c>
      <c r="D1637" s="31">
        <f>SUMIFS(D1638:D3130,K1638:K3130,"0",B1638:B3130,"5 1 1 3 2 12 31111 6 M78 12000 265 00C 001 13202*")-SUMIFS(E1638:E3130,K1638:K3130,"0",B1638:B3130,"5 1 1 3 2 12 31111 6 M78 12000 265 00C 001 13202*")</f>
        <v>0</v>
      </c>
      <c r="E1637"/>
      <c r="F1637" s="31">
        <f>SUMIFS(F1638:F3130,K1638:K3130,"0",B1638:B3130,"5 1 1 3 2 12 31111 6 M78 12000 265 00C 001 13202*")</f>
        <v>178647.13</v>
      </c>
      <c r="G1637" s="31">
        <f>SUMIFS(G1638:G3130,K1638:K3130,"0",B1638:B3130,"5 1 1 3 2 12 31111 6 M78 12000 265 00C 001 13202*")</f>
        <v>0</v>
      </c>
      <c r="H1637" s="31">
        <f t="shared" si="26"/>
        <v>178647.13</v>
      </c>
      <c r="I1637" s="31"/>
      <c r="K1637" t="s">
        <v>13</v>
      </c>
    </row>
    <row r="1638" spans="2:11" ht="22" x14ac:dyDescent="0.15">
      <c r="B1638" s="29" t="s">
        <v>2270</v>
      </c>
      <c r="C1638" s="29" t="s">
        <v>271</v>
      </c>
      <c r="D1638" s="31">
        <f>SUMIFS(D1639:D3130,K1639:K3130,"0",B1639:B3130,"5 1 1 3 2 12 31111 6 M78 12000 265 00C 001 13202 015*")-SUMIFS(E1639:E3130,K1639:K3130,"0",B1639:B3130,"5 1 1 3 2 12 31111 6 M78 12000 265 00C 001 13202 015*")</f>
        <v>0</v>
      </c>
      <c r="E1638"/>
      <c r="F1638" s="31">
        <f>SUMIFS(F1639:F3130,K1639:K3130,"0",B1639:B3130,"5 1 1 3 2 12 31111 6 M78 12000 265 00C 001 13202 015*")</f>
        <v>178647.13</v>
      </c>
      <c r="G1638" s="31">
        <f>SUMIFS(G1639:G3130,K1639:K3130,"0",B1639:B3130,"5 1 1 3 2 12 31111 6 M78 12000 265 00C 001 13202 015*")</f>
        <v>0</v>
      </c>
      <c r="H1638" s="31">
        <f t="shared" si="26"/>
        <v>178647.13</v>
      </c>
      <c r="I1638" s="31"/>
      <c r="K1638" t="s">
        <v>13</v>
      </c>
    </row>
    <row r="1639" spans="2:11" ht="22" x14ac:dyDescent="0.15">
      <c r="B1639" s="29" t="s">
        <v>2271</v>
      </c>
      <c r="C1639" s="29" t="s">
        <v>1813</v>
      </c>
      <c r="D1639" s="31">
        <f>SUMIFS(D1640:D3130,K1640:K3130,"0",B1640:B3130,"5 1 1 3 2 12 31111 6 M78 12000 265 00C 001 13202 015 2111100*")-SUMIFS(E1640:E3130,K1640:K3130,"0",B1640:B3130,"5 1 1 3 2 12 31111 6 M78 12000 265 00C 001 13202 015 2111100*")</f>
        <v>0</v>
      </c>
      <c r="E1639"/>
      <c r="F1639" s="31">
        <f>SUMIFS(F1640:F3130,K1640:K3130,"0",B1640:B3130,"5 1 1 3 2 12 31111 6 M78 12000 265 00C 001 13202 015 2111100*")</f>
        <v>178647.13</v>
      </c>
      <c r="G1639" s="31">
        <f>SUMIFS(G1640:G3130,K1640:K3130,"0",B1640:B3130,"5 1 1 3 2 12 31111 6 M78 12000 265 00C 001 13202 015 2111100*")</f>
        <v>0</v>
      </c>
      <c r="H1639" s="31">
        <f t="shared" si="26"/>
        <v>178647.13</v>
      </c>
      <c r="I1639" s="31"/>
      <c r="K1639" t="s">
        <v>13</v>
      </c>
    </row>
    <row r="1640" spans="2:11" ht="22" x14ac:dyDescent="0.15">
      <c r="B1640" s="29" t="s">
        <v>2272</v>
      </c>
      <c r="C1640" s="29" t="s">
        <v>275</v>
      </c>
      <c r="D1640" s="31">
        <f>SUMIFS(D1641:D3130,K1641:K3130,"0",B1641:B3130,"5 1 1 3 2 12 31111 6 M78 12000 265 00C 001 13202 015 2111100 2024*")-SUMIFS(E1641:E3130,K1641:K3130,"0",B1641:B3130,"5 1 1 3 2 12 31111 6 M78 12000 265 00C 001 13202 015 2111100 2024*")</f>
        <v>0</v>
      </c>
      <c r="E1640"/>
      <c r="F1640" s="31">
        <f>SUMIFS(F1641:F3130,K1641:K3130,"0",B1641:B3130,"5 1 1 3 2 12 31111 6 M78 12000 265 00C 001 13202 015 2111100 2024*")</f>
        <v>178647.13</v>
      </c>
      <c r="G1640" s="31">
        <f>SUMIFS(G1641:G3130,K1641:K3130,"0",B1641:B3130,"5 1 1 3 2 12 31111 6 M78 12000 265 00C 001 13202 015 2111100 2024*")</f>
        <v>0</v>
      </c>
      <c r="H1640" s="31">
        <f t="shared" si="26"/>
        <v>178647.13</v>
      </c>
      <c r="I1640" s="31"/>
      <c r="K1640" t="s">
        <v>13</v>
      </c>
    </row>
    <row r="1641" spans="2:11" ht="22" x14ac:dyDescent="0.15">
      <c r="B1641" s="29" t="s">
        <v>2273</v>
      </c>
      <c r="C1641" s="29" t="s">
        <v>277</v>
      </c>
      <c r="D1641" s="31">
        <f>SUMIFS(D1642:D3130,K1642:K3130,"0",B1642:B3130,"5 1 1 3 2 12 31111 6 M78 12000 265 00C 001 13202 015 2111100 2024 00000000*")-SUMIFS(E1642:E3130,K1642:K3130,"0",B1642:B3130,"5 1 1 3 2 12 31111 6 M78 12000 265 00C 001 13202 015 2111100 2024 00000000*")</f>
        <v>0</v>
      </c>
      <c r="E1641"/>
      <c r="F1641" s="31">
        <f>SUMIFS(F1642:F3130,K1642:K3130,"0",B1642:B3130,"5 1 1 3 2 12 31111 6 M78 12000 265 00C 001 13202 015 2111100 2024 00000000*")</f>
        <v>178647.13</v>
      </c>
      <c r="G1641" s="31">
        <f>SUMIFS(G1642:G3130,K1642:K3130,"0",B1642:B3130,"5 1 1 3 2 12 31111 6 M78 12000 265 00C 001 13202 015 2111100 2024 00000000*")</f>
        <v>0</v>
      </c>
      <c r="H1641" s="31">
        <f t="shared" si="26"/>
        <v>178647.13</v>
      </c>
      <c r="I1641" s="31"/>
      <c r="K1641" t="s">
        <v>13</v>
      </c>
    </row>
    <row r="1642" spans="2:11" ht="22" x14ac:dyDescent="0.15">
      <c r="B1642" s="29" t="s">
        <v>2274</v>
      </c>
      <c r="C1642" s="29" t="s">
        <v>32</v>
      </c>
      <c r="D1642" s="31">
        <f>SUMIFS(D1643:D3130,K1643:K3130,"0",B1643:B3130,"5 1 1 3 2 12 31111 6 M78 12000 265 00C 001 13202 015 2111100 2024 00000000 001*")-SUMIFS(E1643:E3130,K1643:K3130,"0",B1643:B3130,"5 1 1 3 2 12 31111 6 M78 12000 265 00C 001 13202 015 2111100 2024 00000000 001*")</f>
        <v>0</v>
      </c>
      <c r="E1642"/>
      <c r="F1642" s="31">
        <f>SUMIFS(F1643:F3130,K1643:K3130,"0",B1643:B3130,"5 1 1 3 2 12 31111 6 M78 12000 265 00C 001 13202 015 2111100 2024 00000000 001*")</f>
        <v>178647.13</v>
      </c>
      <c r="G1642" s="31">
        <f>SUMIFS(G1643:G3130,K1643:K3130,"0",B1643:B3130,"5 1 1 3 2 12 31111 6 M78 12000 265 00C 001 13202 015 2111100 2024 00000000 001*")</f>
        <v>0</v>
      </c>
      <c r="H1642" s="31">
        <f t="shared" si="26"/>
        <v>178647.13</v>
      </c>
      <c r="I1642" s="31"/>
      <c r="K1642" t="s">
        <v>13</v>
      </c>
    </row>
    <row r="1643" spans="2:11" ht="22" x14ac:dyDescent="0.15">
      <c r="B1643" s="29" t="s">
        <v>2275</v>
      </c>
      <c r="C1643" s="29" t="s">
        <v>1970</v>
      </c>
      <c r="D1643" s="31">
        <f>SUMIFS(D1644:D3130,K1644:K3130,"0",B1644:B3130,"5 1 1 3 2 12 31111 6 M78 12000 265 00C 001 13202 015 2111100 2024 00000000 001 001*")-SUMIFS(E1644:E3130,K1644:K3130,"0",B1644:B3130,"5 1 1 3 2 12 31111 6 M78 12000 265 00C 001 13202 015 2111100 2024 00000000 001 001*")</f>
        <v>0</v>
      </c>
      <c r="E1643"/>
      <c r="F1643" s="31">
        <f>SUMIFS(F1644:F3130,K1644:K3130,"0",B1644:B3130,"5 1 1 3 2 12 31111 6 M78 12000 265 00C 001 13202 015 2111100 2024 00000000 001 001*")</f>
        <v>178647.13</v>
      </c>
      <c r="G1643" s="31">
        <f>SUMIFS(G1644:G3130,K1644:K3130,"0",B1644:B3130,"5 1 1 3 2 12 31111 6 M78 12000 265 00C 001 13202 015 2111100 2024 00000000 001 001*")</f>
        <v>0</v>
      </c>
      <c r="H1643" s="31">
        <f t="shared" si="26"/>
        <v>178647.13</v>
      </c>
      <c r="I1643" s="31"/>
      <c r="K1643" t="s">
        <v>13</v>
      </c>
    </row>
    <row r="1644" spans="2:11" ht="22" x14ac:dyDescent="0.15">
      <c r="B1644" s="27" t="s">
        <v>2276</v>
      </c>
      <c r="C1644" s="27" t="s">
        <v>2155</v>
      </c>
      <c r="D1644" s="30">
        <v>0</v>
      </c>
      <c r="E1644" s="30"/>
      <c r="F1644" s="30">
        <v>178647.13</v>
      </c>
      <c r="G1644" s="30">
        <v>0</v>
      </c>
      <c r="H1644" s="30">
        <f t="shared" si="26"/>
        <v>178647.13</v>
      </c>
      <c r="I1644" s="30"/>
      <c r="K1644" t="s">
        <v>37</v>
      </c>
    </row>
    <row r="1645" spans="2:11" ht="13" x14ac:dyDescent="0.15">
      <c r="B1645" s="29" t="s">
        <v>2277</v>
      </c>
      <c r="C1645" s="29" t="s">
        <v>1973</v>
      </c>
      <c r="D1645" s="31">
        <f>SUMIFS(D1646:D3130,K1646:K3130,"0",B1646:B3130,"5 1 1 3 2 12 31111 6 M78 13000*")-SUMIFS(E1646:E3130,K1646:K3130,"0",B1646:B3130,"5 1 1 3 2 12 31111 6 M78 13000*")</f>
        <v>0</v>
      </c>
      <c r="E1645"/>
      <c r="F1645" s="31">
        <f>SUMIFS(F1646:F3130,K1646:K3130,"0",B1646:B3130,"5 1 1 3 2 12 31111 6 M78 13000*")</f>
        <v>19735.02</v>
      </c>
      <c r="G1645" s="31">
        <f>SUMIFS(G1646:G3130,K1646:K3130,"0",B1646:B3130,"5 1 1 3 2 12 31111 6 M78 13000*")</f>
        <v>0</v>
      </c>
      <c r="H1645" s="31">
        <f t="shared" si="26"/>
        <v>19735.02</v>
      </c>
      <c r="I1645" s="31"/>
      <c r="K1645" t="s">
        <v>13</v>
      </c>
    </row>
    <row r="1646" spans="2:11" ht="13" x14ac:dyDescent="0.15">
      <c r="B1646" s="29" t="s">
        <v>2278</v>
      </c>
      <c r="C1646" s="29" t="s">
        <v>588</v>
      </c>
      <c r="D1646" s="31">
        <f>SUMIFS(D1647:D3130,K1647:K3130,"0",B1647:B3130,"5 1 1 3 2 12 31111 6 M78 13000 151*")-SUMIFS(E1647:E3130,K1647:K3130,"0",B1647:B3130,"5 1 1 3 2 12 31111 6 M78 13000 151*")</f>
        <v>0</v>
      </c>
      <c r="E1646"/>
      <c r="F1646" s="31">
        <f>SUMIFS(F1647:F3130,K1647:K3130,"0",B1647:B3130,"5 1 1 3 2 12 31111 6 M78 13000 151*")</f>
        <v>19735.02</v>
      </c>
      <c r="G1646" s="31">
        <f>SUMIFS(G1647:G3130,K1647:K3130,"0",B1647:B3130,"5 1 1 3 2 12 31111 6 M78 13000 151*")</f>
        <v>0</v>
      </c>
      <c r="H1646" s="31">
        <f t="shared" si="26"/>
        <v>19735.02</v>
      </c>
      <c r="I1646" s="31"/>
      <c r="K1646" t="s">
        <v>13</v>
      </c>
    </row>
    <row r="1647" spans="2:11" ht="13" x14ac:dyDescent="0.15">
      <c r="B1647" s="29" t="s">
        <v>2279</v>
      </c>
      <c r="C1647" s="29" t="s">
        <v>265</v>
      </c>
      <c r="D1647" s="31">
        <f>SUMIFS(D1648:D3130,K1648:K3130,"0",B1648:B3130,"5 1 1 3 2 12 31111 6 M78 13000 151 00C*")-SUMIFS(E1648:E3130,K1648:K3130,"0",B1648:B3130,"5 1 1 3 2 12 31111 6 M78 13000 151 00C*")</f>
        <v>0</v>
      </c>
      <c r="E1647"/>
      <c r="F1647" s="31">
        <f>SUMIFS(F1648:F3130,K1648:K3130,"0",B1648:B3130,"5 1 1 3 2 12 31111 6 M78 13000 151 00C*")</f>
        <v>19735.02</v>
      </c>
      <c r="G1647" s="31">
        <f>SUMIFS(G1648:G3130,K1648:K3130,"0",B1648:B3130,"5 1 1 3 2 12 31111 6 M78 13000 151 00C*")</f>
        <v>0</v>
      </c>
      <c r="H1647" s="31">
        <f t="shared" si="26"/>
        <v>19735.02</v>
      </c>
      <c r="I1647" s="31"/>
      <c r="K1647" t="s">
        <v>13</v>
      </c>
    </row>
    <row r="1648" spans="2:11" ht="13" x14ac:dyDescent="0.15">
      <c r="B1648" s="29" t="s">
        <v>2280</v>
      </c>
      <c r="C1648" s="29" t="s">
        <v>32</v>
      </c>
      <c r="D1648" s="31">
        <f>SUMIFS(D1649:D3130,K1649:K3130,"0",B1649:B3130,"5 1 1 3 2 12 31111 6 M78 13000 151 00C 001*")-SUMIFS(E1649:E3130,K1649:K3130,"0",B1649:B3130,"5 1 1 3 2 12 31111 6 M78 13000 151 00C 001*")</f>
        <v>0</v>
      </c>
      <c r="E1648"/>
      <c r="F1648" s="31">
        <f>SUMIFS(F1649:F3130,K1649:K3130,"0",B1649:B3130,"5 1 1 3 2 12 31111 6 M78 13000 151 00C 001*")</f>
        <v>19735.02</v>
      </c>
      <c r="G1648" s="31">
        <f>SUMIFS(G1649:G3130,K1649:K3130,"0",B1649:B3130,"5 1 1 3 2 12 31111 6 M78 13000 151 00C 001*")</f>
        <v>0</v>
      </c>
      <c r="H1648" s="31">
        <f t="shared" si="26"/>
        <v>19735.02</v>
      </c>
      <c r="I1648" s="31"/>
      <c r="K1648" t="s">
        <v>13</v>
      </c>
    </row>
    <row r="1649" spans="2:11" ht="13" x14ac:dyDescent="0.15">
      <c r="B1649" s="29" t="s">
        <v>2281</v>
      </c>
      <c r="C1649" s="29" t="s">
        <v>2147</v>
      </c>
      <c r="D1649" s="31">
        <f>SUMIFS(D1650:D3130,K1650:K3130,"0",B1650:B3130,"5 1 1 3 2 12 31111 6 M78 13000 151 00C 001 13202*")-SUMIFS(E1650:E3130,K1650:K3130,"0",B1650:B3130,"5 1 1 3 2 12 31111 6 M78 13000 151 00C 001 13202*")</f>
        <v>0</v>
      </c>
      <c r="E1649"/>
      <c r="F1649" s="31">
        <f>SUMIFS(F1650:F3130,K1650:K3130,"0",B1650:B3130,"5 1 1 3 2 12 31111 6 M78 13000 151 00C 001 13202*")</f>
        <v>19735.02</v>
      </c>
      <c r="G1649" s="31">
        <f>SUMIFS(G1650:G3130,K1650:K3130,"0",B1650:B3130,"5 1 1 3 2 12 31111 6 M78 13000 151 00C 001 13202*")</f>
        <v>0</v>
      </c>
      <c r="H1649" s="31">
        <f t="shared" si="26"/>
        <v>19735.02</v>
      </c>
      <c r="I1649" s="31"/>
      <c r="K1649" t="s">
        <v>13</v>
      </c>
    </row>
    <row r="1650" spans="2:11" ht="22" x14ac:dyDescent="0.15">
      <c r="B1650" s="29" t="s">
        <v>2282</v>
      </c>
      <c r="C1650" s="29" t="s">
        <v>271</v>
      </c>
      <c r="D1650" s="31">
        <f>SUMIFS(D1651:D3130,K1651:K3130,"0",B1651:B3130,"5 1 1 3 2 12 31111 6 M78 13000 151 00C 001 13202 015*")-SUMIFS(E1651:E3130,K1651:K3130,"0",B1651:B3130,"5 1 1 3 2 12 31111 6 M78 13000 151 00C 001 13202 015*")</f>
        <v>0</v>
      </c>
      <c r="E1650"/>
      <c r="F1650" s="31">
        <f>SUMIFS(F1651:F3130,K1651:K3130,"0",B1651:B3130,"5 1 1 3 2 12 31111 6 M78 13000 151 00C 001 13202 015*")</f>
        <v>19735.02</v>
      </c>
      <c r="G1650" s="31">
        <f>SUMIFS(G1651:G3130,K1651:K3130,"0",B1651:B3130,"5 1 1 3 2 12 31111 6 M78 13000 151 00C 001 13202 015*")</f>
        <v>0</v>
      </c>
      <c r="H1650" s="31">
        <f t="shared" si="26"/>
        <v>19735.02</v>
      </c>
      <c r="I1650" s="31"/>
      <c r="K1650" t="s">
        <v>13</v>
      </c>
    </row>
    <row r="1651" spans="2:11" ht="22" x14ac:dyDescent="0.15">
      <c r="B1651" s="29" t="s">
        <v>2283</v>
      </c>
      <c r="C1651" s="29" t="s">
        <v>1813</v>
      </c>
      <c r="D1651" s="31">
        <f>SUMIFS(D1652:D3130,K1652:K3130,"0",B1652:B3130,"5 1 1 3 2 12 31111 6 M78 13000 151 00C 001 13202 015 2111100*")-SUMIFS(E1652:E3130,K1652:K3130,"0",B1652:B3130,"5 1 1 3 2 12 31111 6 M78 13000 151 00C 001 13202 015 2111100*")</f>
        <v>0</v>
      </c>
      <c r="E1651"/>
      <c r="F1651" s="31">
        <f>SUMIFS(F1652:F3130,K1652:K3130,"0",B1652:B3130,"5 1 1 3 2 12 31111 6 M78 13000 151 00C 001 13202 015 2111100*")</f>
        <v>19735.02</v>
      </c>
      <c r="G1651" s="31">
        <f>SUMIFS(G1652:G3130,K1652:K3130,"0",B1652:B3130,"5 1 1 3 2 12 31111 6 M78 13000 151 00C 001 13202 015 2111100*")</f>
        <v>0</v>
      </c>
      <c r="H1651" s="31">
        <f t="shared" si="26"/>
        <v>19735.02</v>
      </c>
      <c r="I1651" s="31"/>
      <c r="K1651" t="s">
        <v>13</v>
      </c>
    </row>
    <row r="1652" spans="2:11" ht="22" x14ac:dyDescent="0.15">
      <c r="B1652" s="29" t="s">
        <v>2284</v>
      </c>
      <c r="C1652" s="29" t="s">
        <v>275</v>
      </c>
      <c r="D1652" s="31">
        <f>SUMIFS(D1653:D3130,K1653:K3130,"0",B1653:B3130,"5 1 1 3 2 12 31111 6 M78 13000 151 00C 001 13202 015 2111100 2024*")-SUMIFS(E1653:E3130,K1653:K3130,"0",B1653:B3130,"5 1 1 3 2 12 31111 6 M78 13000 151 00C 001 13202 015 2111100 2024*")</f>
        <v>0</v>
      </c>
      <c r="E1652"/>
      <c r="F1652" s="31">
        <f>SUMIFS(F1653:F3130,K1653:K3130,"0",B1653:B3130,"5 1 1 3 2 12 31111 6 M78 13000 151 00C 001 13202 015 2111100 2024*")</f>
        <v>19735.02</v>
      </c>
      <c r="G1652" s="31">
        <f>SUMIFS(G1653:G3130,K1653:K3130,"0",B1653:B3130,"5 1 1 3 2 12 31111 6 M78 13000 151 00C 001 13202 015 2111100 2024*")</f>
        <v>0</v>
      </c>
      <c r="H1652" s="31">
        <f t="shared" si="26"/>
        <v>19735.02</v>
      </c>
      <c r="I1652" s="31"/>
      <c r="K1652" t="s">
        <v>13</v>
      </c>
    </row>
    <row r="1653" spans="2:11" ht="22" x14ac:dyDescent="0.15">
      <c r="B1653" s="29" t="s">
        <v>2285</v>
      </c>
      <c r="C1653" s="29" t="s">
        <v>277</v>
      </c>
      <c r="D1653" s="31">
        <f>SUMIFS(D1654:D3130,K1654:K3130,"0",B1654:B3130,"5 1 1 3 2 12 31111 6 M78 13000 151 00C 001 13202 015 2111100 2024 00000000*")-SUMIFS(E1654:E3130,K1654:K3130,"0",B1654:B3130,"5 1 1 3 2 12 31111 6 M78 13000 151 00C 001 13202 015 2111100 2024 00000000*")</f>
        <v>0</v>
      </c>
      <c r="E1653"/>
      <c r="F1653" s="31">
        <f>SUMIFS(F1654:F3130,K1654:K3130,"0",B1654:B3130,"5 1 1 3 2 12 31111 6 M78 13000 151 00C 001 13202 015 2111100 2024 00000000*")</f>
        <v>19735.02</v>
      </c>
      <c r="G1653" s="31">
        <f>SUMIFS(G1654:G3130,K1654:K3130,"0",B1654:B3130,"5 1 1 3 2 12 31111 6 M78 13000 151 00C 001 13202 015 2111100 2024 00000000*")</f>
        <v>0</v>
      </c>
      <c r="H1653" s="31">
        <f t="shared" si="26"/>
        <v>19735.02</v>
      </c>
      <c r="I1653" s="31"/>
      <c r="K1653" t="s">
        <v>13</v>
      </c>
    </row>
    <row r="1654" spans="2:11" ht="22" x14ac:dyDescent="0.15">
      <c r="B1654" s="29" t="s">
        <v>2286</v>
      </c>
      <c r="C1654" s="29" t="s">
        <v>32</v>
      </c>
      <c r="D1654" s="31">
        <f>SUMIFS(D1655:D3130,K1655:K3130,"0",B1655:B3130,"5 1 1 3 2 12 31111 6 M78 13000 151 00C 001 13202 015 2111100 2024 00000000 001*")-SUMIFS(E1655:E3130,K1655:K3130,"0",B1655:B3130,"5 1 1 3 2 12 31111 6 M78 13000 151 00C 001 13202 015 2111100 2024 00000000 001*")</f>
        <v>0</v>
      </c>
      <c r="E1654"/>
      <c r="F1654" s="31">
        <f>SUMIFS(F1655:F3130,K1655:K3130,"0",B1655:B3130,"5 1 1 3 2 12 31111 6 M78 13000 151 00C 001 13202 015 2111100 2024 00000000 001*")</f>
        <v>19735.02</v>
      </c>
      <c r="G1654" s="31">
        <f>SUMIFS(G1655:G3130,K1655:K3130,"0",B1655:B3130,"5 1 1 3 2 12 31111 6 M78 13000 151 00C 001 13202 015 2111100 2024 00000000 001*")</f>
        <v>0</v>
      </c>
      <c r="H1654" s="31">
        <f t="shared" si="26"/>
        <v>19735.02</v>
      </c>
      <c r="I1654" s="31"/>
      <c r="K1654" t="s">
        <v>13</v>
      </c>
    </row>
    <row r="1655" spans="2:11" ht="22" x14ac:dyDescent="0.15">
      <c r="B1655" s="29" t="s">
        <v>2287</v>
      </c>
      <c r="C1655" s="29" t="s">
        <v>1984</v>
      </c>
      <c r="D1655" s="31">
        <f>SUMIFS(D1656:D3130,K1656:K3130,"0",B1656:B3130,"5 1 1 3 2 12 31111 6 M78 13000 151 00C 001 13202 015 2111100 2024 00000000 001 001*")-SUMIFS(E1656:E3130,K1656:K3130,"0",B1656:B3130,"5 1 1 3 2 12 31111 6 M78 13000 151 00C 001 13202 015 2111100 2024 00000000 001 001*")</f>
        <v>0</v>
      </c>
      <c r="E1655"/>
      <c r="F1655" s="31">
        <f>SUMIFS(F1656:F3130,K1656:K3130,"0",B1656:B3130,"5 1 1 3 2 12 31111 6 M78 13000 151 00C 001 13202 015 2111100 2024 00000000 001 001*")</f>
        <v>19735.02</v>
      </c>
      <c r="G1655" s="31">
        <f>SUMIFS(G1656:G3130,K1656:K3130,"0",B1656:B3130,"5 1 1 3 2 12 31111 6 M78 13000 151 00C 001 13202 015 2111100 2024 00000000 001 001*")</f>
        <v>0</v>
      </c>
      <c r="H1655" s="31">
        <f t="shared" si="26"/>
        <v>19735.02</v>
      </c>
      <c r="I1655" s="31"/>
      <c r="K1655" t="s">
        <v>13</v>
      </c>
    </row>
    <row r="1656" spans="2:11" ht="22" x14ac:dyDescent="0.15">
      <c r="B1656" s="27" t="s">
        <v>2288</v>
      </c>
      <c r="C1656" s="27" t="s">
        <v>2155</v>
      </c>
      <c r="D1656" s="30">
        <v>0</v>
      </c>
      <c r="E1656" s="30"/>
      <c r="F1656" s="30">
        <v>19735.02</v>
      </c>
      <c r="G1656" s="30">
        <v>0</v>
      </c>
      <c r="H1656" s="30">
        <f t="shared" si="26"/>
        <v>19735.02</v>
      </c>
      <c r="I1656" s="30"/>
      <c r="K1656" t="s">
        <v>37</v>
      </c>
    </row>
    <row r="1657" spans="2:11" ht="13" x14ac:dyDescent="0.15">
      <c r="B1657" s="29" t="s">
        <v>2289</v>
      </c>
      <c r="C1657" s="29" t="s">
        <v>1987</v>
      </c>
      <c r="D1657" s="31">
        <f>SUMIFS(D1658:D3130,K1658:K3130,"0",B1658:B3130,"5 1 1 3 2 12 31111 6 M78 14000*")-SUMIFS(E1658:E3130,K1658:K3130,"0",B1658:B3130,"5 1 1 3 2 12 31111 6 M78 14000*")</f>
        <v>0</v>
      </c>
      <c r="E1657"/>
      <c r="F1657" s="31">
        <f>SUMIFS(F1658:F3130,K1658:K3130,"0",B1658:B3130,"5 1 1 3 2 12 31111 6 M78 14000*")</f>
        <v>56802.46</v>
      </c>
      <c r="G1657" s="31">
        <f>SUMIFS(G1658:G3130,K1658:K3130,"0",B1658:B3130,"5 1 1 3 2 12 31111 6 M78 14000*")</f>
        <v>0</v>
      </c>
      <c r="H1657" s="31">
        <f t="shared" si="26"/>
        <v>56802.46</v>
      </c>
      <c r="I1657" s="31"/>
      <c r="K1657" t="s">
        <v>13</v>
      </c>
    </row>
    <row r="1658" spans="2:11" ht="13" x14ac:dyDescent="0.15">
      <c r="B1658" s="29" t="s">
        <v>2290</v>
      </c>
      <c r="C1658" s="29" t="s">
        <v>1989</v>
      </c>
      <c r="D1658" s="31">
        <f>SUMIFS(D1659:D3130,K1659:K3130,"0",B1659:B3130,"5 1 1 3 2 12 31111 6 M78 14000 211*")-SUMIFS(E1659:E3130,K1659:K3130,"0",B1659:B3130,"5 1 1 3 2 12 31111 6 M78 14000 211*")</f>
        <v>0</v>
      </c>
      <c r="E1658"/>
      <c r="F1658" s="31">
        <f>SUMIFS(F1659:F3130,K1659:K3130,"0",B1659:B3130,"5 1 1 3 2 12 31111 6 M78 14000 211*")</f>
        <v>56802.46</v>
      </c>
      <c r="G1658" s="31">
        <f>SUMIFS(G1659:G3130,K1659:K3130,"0",B1659:B3130,"5 1 1 3 2 12 31111 6 M78 14000 211*")</f>
        <v>0</v>
      </c>
      <c r="H1658" s="31">
        <f t="shared" si="26"/>
        <v>56802.46</v>
      </c>
      <c r="I1658" s="31"/>
      <c r="K1658" t="s">
        <v>13</v>
      </c>
    </row>
    <row r="1659" spans="2:11" ht="13" x14ac:dyDescent="0.15">
      <c r="B1659" s="29" t="s">
        <v>2291</v>
      </c>
      <c r="C1659" s="29" t="s">
        <v>265</v>
      </c>
      <c r="D1659" s="31">
        <f>SUMIFS(D1660:D3130,K1660:K3130,"0",B1660:B3130,"5 1 1 3 2 12 31111 6 M78 14000 211 00C*")-SUMIFS(E1660:E3130,K1660:K3130,"0",B1660:B3130,"5 1 1 3 2 12 31111 6 M78 14000 211 00C*")</f>
        <v>0</v>
      </c>
      <c r="E1659"/>
      <c r="F1659" s="31">
        <f>SUMIFS(F1660:F3130,K1660:K3130,"0",B1660:B3130,"5 1 1 3 2 12 31111 6 M78 14000 211 00C*")</f>
        <v>56802.46</v>
      </c>
      <c r="G1659" s="31">
        <f>SUMIFS(G1660:G3130,K1660:K3130,"0",B1660:B3130,"5 1 1 3 2 12 31111 6 M78 14000 211 00C*")</f>
        <v>0</v>
      </c>
      <c r="H1659" s="31">
        <f t="shared" si="26"/>
        <v>56802.46</v>
      </c>
      <c r="I1659" s="31"/>
      <c r="K1659" t="s">
        <v>13</v>
      </c>
    </row>
    <row r="1660" spans="2:11" ht="13" x14ac:dyDescent="0.15">
      <c r="B1660" s="29" t="s">
        <v>2292</v>
      </c>
      <c r="C1660" s="29" t="s">
        <v>32</v>
      </c>
      <c r="D1660" s="31">
        <f>SUMIFS(D1661:D3130,K1661:K3130,"0",B1661:B3130,"5 1 1 3 2 12 31111 6 M78 14000 211 00C 001*")-SUMIFS(E1661:E3130,K1661:K3130,"0",B1661:B3130,"5 1 1 3 2 12 31111 6 M78 14000 211 00C 001*")</f>
        <v>0</v>
      </c>
      <c r="E1660"/>
      <c r="F1660" s="31">
        <f>SUMIFS(F1661:F3130,K1661:K3130,"0",B1661:B3130,"5 1 1 3 2 12 31111 6 M78 14000 211 00C 001*")</f>
        <v>56802.46</v>
      </c>
      <c r="G1660" s="31">
        <f>SUMIFS(G1661:G3130,K1661:K3130,"0",B1661:B3130,"5 1 1 3 2 12 31111 6 M78 14000 211 00C 001*")</f>
        <v>0</v>
      </c>
      <c r="H1660" s="31">
        <f t="shared" si="26"/>
        <v>56802.46</v>
      </c>
      <c r="I1660" s="31"/>
      <c r="K1660" t="s">
        <v>13</v>
      </c>
    </row>
    <row r="1661" spans="2:11" ht="13" x14ac:dyDescent="0.15">
      <c r="B1661" s="29" t="s">
        <v>2293</v>
      </c>
      <c r="C1661" s="29" t="s">
        <v>2147</v>
      </c>
      <c r="D1661" s="31">
        <f>SUMIFS(D1662:D3130,K1662:K3130,"0",B1662:B3130,"5 1 1 3 2 12 31111 6 M78 14000 211 00C 001 13202*")-SUMIFS(E1662:E3130,K1662:K3130,"0",B1662:B3130,"5 1 1 3 2 12 31111 6 M78 14000 211 00C 001 13202*")</f>
        <v>0</v>
      </c>
      <c r="E1661"/>
      <c r="F1661" s="31">
        <f>SUMIFS(F1662:F3130,K1662:K3130,"0",B1662:B3130,"5 1 1 3 2 12 31111 6 M78 14000 211 00C 001 13202*")</f>
        <v>56802.46</v>
      </c>
      <c r="G1661" s="31">
        <f>SUMIFS(G1662:G3130,K1662:K3130,"0",B1662:B3130,"5 1 1 3 2 12 31111 6 M78 14000 211 00C 001 13202*")</f>
        <v>0</v>
      </c>
      <c r="H1661" s="31">
        <f t="shared" si="26"/>
        <v>56802.46</v>
      </c>
      <c r="I1661" s="31"/>
      <c r="K1661" t="s">
        <v>13</v>
      </c>
    </row>
    <row r="1662" spans="2:11" ht="22" x14ac:dyDescent="0.15">
      <c r="B1662" s="29" t="s">
        <v>2294</v>
      </c>
      <c r="C1662" s="29" t="s">
        <v>271</v>
      </c>
      <c r="D1662" s="31">
        <f>SUMIFS(D1663:D3130,K1663:K3130,"0",B1663:B3130,"5 1 1 3 2 12 31111 6 M78 14000 211 00C 001 13202 015*")-SUMIFS(E1663:E3130,K1663:K3130,"0",B1663:B3130,"5 1 1 3 2 12 31111 6 M78 14000 211 00C 001 13202 015*")</f>
        <v>0</v>
      </c>
      <c r="E1662"/>
      <c r="F1662" s="31">
        <f>SUMIFS(F1663:F3130,K1663:K3130,"0",B1663:B3130,"5 1 1 3 2 12 31111 6 M78 14000 211 00C 001 13202 015*")</f>
        <v>56802.46</v>
      </c>
      <c r="G1662" s="31">
        <f>SUMIFS(G1663:G3130,K1663:K3130,"0",B1663:B3130,"5 1 1 3 2 12 31111 6 M78 14000 211 00C 001 13202 015*")</f>
        <v>0</v>
      </c>
      <c r="H1662" s="31">
        <f t="shared" si="26"/>
        <v>56802.46</v>
      </c>
      <c r="I1662" s="31"/>
      <c r="K1662" t="s">
        <v>13</v>
      </c>
    </row>
    <row r="1663" spans="2:11" ht="22" x14ac:dyDescent="0.15">
      <c r="B1663" s="29" t="s">
        <v>2295</v>
      </c>
      <c r="C1663" s="29" t="s">
        <v>1813</v>
      </c>
      <c r="D1663" s="31">
        <f>SUMIFS(D1664:D3130,K1664:K3130,"0",B1664:B3130,"5 1 1 3 2 12 31111 6 M78 14000 211 00C 001 13202 015 2111100*")-SUMIFS(E1664:E3130,K1664:K3130,"0",B1664:B3130,"5 1 1 3 2 12 31111 6 M78 14000 211 00C 001 13202 015 2111100*")</f>
        <v>0</v>
      </c>
      <c r="E1663"/>
      <c r="F1663" s="31">
        <f>SUMIFS(F1664:F3130,K1664:K3130,"0",B1664:B3130,"5 1 1 3 2 12 31111 6 M78 14000 211 00C 001 13202 015 2111100*")</f>
        <v>56802.46</v>
      </c>
      <c r="G1663" s="31">
        <f>SUMIFS(G1664:G3130,K1664:K3130,"0",B1664:B3130,"5 1 1 3 2 12 31111 6 M78 14000 211 00C 001 13202 015 2111100*")</f>
        <v>0</v>
      </c>
      <c r="H1663" s="31">
        <f t="shared" si="26"/>
        <v>56802.46</v>
      </c>
      <c r="I1663" s="31"/>
      <c r="K1663" t="s">
        <v>13</v>
      </c>
    </row>
    <row r="1664" spans="2:11" ht="22" x14ac:dyDescent="0.15">
      <c r="B1664" s="29" t="s">
        <v>2296</v>
      </c>
      <c r="C1664" s="29" t="s">
        <v>275</v>
      </c>
      <c r="D1664" s="31">
        <f>SUMIFS(D1665:D3130,K1665:K3130,"0",B1665:B3130,"5 1 1 3 2 12 31111 6 M78 14000 211 00C 001 13202 015 2111100 2024*")-SUMIFS(E1665:E3130,K1665:K3130,"0",B1665:B3130,"5 1 1 3 2 12 31111 6 M78 14000 211 00C 001 13202 015 2111100 2024*")</f>
        <v>0</v>
      </c>
      <c r="E1664"/>
      <c r="F1664" s="31">
        <f>SUMIFS(F1665:F3130,K1665:K3130,"0",B1665:B3130,"5 1 1 3 2 12 31111 6 M78 14000 211 00C 001 13202 015 2111100 2024*")</f>
        <v>56802.46</v>
      </c>
      <c r="G1664" s="31">
        <f>SUMIFS(G1665:G3130,K1665:K3130,"0",B1665:B3130,"5 1 1 3 2 12 31111 6 M78 14000 211 00C 001 13202 015 2111100 2024*")</f>
        <v>0</v>
      </c>
      <c r="H1664" s="31">
        <f t="shared" si="26"/>
        <v>56802.46</v>
      </c>
      <c r="I1664" s="31"/>
      <c r="K1664" t="s">
        <v>13</v>
      </c>
    </row>
    <row r="1665" spans="2:11" ht="22" x14ac:dyDescent="0.15">
      <c r="B1665" s="29" t="s">
        <v>2297</v>
      </c>
      <c r="C1665" s="29" t="s">
        <v>277</v>
      </c>
      <c r="D1665" s="31">
        <f>SUMIFS(D1666:D3130,K1666:K3130,"0",B1666:B3130,"5 1 1 3 2 12 31111 6 M78 14000 211 00C 001 13202 015 2111100 2024 00000000*")-SUMIFS(E1666:E3130,K1666:K3130,"0",B1666:B3130,"5 1 1 3 2 12 31111 6 M78 14000 211 00C 001 13202 015 2111100 2024 00000000*")</f>
        <v>0</v>
      </c>
      <c r="E1665"/>
      <c r="F1665" s="31">
        <f>SUMIFS(F1666:F3130,K1666:K3130,"0",B1666:B3130,"5 1 1 3 2 12 31111 6 M78 14000 211 00C 001 13202 015 2111100 2024 00000000*")</f>
        <v>56802.46</v>
      </c>
      <c r="G1665" s="31">
        <f>SUMIFS(G1666:G3130,K1666:K3130,"0",B1666:B3130,"5 1 1 3 2 12 31111 6 M78 14000 211 00C 001 13202 015 2111100 2024 00000000*")</f>
        <v>0</v>
      </c>
      <c r="H1665" s="31">
        <f t="shared" si="26"/>
        <v>56802.46</v>
      </c>
      <c r="I1665" s="31"/>
      <c r="K1665" t="s">
        <v>13</v>
      </c>
    </row>
    <row r="1666" spans="2:11" ht="22" x14ac:dyDescent="0.15">
      <c r="B1666" s="29" t="s">
        <v>2298</v>
      </c>
      <c r="C1666" s="29" t="s">
        <v>32</v>
      </c>
      <c r="D1666" s="31">
        <f>SUMIFS(D1667:D3130,K1667:K3130,"0",B1667:B3130,"5 1 1 3 2 12 31111 6 M78 14000 211 00C 001 13202 015 2111100 2024 00000000 001*")-SUMIFS(E1667:E3130,K1667:K3130,"0",B1667:B3130,"5 1 1 3 2 12 31111 6 M78 14000 211 00C 001 13202 015 2111100 2024 00000000 001*")</f>
        <v>0</v>
      </c>
      <c r="E1666"/>
      <c r="F1666" s="31">
        <f>SUMIFS(F1667:F3130,K1667:K3130,"0",B1667:B3130,"5 1 1 3 2 12 31111 6 M78 14000 211 00C 001 13202 015 2111100 2024 00000000 001*")</f>
        <v>56802.46</v>
      </c>
      <c r="G1666" s="31">
        <f>SUMIFS(G1667:G3130,K1667:K3130,"0",B1667:B3130,"5 1 1 3 2 12 31111 6 M78 14000 211 00C 001 13202 015 2111100 2024 00000000 001*")</f>
        <v>0</v>
      </c>
      <c r="H1666" s="31">
        <f t="shared" si="26"/>
        <v>56802.46</v>
      </c>
      <c r="I1666" s="31"/>
      <c r="K1666" t="s">
        <v>13</v>
      </c>
    </row>
    <row r="1667" spans="2:11" ht="22" x14ac:dyDescent="0.15">
      <c r="B1667" s="29" t="s">
        <v>2299</v>
      </c>
      <c r="C1667" s="29" t="s">
        <v>1999</v>
      </c>
      <c r="D1667" s="31">
        <f>SUMIFS(D1668:D3130,K1668:K3130,"0",B1668:B3130,"5 1 1 3 2 12 31111 6 M78 14000 211 00C 001 13202 015 2111100 2024 00000000 001 001*")-SUMIFS(E1668:E3130,K1668:K3130,"0",B1668:B3130,"5 1 1 3 2 12 31111 6 M78 14000 211 00C 001 13202 015 2111100 2024 00000000 001 001*")</f>
        <v>0</v>
      </c>
      <c r="E1667"/>
      <c r="F1667" s="31">
        <f>SUMIFS(F1668:F3130,K1668:K3130,"0",B1668:B3130,"5 1 1 3 2 12 31111 6 M78 14000 211 00C 001 13202 015 2111100 2024 00000000 001 001*")</f>
        <v>56802.46</v>
      </c>
      <c r="G1667" s="31">
        <f>SUMIFS(G1668:G3130,K1668:K3130,"0",B1668:B3130,"5 1 1 3 2 12 31111 6 M78 14000 211 00C 001 13202 015 2111100 2024 00000000 001 001*")</f>
        <v>0</v>
      </c>
      <c r="H1667" s="31">
        <f t="shared" si="26"/>
        <v>56802.46</v>
      </c>
      <c r="I1667" s="31"/>
      <c r="K1667" t="s">
        <v>13</v>
      </c>
    </row>
    <row r="1668" spans="2:11" ht="22" x14ac:dyDescent="0.15">
      <c r="B1668" s="27" t="s">
        <v>2300</v>
      </c>
      <c r="C1668" s="27" t="s">
        <v>2155</v>
      </c>
      <c r="D1668" s="30">
        <v>0</v>
      </c>
      <c r="E1668" s="30"/>
      <c r="F1668" s="30">
        <v>56802.46</v>
      </c>
      <c r="G1668" s="30">
        <v>0</v>
      </c>
      <c r="H1668" s="30">
        <f t="shared" si="26"/>
        <v>56802.46</v>
      </c>
      <c r="I1668" s="30"/>
      <c r="K1668" t="s">
        <v>37</v>
      </c>
    </row>
    <row r="1669" spans="2:11" ht="13" x14ac:dyDescent="0.15">
      <c r="B1669" s="29" t="s">
        <v>2301</v>
      </c>
      <c r="C1669" s="29" t="s">
        <v>833</v>
      </c>
      <c r="D1669" s="31">
        <f>SUMIFS(D1670:D3130,K1670:K3130,"0",B1670:B3130,"5 1 1 3 2 12 31111 6 M78 15000*")-SUMIFS(E1670:E3130,K1670:K3130,"0",B1670:B3130,"5 1 1 3 2 12 31111 6 M78 15000*")</f>
        <v>0</v>
      </c>
      <c r="E1669"/>
      <c r="F1669" s="31">
        <f>SUMIFS(F1670:F3130,K1670:K3130,"0",B1670:B3130,"5 1 1 3 2 12 31111 6 M78 15000*")</f>
        <v>268855.7</v>
      </c>
      <c r="G1669" s="31">
        <f>SUMIFS(G1670:G3130,K1670:K3130,"0",B1670:B3130,"5 1 1 3 2 12 31111 6 M78 15000*")</f>
        <v>0</v>
      </c>
      <c r="H1669" s="31">
        <f t="shared" si="26"/>
        <v>268855.7</v>
      </c>
      <c r="I1669" s="31"/>
      <c r="K1669" t="s">
        <v>13</v>
      </c>
    </row>
    <row r="1670" spans="2:11" ht="13" x14ac:dyDescent="0.15">
      <c r="B1670" s="29" t="s">
        <v>2302</v>
      </c>
      <c r="C1670" s="29" t="s">
        <v>835</v>
      </c>
      <c r="D1670" s="31">
        <f>SUMIFS(D1671:D3130,K1671:K3130,"0",B1671:B3130,"5 1 1 3 2 12 31111 6 M78 15000 171*")-SUMIFS(E1671:E3130,K1671:K3130,"0",B1671:B3130,"5 1 1 3 2 12 31111 6 M78 15000 171*")</f>
        <v>0</v>
      </c>
      <c r="E1670"/>
      <c r="F1670" s="31">
        <f>SUMIFS(F1671:F3130,K1671:K3130,"0",B1671:B3130,"5 1 1 3 2 12 31111 6 M78 15000 171*")</f>
        <v>268855.7</v>
      </c>
      <c r="G1670" s="31">
        <f>SUMIFS(G1671:G3130,K1671:K3130,"0",B1671:B3130,"5 1 1 3 2 12 31111 6 M78 15000 171*")</f>
        <v>0</v>
      </c>
      <c r="H1670" s="31">
        <f t="shared" si="26"/>
        <v>268855.7</v>
      </c>
      <c r="I1670" s="31"/>
      <c r="K1670" t="s">
        <v>13</v>
      </c>
    </row>
    <row r="1671" spans="2:11" ht="13" x14ac:dyDescent="0.15">
      <c r="B1671" s="29" t="s">
        <v>2303</v>
      </c>
      <c r="C1671" s="29" t="s">
        <v>285</v>
      </c>
      <c r="D1671" s="31">
        <f>SUMIFS(D1672:D3130,K1672:K3130,"0",B1672:B3130,"5 1 1 3 2 12 31111 6 M78 15000 171 00I*")-SUMIFS(E1672:E3130,K1672:K3130,"0",B1672:B3130,"5 1 1 3 2 12 31111 6 M78 15000 171 00I*")</f>
        <v>0</v>
      </c>
      <c r="E1671"/>
      <c r="F1671" s="31">
        <f>SUMIFS(F1672:F3130,K1672:K3130,"0",B1672:B3130,"5 1 1 3 2 12 31111 6 M78 15000 171 00I*")</f>
        <v>268855.7</v>
      </c>
      <c r="G1671" s="31">
        <f>SUMIFS(G1672:G3130,K1672:K3130,"0",B1672:B3130,"5 1 1 3 2 12 31111 6 M78 15000 171 00I*")</f>
        <v>0</v>
      </c>
      <c r="H1671" s="31">
        <f t="shared" si="26"/>
        <v>268855.7</v>
      </c>
      <c r="I1671" s="31"/>
      <c r="K1671" t="s">
        <v>13</v>
      </c>
    </row>
    <row r="1672" spans="2:11" ht="13" x14ac:dyDescent="0.15">
      <c r="B1672" s="29" t="s">
        <v>2304</v>
      </c>
      <c r="C1672" s="29" t="s">
        <v>32</v>
      </c>
      <c r="D1672" s="31">
        <f>SUMIFS(D1673:D3130,K1673:K3130,"0",B1673:B3130,"5 1 1 3 2 12 31111 6 M78 15000 171 00I 001*")-SUMIFS(E1673:E3130,K1673:K3130,"0",B1673:B3130,"5 1 1 3 2 12 31111 6 M78 15000 171 00I 001*")</f>
        <v>0</v>
      </c>
      <c r="E1672"/>
      <c r="F1672" s="31">
        <f>SUMIFS(F1673:F3130,K1673:K3130,"0",B1673:B3130,"5 1 1 3 2 12 31111 6 M78 15000 171 00I 001*")</f>
        <v>268855.7</v>
      </c>
      <c r="G1672" s="31">
        <f>SUMIFS(G1673:G3130,K1673:K3130,"0",B1673:B3130,"5 1 1 3 2 12 31111 6 M78 15000 171 00I 001*")</f>
        <v>0</v>
      </c>
      <c r="H1672" s="31">
        <f t="shared" si="26"/>
        <v>268855.7</v>
      </c>
      <c r="I1672" s="31"/>
      <c r="K1672" t="s">
        <v>13</v>
      </c>
    </row>
    <row r="1673" spans="2:11" ht="13" x14ac:dyDescent="0.15">
      <c r="B1673" s="29" t="s">
        <v>2305</v>
      </c>
      <c r="C1673" s="29" t="s">
        <v>2147</v>
      </c>
      <c r="D1673" s="31">
        <f>SUMIFS(D1674:D3130,K1674:K3130,"0",B1674:B3130,"5 1 1 3 2 12 31111 6 M78 15000 171 00I 001 13202*")-SUMIFS(E1674:E3130,K1674:K3130,"0",B1674:B3130,"5 1 1 3 2 12 31111 6 M78 15000 171 00I 001 13202*")</f>
        <v>0</v>
      </c>
      <c r="E1673"/>
      <c r="F1673" s="31">
        <f>SUMIFS(F1674:F3130,K1674:K3130,"0",B1674:B3130,"5 1 1 3 2 12 31111 6 M78 15000 171 00I 001 13202*")</f>
        <v>268855.7</v>
      </c>
      <c r="G1673" s="31">
        <f>SUMIFS(G1674:G3130,K1674:K3130,"0",B1674:B3130,"5 1 1 3 2 12 31111 6 M78 15000 171 00I 001 13202*")</f>
        <v>0</v>
      </c>
      <c r="H1673" s="31">
        <f t="shared" si="26"/>
        <v>268855.7</v>
      </c>
      <c r="I1673" s="31"/>
      <c r="K1673" t="s">
        <v>13</v>
      </c>
    </row>
    <row r="1674" spans="2:11" ht="22" x14ac:dyDescent="0.15">
      <c r="B1674" s="29" t="s">
        <v>2306</v>
      </c>
      <c r="C1674" s="29" t="s">
        <v>290</v>
      </c>
      <c r="D1674" s="31">
        <f>SUMIFS(D1675:D3130,K1675:K3130,"0",B1675:B3130,"5 1 1 3 2 12 31111 6 M78 15000 171 00I 001 13202 025*")-SUMIFS(E1675:E3130,K1675:K3130,"0",B1675:B3130,"5 1 1 3 2 12 31111 6 M78 15000 171 00I 001 13202 025*")</f>
        <v>0</v>
      </c>
      <c r="E1674"/>
      <c r="F1674" s="31">
        <f>SUMIFS(F1675:F3130,K1675:K3130,"0",B1675:B3130,"5 1 1 3 2 12 31111 6 M78 15000 171 00I 001 13202 025*")</f>
        <v>268855.7</v>
      </c>
      <c r="G1674" s="31">
        <f>SUMIFS(G1675:G3130,K1675:K3130,"0",B1675:B3130,"5 1 1 3 2 12 31111 6 M78 15000 171 00I 001 13202 025*")</f>
        <v>0</v>
      </c>
      <c r="H1674" s="31">
        <f t="shared" si="26"/>
        <v>268855.7</v>
      </c>
      <c r="I1674" s="31"/>
      <c r="K1674" t="s">
        <v>13</v>
      </c>
    </row>
    <row r="1675" spans="2:11" ht="22" x14ac:dyDescent="0.15">
      <c r="B1675" s="29" t="s">
        <v>2307</v>
      </c>
      <c r="C1675" s="29" t="s">
        <v>1813</v>
      </c>
      <c r="D1675" s="31">
        <f>SUMIFS(D1676:D3130,K1676:K3130,"0",B1676:B3130,"5 1 1 3 2 12 31111 6 M78 15000 171 00I 001 13202 025 2111100*")-SUMIFS(E1676:E3130,K1676:K3130,"0",B1676:B3130,"5 1 1 3 2 12 31111 6 M78 15000 171 00I 001 13202 025 2111100*")</f>
        <v>0</v>
      </c>
      <c r="E1675"/>
      <c r="F1675" s="31">
        <f>SUMIFS(F1676:F3130,K1676:K3130,"0",B1676:B3130,"5 1 1 3 2 12 31111 6 M78 15000 171 00I 001 13202 025 2111100*")</f>
        <v>268855.7</v>
      </c>
      <c r="G1675" s="31">
        <f>SUMIFS(G1676:G3130,K1676:K3130,"0",B1676:B3130,"5 1 1 3 2 12 31111 6 M78 15000 171 00I 001 13202 025 2111100*")</f>
        <v>0</v>
      </c>
      <c r="H1675" s="31">
        <f t="shared" ref="H1675:H1738" si="27">D1675 + F1675 - G1675</f>
        <v>268855.7</v>
      </c>
      <c r="I1675" s="31"/>
      <c r="K1675" t="s">
        <v>13</v>
      </c>
    </row>
    <row r="1676" spans="2:11" ht="22" x14ac:dyDescent="0.15">
      <c r="B1676" s="29" t="s">
        <v>2308</v>
      </c>
      <c r="C1676" s="29" t="s">
        <v>275</v>
      </c>
      <c r="D1676" s="31">
        <f>SUMIFS(D1677:D3130,K1677:K3130,"0",B1677:B3130,"5 1 1 3 2 12 31111 6 M78 15000 171 00I 001 13202 025 2111100 2024*")-SUMIFS(E1677:E3130,K1677:K3130,"0",B1677:B3130,"5 1 1 3 2 12 31111 6 M78 15000 171 00I 001 13202 025 2111100 2024*")</f>
        <v>0</v>
      </c>
      <c r="E1676"/>
      <c r="F1676" s="31">
        <f>SUMIFS(F1677:F3130,K1677:K3130,"0",B1677:B3130,"5 1 1 3 2 12 31111 6 M78 15000 171 00I 001 13202 025 2111100 2024*")</f>
        <v>268855.7</v>
      </c>
      <c r="G1676" s="31">
        <f>SUMIFS(G1677:G3130,K1677:K3130,"0",B1677:B3130,"5 1 1 3 2 12 31111 6 M78 15000 171 00I 001 13202 025 2111100 2024*")</f>
        <v>0</v>
      </c>
      <c r="H1676" s="31">
        <f t="shared" si="27"/>
        <v>268855.7</v>
      </c>
      <c r="I1676" s="31"/>
      <c r="K1676" t="s">
        <v>13</v>
      </c>
    </row>
    <row r="1677" spans="2:11" ht="22" x14ac:dyDescent="0.15">
      <c r="B1677" s="29" t="s">
        <v>2309</v>
      </c>
      <c r="C1677" s="29" t="s">
        <v>277</v>
      </c>
      <c r="D1677" s="31">
        <f>SUMIFS(D1678:D3130,K1678:K3130,"0",B1678:B3130,"5 1 1 3 2 12 31111 6 M78 15000 171 00I 001 13202 025 2111100 2024 00000000*")-SUMIFS(E1678:E3130,K1678:K3130,"0",B1678:B3130,"5 1 1 3 2 12 31111 6 M78 15000 171 00I 001 13202 025 2111100 2024 00000000*")</f>
        <v>0</v>
      </c>
      <c r="E1677"/>
      <c r="F1677" s="31">
        <f>SUMIFS(F1678:F3130,K1678:K3130,"0",B1678:B3130,"5 1 1 3 2 12 31111 6 M78 15000 171 00I 001 13202 025 2111100 2024 00000000*")</f>
        <v>268855.7</v>
      </c>
      <c r="G1677" s="31">
        <f>SUMIFS(G1678:G3130,K1678:K3130,"0",B1678:B3130,"5 1 1 3 2 12 31111 6 M78 15000 171 00I 001 13202 025 2111100 2024 00000000*")</f>
        <v>0</v>
      </c>
      <c r="H1677" s="31">
        <f t="shared" si="27"/>
        <v>268855.7</v>
      </c>
      <c r="I1677" s="31"/>
      <c r="K1677" t="s">
        <v>13</v>
      </c>
    </row>
    <row r="1678" spans="2:11" ht="22" x14ac:dyDescent="0.15">
      <c r="B1678" s="29" t="s">
        <v>2310</v>
      </c>
      <c r="C1678" s="29" t="s">
        <v>581</v>
      </c>
      <c r="D1678" s="31">
        <f>SUMIFS(D1679:D3130,K1679:K3130,"0",B1679:B3130,"5 1 1 3 2 12 31111 6 M78 15000 171 00I 001 13202 025 2111100 2024 00000000 003*")-SUMIFS(E1679:E3130,K1679:K3130,"0",B1679:B3130,"5 1 1 3 2 12 31111 6 M78 15000 171 00I 001 13202 025 2111100 2024 00000000 003*")</f>
        <v>0</v>
      </c>
      <c r="E1678"/>
      <c r="F1678" s="31">
        <f>SUMIFS(F1679:F3130,K1679:K3130,"0",B1679:B3130,"5 1 1 3 2 12 31111 6 M78 15000 171 00I 001 13202 025 2111100 2024 00000000 003*")</f>
        <v>268855.7</v>
      </c>
      <c r="G1678" s="31">
        <f>SUMIFS(G1679:G3130,K1679:K3130,"0",B1679:B3130,"5 1 1 3 2 12 31111 6 M78 15000 171 00I 001 13202 025 2111100 2024 00000000 003*")</f>
        <v>0</v>
      </c>
      <c r="H1678" s="31">
        <f t="shared" si="27"/>
        <v>268855.7</v>
      </c>
      <c r="I1678" s="31"/>
      <c r="K1678" t="s">
        <v>13</v>
      </c>
    </row>
    <row r="1679" spans="2:11" ht="22" x14ac:dyDescent="0.15">
      <c r="B1679" s="29" t="s">
        <v>2311</v>
      </c>
      <c r="C1679" s="29" t="s">
        <v>2012</v>
      </c>
      <c r="D1679" s="31">
        <f>SUMIFS(D1680:D3130,K1680:K3130,"0",B1680:B3130,"5 1 1 3 2 12 31111 6 M78 15000 171 00I 001 13202 025 2111100 2024 00000000 003 001*")-SUMIFS(E1680:E3130,K1680:K3130,"0",B1680:B3130,"5 1 1 3 2 12 31111 6 M78 15000 171 00I 001 13202 025 2111100 2024 00000000 003 001*")</f>
        <v>0</v>
      </c>
      <c r="E1679"/>
      <c r="F1679" s="31">
        <f>SUMIFS(F1680:F3130,K1680:K3130,"0",B1680:B3130,"5 1 1 3 2 12 31111 6 M78 15000 171 00I 001 13202 025 2111100 2024 00000000 003 001*")</f>
        <v>268855.7</v>
      </c>
      <c r="G1679" s="31">
        <f>SUMIFS(G1680:G3130,K1680:K3130,"0",B1680:B3130,"5 1 1 3 2 12 31111 6 M78 15000 171 00I 001 13202 025 2111100 2024 00000000 003 001*")</f>
        <v>0</v>
      </c>
      <c r="H1679" s="31">
        <f t="shared" si="27"/>
        <v>268855.7</v>
      </c>
      <c r="I1679" s="31"/>
      <c r="K1679" t="s">
        <v>13</v>
      </c>
    </row>
    <row r="1680" spans="2:11" ht="22" x14ac:dyDescent="0.15">
      <c r="B1680" s="27" t="s">
        <v>2312</v>
      </c>
      <c r="C1680" s="27" t="s">
        <v>2180</v>
      </c>
      <c r="D1680" s="30">
        <v>0</v>
      </c>
      <c r="E1680" s="30"/>
      <c r="F1680" s="30">
        <v>268855.7</v>
      </c>
      <c r="G1680" s="30">
        <v>0</v>
      </c>
      <c r="H1680" s="30">
        <f t="shared" si="27"/>
        <v>268855.7</v>
      </c>
      <c r="I1680" s="30"/>
      <c r="K1680" t="s">
        <v>37</v>
      </c>
    </row>
    <row r="1681" spans="2:11" ht="13" x14ac:dyDescent="0.15">
      <c r="B1681" s="29" t="s">
        <v>2313</v>
      </c>
      <c r="C1681" s="29" t="s">
        <v>2015</v>
      </c>
      <c r="D1681" s="31">
        <f>SUMIFS(D1682:D3130,K1682:K3130,"0",B1682:B3130,"5 1 1 3 2 12 31111 6 M78 16000*")-SUMIFS(E1682:E3130,K1682:K3130,"0",B1682:B3130,"5 1 1 3 2 12 31111 6 M78 16000*")</f>
        <v>0</v>
      </c>
      <c r="E1681"/>
      <c r="F1681" s="31">
        <f>SUMIFS(F1682:F3130,K1682:K3130,"0",B1682:B3130,"5 1 1 3 2 12 31111 6 M78 16000*")</f>
        <v>77645.69</v>
      </c>
      <c r="G1681" s="31">
        <f>SUMIFS(G1682:G3130,K1682:K3130,"0",B1682:B3130,"5 1 1 3 2 12 31111 6 M78 16000*")</f>
        <v>0</v>
      </c>
      <c r="H1681" s="31">
        <f t="shared" si="27"/>
        <v>77645.69</v>
      </c>
      <c r="I1681" s="31"/>
      <c r="K1681" t="s">
        <v>13</v>
      </c>
    </row>
    <row r="1682" spans="2:11" ht="13" x14ac:dyDescent="0.15">
      <c r="B1682" s="29" t="s">
        <v>2314</v>
      </c>
      <c r="C1682" s="29" t="s">
        <v>2017</v>
      </c>
      <c r="D1682" s="31">
        <f>SUMIFS(D1683:D3130,K1683:K3130,"0",B1683:B3130,"5 1 1 3 2 12 31111 6 M78 16000 173*")-SUMIFS(E1683:E3130,K1683:K3130,"0",B1683:B3130,"5 1 1 3 2 12 31111 6 M78 16000 173*")</f>
        <v>0</v>
      </c>
      <c r="E1682"/>
      <c r="F1682" s="31">
        <f>SUMIFS(F1683:F3130,K1683:K3130,"0",B1683:B3130,"5 1 1 3 2 12 31111 6 M78 16000 173*")</f>
        <v>77645.69</v>
      </c>
      <c r="G1682" s="31">
        <f>SUMIFS(G1683:G3130,K1683:K3130,"0",B1683:B3130,"5 1 1 3 2 12 31111 6 M78 16000 173*")</f>
        <v>0</v>
      </c>
      <c r="H1682" s="31">
        <f t="shared" si="27"/>
        <v>77645.69</v>
      </c>
      <c r="I1682" s="31"/>
      <c r="K1682" t="s">
        <v>13</v>
      </c>
    </row>
    <row r="1683" spans="2:11" ht="13" x14ac:dyDescent="0.15">
      <c r="B1683" s="29" t="s">
        <v>2315</v>
      </c>
      <c r="C1683" s="29" t="s">
        <v>285</v>
      </c>
      <c r="D1683" s="31">
        <f>SUMIFS(D1684:D3130,K1684:K3130,"0",B1684:B3130,"5 1 1 3 2 12 31111 6 M78 16000 173 00I*")-SUMIFS(E1684:E3130,K1684:K3130,"0",B1684:B3130,"5 1 1 3 2 12 31111 6 M78 16000 173 00I*")</f>
        <v>0</v>
      </c>
      <c r="E1683"/>
      <c r="F1683" s="31">
        <f>SUMIFS(F1684:F3130,K1684:K3130,"0",B1684:B3130,"5 1 1 3 2 12 31111 6 M78 16000 173 00I*")</f>
        <v>77645.69</v>
      </c>
      <c r="G1683" s="31">
        <f>SUMIFS(G1684:G3130,K1684:K3130,"0",B1684:B3130,"5 1 1 3 2 12 31111 6 M78 16000 173 00I*")</f>
        <v>0</v>
      </c>
      <c r="H1683" s="31">
        <f t="shared" si="27"/>
        <v>77645.69</v>
      </c>
      <c r="I1683" s="31"/>
      <c r="K1683" t="s">
        <v>13</v>
      </c>
    </row>
    <row r="1684" spans="2:11" ht="13" x14ac:dyDescent="0.15">
      <c r="B1684" s="29" t="s">
        <v>2316</v>
      </c>
      <c r="C1684" s="29" t="s">
        <v>32</v>
      </c>
      <c r="D1684" s="31">
        <f>SUMIFS(D1685:D3130,K1685:K3130,"0",B1685:B3130,"5 1 1 3 2 12 31111 6 M78 16000 173 00I 001*")-SUMIFS(E1685:E3130,K1685:K3130,"0",B1685:B3130,"5 1 1 3 2 12 31111 6 M78 16000 173 00I 001*")</f>
        <v>0</v>
      </c>
      <c r="E1684"/>
      <c r="F1684" s="31">
        <f>SUMIFS(F1685:F3130,K1685:K3130,"0",B1685:B3130,"5 1 1 3 2 12 31111 6 M78 16000 173 00I 001*")</f>
        <v>77645.69</v>
      </c>
      <c r="G1684" s="31">
        <f>SUMIFS(G1685:G3130,K1685:K3130,"0",B1685:B3130,"5 1 1 3 2 12 31111 6 M78 16000 173 00I 001*")</f>
        <v>0</v>
      </c>
      <c r="H1684" s="31">
        <f t="shared" si="27"/>
        <v>77645.69</v>
      </c>
      <c r="I1684" s="31"/>
      <c r="K1684" t="s">
        <v>13</v>
      </c>
    </row>
    <row r="1685" spans="2:11" ht="13" x14ac:dyDescent="0.15">
      <c r="B1685" s="29" t="s">
        <v>2317</v>
      </c>
      <c r="C1685" s="29" t="s">
        <v>2147</v>
      </c>
      <c r="D1685" s="31">
        <f>SUMIFS(D1686:D3130,K1686:K3130,"0",B1686:B3130,"5 1 1 3 2 12 31111 6 M78 16000 173 00I 001 13202*")-SUMIFS(E1686:E3130,K1686:K3130,"0",B1686:B3130,"5 1 1 3 2 12 31111 6 M78 16000 173 00I 001 13202*")</f>
        <v>0</v>
      </c>
      <c r="E1685"/>
      <c r="F1685" s="31">
        <f>SUMIFS(F1686:F3130,K1686:K3130,"0",B1686:B3130,"5 1 1 3 2 12 31111 6 M78 16000 173 00I 001 13202*")</f>
        <v>77645.69</v>
      </c>
      <c r="G1685" s="31">
        <f>SUMIFS(G1686:G3130,K1686:K3130,"0",B1686:B3130,"5 1 1 3 2 12 31111 6 M78 16000 173 00I 001 13202*")</f>
        <v>0</v>
      </c>
      <c r="H1685" s="31">
        <f t="shared" si="27"/>
        <v>77645.69</v>
      </c>
      <c r="I1685" s="31"/>
      <c r="K1685" t="s">
        <v>13</v>
      </c>
    </row>
    <row r="1686" spans="2:11" ht="22" x14ac:dyDescent="0.15">
      <c r="B1686" s="29" t="s">
        <v>2318</v>
      </c>
      <c r="C1686" s="29" t="s">
        <v>290</v>
      </c>
      <c r="D1686" s="31">
        <f>SUMIFS(D1687:D3130,K1687:K3130,"0",B1687:B3130,"5 1 1 3 2 12 31111 6 M78 16000 173 00I 001 13202 025*")-SUMIFS(E1687:E3130,K1687:K3130,"0",B1687:B3130,"5 1 1 3 2 12 31111 6 M78 16000 173 00I 001 13202 025*")</f>
        <v>0</v>
      </c>
      <c r="E1686"/>
      <c r="F1686" s="31">
        <f>SUMIFS(F1687:F3130,K1687:K3130,"0",B1687:B3130,"5 1 1 3 2 12 31111 6 M78 16000 173 00I 001 13202 025*")</f>
        <v>77645.69</v>
      </c>
      <c r="G1686" s="31">
        <f>SUMIFS(G1687:G3130,K1687:K3130,"0",B1687:B3130,"5 1 1 3 2 12 31111 6 M78 16000 173 00I 001 13202 025*")</f>
        <v>0</v>
      </c>
      <c r="H1686" s="31">
        <f t="shared" si="27"/>
        <v>77645.69</v>
      </c>
      <c r="I1686" s="31"/>
      <c r="K1686" t="s">
        <v>13</v>
      </c>
    </row>
    <row r="1687" spans="2:11" ht="22" x14ac:dyDescent="0.15">
      <c r="B1687" s="29" t="s">
        <v>2319</v>
      </c>
      <c r="C1687" s="29" t="s">
        <v>1813</v>
      </c>
      <c r="D1687" s="31">
        <f>SUMIFS(D1688:D3130,K1688:K3130,"0",B1688:B3130,"5 1 1 3 2 12 31111 6 M78 16000 173 00I 001 13202 025 2111100*")-SUMIFS(E1688:E3130,K1688:K3130,"0",B1688:B3130,"5 1 1 3 2 12 31111 6 M78 16000 173 00I 001 13202 025 2111100*")</f>
        <v>0</v>
      </c>
      <c r="E1687"/>
      <c r="F1687" s="31">
        <f>SUMIFS(F1688:F3130,K1688:K3130,"0",B1688:B3130,"5 1 1 3 2 12 31111 6 M78 16000 173 00I 001 13202 025 2111100*")</f>
        <v>77645.69</v>
      </c>
      <c r="G1687" s="31">
        <f>SUMIFS(G1688:G3130,K1688:K3130,"0",B1688:B3130,"5 1 1 3 2 12 31111 6 M78 16000 173 00I 001 13202 025 2111100*")</f>
        <v>0</v>
      </c>
      <c r="H1687" s="31">
        <f t="shared" si="27"/>
        <v>77645.69</v>
      </c>
      <c r="I1687" s="31"/>
      <c r="K1687" t="s">
        <v>13</v>
      </c>
    </row>
    <row r="1688" spans="2:11" ht="22" x14ac:dyDescent="0.15">
      <c r="B1688" s="29" t="s">
        <v>2320</v>
      </c>
      <c r="C1688" s="29" t="s">
        <v>275</v>
      </c>
      <c r="D1688" s="31">
        <f>SUMIFS(D1689:D3130,K1689:K3130,"0",B1689:B3130,"5 1 1 3 2 12 31111 6 M78 16000 173 00I 001 13202 025 2111100 2024*")-SUMIFS(E1689:E3130,K1689:K3130,"0",B1689:B3130,"5 1 1 3 2 12 31111 6 M78 16000 173 00I 001 13202 025 2111100 2024*")</f>
        <v>0</v>
      </c>
      <c r="E1688"/>
      <c r="F1688" s="31">
        <f>SUMIFS(F1689:F3130,K1689:K3130,"0",B1689:B3130,"5 1 1 3 2 12 31111 6 M78 16000 173 00I 001 13202 025 2111100 2024*")</f>
        <v>77645.69</v>
      </c>
      <c r="G1688" s="31">
        <f>SUMIFS(G1689:G3130,K1689:K3130,"0",B1689:B3130,"5 1 1 3 2 12 31111 6 M78 16000 173 00I 001 13202 025 2111100 2024*")</f>
        <v>0</v>
      </c>
      <c r="H1688" s="31">
        <f t="shared" si="27"/>
        <v>77645.69</v>
      </c>
      <c r="I1688" s="31"/>
      <c r="K1688" t="s">
        <v>13</v>
      </c>
    </row>
    <row r="1689" spans="2:11" ht="22" x14ac:dyDescent="0.15">
      <c r="B1689" s="29" t="s">
        <v>2321</v>
      </c>
      <c r="C1689" s="29" t="s">
        <v>277</v>
      </c>
      <c r="D1689" s="31">
        <f>SUMIFS(D1690:D3130,K1690:K3130,"0",B1690:B3130,"5 1 1 3 2 12 31111 6 M78 16000 173 00I 001 13202 025 2111100 2024 00000000*")-SUMIFS(E1690:E3130,K1690:K3130,"0",B1690:B3130,"5 1 1 3 2 12 31111 6 M78 16000 173 00I 001 13202 025 2111100 2024 00000000*")</f>
        <v>0</v>
      </c>
      <c r="E1689"/>
      <c r="F1689" s="31">
        <f>SUMIFS(F1690:F3130,K1690:K3130,"0",B1690:B3130,"5 1 1 3 2 12 31111 6 M78 16000 173 00I 001 13202 025 2111100 2024 00000000*")</f>
        <v>77645.69</v>
      </c>
      <c r="G1689" s="31">
        <f>SUMIFS(G1690:G3130,K1690:K3130,"0",B1690:B3130,"5 1 1 3 2 12 31111 6 M78 16000 173 00I 001 13202 025 2111100 2024 00000000*")</f>
        <v>0</v>
      </c>
      <c r="H1689" s="31">
        <f t="shared" si="27"/>
        <v>77645.69</v>
      </c>
      <c r="I1689" s="31"/>
      <c r="K1689" t="s">
        <v>13</v>
      </c>
    </row>
    <row r="1690" spans="2:11" ht="22" x14ac:dyDescent="0.15">
      <c r="B1690" s="29" t="s">
        <v>2322</v>
      </c>
      <c r="C1690" s="29" t="s">
        <v>581</v>
      </c>
      <c r="D1690" s="31">
        <f>SUMIFS(D1691:D3130,K1691:K3130,"0",B1691:B3130,"5 1 1 3 2 12 31111 6 M78 16000 173 00I 001 13202 025 2111100 2024 00000000 003*")-SUMIFS(E1691:E3130,K1691:K3130,"0",B1691:B3130,"5 1 1 3 2 12 31111 6 M78 16000 173 00I 001 13202 025 2111100 2024 00000000 003*")</f>
        <v>0</v>
      </c>
      <c r="E1690"/>
      <c r="F1690" s="31">
        <f>SUMIFS(F1691:F3130,K1691:K3130,"0",B1691:B3130,"5 1 1 3 2 12 31111 6 M78 16000 173 00I 001 13202 025 2111100 2024 00000000 003*")</f>
        <v>77645.69</v>
      </c>
      <c r="G1690" s="31">
        <f>SUMIFS(G1691:G3130,K1691:K3130,"0",B1691:B3130,"5 1 1 3 2 12 31111 6 M78 16000 173 00I 001 13202 025 2111100 2024 00000000 003*")</f>
        <v>0</v>
      </c>
      <c r="H1690" s="31">
        <f t="shared" si="27"/>
        <v>77645.69</v>
      </c>
      <c r="I1690" s="31"/>
      <c r="K1690" t="s">
        <v>13</v>
      </c>
    </row>
    <row r="1691" spans="2:11" ht="22" x14ac:dyDescent="0.15">
      <c r="B1691" s="29" t="s">
        <v>2323</v>
      </c>
      <c r="C1691" s="29" t="s">
        <v>2027</v>
      </c>
      <c r="D1691" s="31">
        <f>SUMIFS(D1692:D3130,K1692:K3130,"0",B1692:B3130,"5 1 1 3 2 12 31111 6 M78 16000 173 00I 001 13202 025 2111100 2024 00000000 003 001*")-SUMIFS(E1692:E3130,K1692:K3130,"0",B1692:B3130,"5 1 1 3 2 12 31111 6 M78 16000 173 00I 001 13202 025 2111100 2024 00000000 003 001*")</f>
        <v>0</v>
      </c>
      <c r="E1691"/>
      <c r="F1691" s="31">
        <f>SUMIFS(F1692:F3130,K1692:K3130,"0",B1692:B3130,"5 1 1 3 2 12 31111 6 M78 16000 173 00I 001 13202 025 2111100 2024 00000000 003 001*")</f>
        <v>77645.69</v>
      </c>
      <c r="G1691" s="31">
        <f>SUMIFS(G1692:G3130,K1692:K3130,"0",B1692:B3130,"5 1 1 3 2 12 31111 6 M78 16000 173 00I 001 13202 025 2111100 2024 00000000 003 001*")</f>
        <v>0</v>
      </c>
      <c r="H1691" s="31">
        <f t="shared" si="27"/>
        <v>77645.69</v>
      </c>
      <c r="I1691" s="31"/>
      <c r="K1691" t="s">
        <v>13</v>
      </c>
    </row>
    <row r="1692" spans="2:11" ht="22" x14ac:dyDescent="0.15">
      <c r="B1692" s="27" t="s">
        <v>2324</v>
      </c>
      <c r="C1692" s="27" t="s">
        <v>2180</v>
      </c>
      <c r="D1692" s="30">
        <v>0</v>
      </c>
      <c r="E1692" s="30"/>
      <c r="F1692" s="30">
        <v>77645.69</v>
      </c>
      <c r="G1692" s="30">
        <v>0</v>
      </c>
      <c r="H1692" s="30">
        <f t="shared" si="27"/>
        <v>77645.69</v>
      </c>
      <c r="I1692" s="30"/>
      <c r="K1692" t="s">
        <v>37</v>
      </c>
    </row>
    <row r="1693" spans="2:11" ht="13" x14ac:dyDescent="0.15">
      <c r="B1693" s="29" t="s">
        <v>2325</v>
      </c>
      <c r="C1693" s="29" t="s">
        <v>2030</v>
      </c>
      <c r="D1693" s="31">
        <f>SUMIFS(D1694:D3130,K1694:K3130,"0",B1694:B3130,"5 1 1 3 2 12 31111 6 M78 17000*")-SUMIFS(E1694:E3130,K1694:K3130,"0",B1694:B3130,"5 1 1 3 2 12 31111 6 M78 17000*")</f>
        <v>0</v>
      </c>
      <c r="E1693"/>
      <c r="F1693" s="31">
        <f>SUMIFS(F1694:F3130,K1694:K3130,"0",B1694:B3130,"5 1 1 3 2 12 31111 6 M78 17000*")</f>
        <v>140958.64000000001</v>
      </c>
      <c r="G1693" s="31">
        <f>SUMIFS(G1694:G3130,K1694:K3130,"0",B1694:B3130,"5 1 1 3 2 12 31111 6 M78 17000*")</f>
        <v>0</v>
      </c>
      <c r="H1693" s="31">
        <f t="shared" si="27"/>
        <v>140958.64000000001</v>
      </c>
      <c r="I1693" s="31"/>
      <c r="K1693" t="s">
        <v>13</v>
      </c>
    </row>
    <row r="1694" spans="2:11" ht="13" x14ac:dyDescent="0.15">
      <c r="B1694" s="29" t="s">
        <v>2326</v>
      </c>
      <c r="C1694" s="29" t="s">
        <v>2032</v>
      </c>
      <c r="D1694" s="31">
        <f>SUMIFS(D1695:D3130,K1695:K3130,"0",B1695:B3130,"5 1 1 3 2 12 31111 6 M78 17000 172*")-SUMIFS(E1695:E3130,K1695:K3130,"0",B1695:B3130,"5 1 1 3 2 12 31111 6 M78 17000 172*")</f>
        <v>0</v>
      </c>
      <c r="E1694"/>
      <c r="F1694" s="31">
        <f>SUMIFS(F1695:F3130,K1695:K3130,"0",B1695:B3130,"5 1 1 3 2 12 31111 6 M78 17000 172*")</f>
        <v>140958.64000000001</v>
      </c>
      <c r="G1694" s="31">
        <f>SUMIFS(G1695:G3130,K1695:K3130,"0",B1695:B3130,"5 1 1 3 2 12 31111 6 M78 17000 172*")</f>
        <v>0</v>
      </c>
      <c r="H1694" s="31">
        <f t="shared" si="27"/>
        <v>140958.64000000001</v>
      </c>
      <c r="I1694" s="31"/>
      <c r="K1694" t="s">
        <v>13</v>
      </c>
    </row>
    <row r="1695" spans="2:11" ht="13" x14ac:dyDescent="0.15">
      <c r="B1695" s="29" t="s">
        <v>2327</v>
      </c>
      <c r="C1695" s="29" t="s">
        <v>285</v>
      </c>
      <c r="D1695" s="31">
        <f>SUMIFS(D1696:D3130,K1696:K3130,"0",B1696:B3130,"5 1 1 3 2 12 31111 6 M78 17000 172 00I*")-SUMIFS(E1696:E3130,K1696:K3130,"0",B1696:B3130,"5 1 1 3 2 12 31111 6 M78 17000 172 00I*")</f>
        <v>0</v>
      </c>
      <c r="E1695"/>
      <c r="F1695" s="31">
        <f>SUMIFS(F1696:F3130,K1696:K3130,"0",B1696:B3130,"5 1 1 3 2 12 31111 6 M78 17000 172 00I*")</f>
        <v>140958.64000000001</v>
      </c>
      <c r="G1695" s="31">
        <f>SUMIFS(G1696:G3130,K1696:K3130,"0",B1696:B3130,"5 1 1 3 2 12 31111 6 M78 17000 172 00I*")</f>
        <v>0</v>
      </c>
      <c r="H1695" s="31">
        <f t="shared" si="27"/>
        <v>140958.64000000001</v>
      </c>
      <c r="I1695" s="31"/>
      <c r="K1695" t="s">
        <v>13</v>
      </c>
    </row>
    <row r="1696" spans="2:11" ht="13" x14ac:dyDescent="0.15">
      <c r="B1696" s="29" t="s">
        <v>2328</v>
      </c>
      <c r="C1696" s="29" t="s">
        <v>32</v>
      </c>
      <c r="D1696" s="31">
        <f>SUMIFS(D1697:D3130,K1697:K3130,"0",B1697:B3130,"5 1 1 3 2 12 31111 6 M78 17000 172 00I 001*")-SUMIFS(E1697:E3130,K1697:K3130,"0",B1697:B3130,"5 1 1 3 2 12 31111 6 M78 17000 172 00I 001*")</f>
        <v>0</v>
      </c>
      <c r="E1696"/>
      <c r="F1696" s="31">
        <f>SUMIFS(F1697:F3130,K1697:K3130,"0",B1697:B3130,"5 1 1 3 2 12 31111 6 M78 17000 172 00I 001*")</f>
        <v>140958.64000000001</v>
      </c>
      <c r="G1696" s="31">
        <f>SUMIFS(G1697:G3130,K1697:K3130,"0",B1697:B3130,"5 1 1 3 2 12 31111 6 M78 17000 172 00I 001*")</f>
        <v>0</v>
      </c>
      <c r="H1696" s="31">
        <f t="shared" si="27"/>
        <v>140958.64000000001</v>
      </c>
      <c r="I1696" s="31"/>
      <c r="K1696" t="s">
        <v>13</v>
      </c>
    </row>
    <row r="1697" spans="2:11" ht="13" x14ac:dyDescent="0.15">
      <c r="B1697" s="29" t="s">
        <v>2329</v>
      </c>
      <c r="C1697" s="29" t="s">
        <v>2147</v>
      </c>
      <c r="D1697" s="31">
        <f>SUMIFS(D1698:D3130,K1698:K3130,"0",B1698:B3130,"5 1 1 3 2 12 31111 6 M78 17000 172 00I 001 13202*")-SUMIFS(E1698:E3130,K1698:K3130,"0",B1698:B3130,"5 1 1 3 2 12 31111 6 M78 17000 172 00I 001 13202*")</f>
        <v>0</v>
      </c>
      <c r="E1697"/>
      <c r="F1697" s="31">
        <f>SUMIFS(F1698:F3130,K1698:K3130,"0",B1698:B3130,"5 1 1 3 2 12 31111 6 M78 17000 172 00I 001 13202*")</f>
        <v>140958.64000000001</v>
      </c>
      <c r="G1697" s="31">
        <f>SUMIFS(G1698:G3130,K1698:K3130,"0",B1698:B3130,"5 1 1 3 2 12 31111 6 M78 17000 172 00I 001 13202*")</f>
        <v>0</v>
      </c>
      <c r="H1697" s="31">
        <f t="shared" si="27"/>
        <v>140958.64000000001</v>
      </c>
      <c r="I1697" s="31"/>
      <c r="K1697" t="s">
        <v>13</v>
      </c>
    </row>
    <row r="1698" spans="2:11" ht="22" x14ac:dyDescent="0.15">
      <c r="B1698" s="29" t="s">
        <v>2330</v>
      </c>
      <c r="C1698" s="29" t="s">
        <v>290</v>
      </c>
      <c r="D1698" s="31">
        <f>SUMIFS(D1699:D3130,K1699:K3130,"0",B1699:B3130,"5 1 1 3 2 12 31111 6 M78 17000 172 00I 001 13202 025*")-SUMIFS(E1699:E3130,K1699:K3130,"0",B1699:B3130,"5 1 1 3 2 12 31111 6 M78 17000 172 00I 001 13202 025*")</f>
        <v>0</v>
      </c>
      <c r="E1698"/>
      <c r="F1698" s="31">
        <f>SUMIFS(F1699:F3130,K1699:K3130,"0",B1699:B3130,"5 1 1 3 2 12 31111 6 M78 17000 172 00I 001 13202 025*")</f>
        <v>140958.64000000001</v>
      </c>
      <c r="G1698" s="31">
        <f>SUMIFS(G1699:G3130,K1699:K3130,"0",B1699:B3130,"5 1 1 3 2 12 31111 6 M78 17000 172 00I 001 13202 025*")</f>
        <v>0</v>
      </c>
      <c r="H1698" s="31">
        <f t="shared" si="27"/>
        <v>140958.64000000001</v>
      </c>
      <c r="I1698" s="31"/>
      <c r="K1698" t="s">
        <v>13</v>
      </c>
    </row>
    <row r="1699" spans="2:11" ht="22" x14ac:dyDescent="0.15">
      <c r="B1699" s="29" t="s">
        <v>2331</v>
      </c>
      <c r="C1699" s="29" t="s">
        <v>1813</v>
      </c>
      <c r="D1699" s="31">
        <f>SUMIFS(D1700:D3130,K1700:K3130,"0",B1700:B3130,"5 1 1 3 2 12 31111 6 M78 17000 172 00I 001 13202 025 2111100*")-SUMIFS(E1700:E3130,K1700:K3130,"0",B1700:B3130,"5 1 1 3 2 12 31111 6 M78 17000 172 00I 001 13202 025 2111100*")</f>
        <v>0</v>
      </c>
      <c r="E1699"/>
      <c r="F1699" s="31">
        <f>SUMIFS(F1700:F3130,K1700:K3130,"0",B1700:B3130,"5 1 1 3 2 12 31111 6 M78 17000 172 00I 001 13202 025 2111100*")</f>
        <v>140958.64000000001</v>
      </c>
      <c r="G1699" s="31">
        <f>SUMIFS(G1700:G3130,K1700:K3130,"0",B1700:B3130,"5 1 1 3 2 12 31111 6 M78 17000 172 00I 001 13202 025 2111100*")</f>
        <v>0</v>
      </c>
      <c r="H1699" s="31">
        <f t="shared" si="27"/>
        <v>140958.64000000001</v>
      </c>
      <c r="I1699" s="31"/>
      <c r="K1699" t="s">
        <v>13</v>
      </c>
    </row>
    <row r="1700" spans="2:11" ht="22" x14ac:dyDescent="0.15">
      <c r="B1700" s="29" t="s">
        <v>2332</v>
      </c>
      <c r="C1700" s="29" t="s">
        <v>275</v>
      </c>
      <c r="D1700" s="31">
        <f>SUMIFS(D1701:D3130,K1701:K3130,"0",B1701:B3130,"5 1 1 3 2 12 31111 6 M78 17000 172 00I 001 13202 025 2111100 2024*")-SUMIFS(E1701:E3130,K1701:K3130,"0",B1701:B3130,"5 1 1 3 2 12 31111 6 M78 17000 172 00I 001 13202 025 2111100 2024*")</f>
        <v>0</v>
      </c>
      <c r="E1700"/>
      <c r="F1700" s="31">
        <f>SUMIFS(F1701:F3130,K1701:K3130,"0",B1701:B3130,"5 1 1 3 2 12 31111 6 M78 17000 172 00I 001 13202 025 2111100 2024*")</f>
        <v>140958.64000000001</v>
      </c>
      <c r="G1700" s="31">
        <f>SUMIFS(G1701:G3130,K1701:K3130,"0",B1701:B3130,"5 1 1 3 2 12 31111 6 M78 17000 172 00I 001 13202 025 2111100 2024*")</f>
        <v>0</v>
      </c>
      <c r="H1700" s="31">
        <f t="shared" si="27"/>
        <v>140958.64000000001</v>
      </c>
      <c r="I1700" s="31"/>
      <c r="K1700" t="s">
        <v>13</v>
      </c>
    </row>
    <row r="1701" spans="2:11" ht="22" x14ac:dyDescent="0.15">
      <c r="B1701" s="29" t="s">
        <v>2333</v>
      </c>
      <c r="C1701" s="29" t="s">
        <v>277</v>
      </c>
      <c r="D1701" s="31">
        <f>SUMIFS(D1702:D3130,K1702:K3130,"0",B1702:B3130,"5 1 1 3 2 12 31111 6 M78 17000 172 00I 001 13202 025 2111100 2024 00000000*")-SUMIFS(E1702:E3130,K1702:K3130,"0",B1702:B3130,"5 1 1 3 2 12 31111 6 M78 17000 172 00I 001 13202 025 2111100 2024 00000000*")</f>
        <v>0</v>
      </c>
      <c r="E1701"/>
      <c r="F1701" s="31">
        <f>SUMIFS(F1702:F3130,K1702:K3130,"0",B1702:B3130,"5 1 1 3 2 12 31111 6 M78 17000 172 00I 001 13202 025 2111100 2024 00000000*")</f>
        <v>140958.64000000001</v>
      </c>
      <c r="G1701" s="31">
        <f>SUMIFS(G1702:G3130,K1702:K3130,"0",B1702:B3130,"5 1 1 3 2 12 31111 6 M78 17000 172 00I 001 13202 025 2111100 2024 00000000*")</f>
        <v>0</v>
      </c>
      <c r="H1701" s="31">
        <f t="shared" si="27"/>
        <v>140958.64000000001</v>
      </c>
      <c r="I1701" s="31"/>
      <c r="K1701" t="s">
        <v>13</v>
      </c>
    </row>
    <row r="1702" spans="2:11" ht="22" x14ac:dyDescent="0.15">
      <c r="B1702" s="29" t="s">
        <v>2334</v>
      </c>
      <c r="C1702" s="29" t="s">
        <v>581</v>
      </c>
      <c r="D1702" s="31">
        <f>SUMIFS(D1703:D3130,K1703:K3130,"0",B1703:B3130,"5 1 1 3 2 12 31111 6 M78 17000 172 00I 001 13202 025 2111100 2024 00000000 003*")-SUMIFS(E1703:E3130,K1703:K3130,"0",B1703:B3130,"5 1 1 3 2 12 31111 6 M78 17000 172 00I 001 13202 025 2111100 2024 00000000 003*")</f>
        <v>0</v>
      </c>
      <c r="E1702"/>
      <c r="F1702" s="31">
        <f>SUMIFS(F1703:F3130,K1703:K3130,"0",B1703:B3130,"5 1 1 3 2 12 31111 6 M78 17000 172 00I 001 13202 025 2111100 2024 00000000 003*")</f>
        <v>140958.64000000001</v>
      </c>
      <c r="G1702" s="31">
        <f>SUMIFS(G1703:G3130,K1703:K3130,"0",B1703:B3130,"5 1 1 3 2 12 31111 6 M78 17000 172 00I 001 13202 025 2111100 2024 00000000 003*")</f>
        <v>0</v>
      </c>
      <c r="H1702" s="31">
        <f t="shared" si="27"/>
        <v>140958.64000000001</v>
      </c>
      <c r="I1702" s="31"/>
      <c r="K1702" t="s">
        <v>13</v>
      </c>
    </row>
    <row r="1703" spans="2:11" ht="22" x14ac:dyDescent="0.15">
      <c r="B1703" s="29" t="s">
        <v>2335</v>
      </c>
      <c r="C1703" s="29" t="s">
        <v>2042</v>
      </c>
      <c r="D1703" s="31">
        <f>SUMIFS(D1704:D3130,K1704:K3130,"0",B1704:B3130,"5 1 1 3 2 12 31111 6 M78 17000 172 00I 001 13202 025 2111100 2024 00000000 003 001*")-SUMIFS(E1704:E3130,K1704:K3130,"0",B1704:B3130,"5 1 1 3 2 12 31111 6 M78 17000 172 00I 001 13202 025 2111100 2024 00000000 003 001*")</f>
        <v>0</v>
      </c>
      <c r="E1703"/>
      <c r="F1703" s="31">
        <f>SUMIFS(F1704:F3130,K1704:K3130,"0",B1704:B3130,"5 1 1 3 2 12 31111 6 M78 17000 172 00I 001 13202 025 2111100 2024 00000000 003 001*")</f>
        <v>140958.64000000001</v>
      </c>
      <c r="G1703" s="31">
        <f>SUMIFS(G1704:G3130,K1704:K3130,"0",B1704:B3130,"5 1 1 3 2 12 31111 6 M78 17000 172 00I 001 13202 025 2111100 2024 00000000 003 001*")</f>
        <v>0</v>
      </c>
      <c r="H1703" s="31">
        <f t="shared" si="27"/>
        <v>140958.64000000001</v>
      </c>
      <c r="I1703" s="31"/>
      <c r="K1703" t="s">
        <v>13</v>
      </c>
    </row>
    <row r="1704" spans="2:11" ht="22" x14ac:dyDescent="0.15">
      <c r="B1704" s="27" t="s">
        <v>2336</v>
      </c>
      <c r="C1704" s="27" t="s">
        <v>2180</v>
      </c>
      <c r="D1704" s="30">
        <v>0</v>
      </c>
      <c r="E1704" s="30"/>
      <c r="F1704" s="30">
        <v>140958.64000000001</v>
      </c>
      <c r="G1704" s="30">
        <v>0</v>
      </c>
      <c r="H1704" s="30">
        <f t="shared" si="27"/>
        <v>140958.64000000001</v>
      </c>
      <c r="I1704" s="30"/>
      <c r="K1704" t="s">
        <v>37</v>
      </c>
    </row>
    <row r="1705" spans="2:11" ht="13" x14ac:dyDescent="0.15">
      <c r="B1705" s="29" t="s">
        <v>2337</v>
      </c>
      <c r="C1705" s="29" t="s">
        <v>765</v>
      </c>
      <c r="D1705" s="31">
        <f>SUMIFS(D1706:D3130,K1706:K3130,"0",B1706:B3130,"5 1 1 3 2 12 31111 6 M78 19000*")-SUMIFS(E1706:E3130,K1706:K3130,"0",B1706:B3130,"5 1 1 3 2 12 31111 6 M78 19000*")</f>
        <v>0</v>
      </c>
      <c r="E1705"/>
      <c r="F1705" s="31">
        <f>SUMIFS(F1706:F3130,K1706:K3130,"0",B1706:B3130,"5 1 1 3 2 12 31111 6 M78 19000*")</f>
        <v>31944.05</v>
      </c>
      <c r="G1705" s="31">
        <f>SUMIFS(G1706:G3130,K1706:K3130,"0",B1706:B3130,"5 1 1 3 2 12 31111 6 M78 19000*")</f>
        <v>0</v>
      </c>
      <c r="H1705" s="31">
        <f t="shared" si="27"/>
        <v>31944.05</v>
      </c>
      <c r="I1705" s="31"/>
      <c r="K1705" t="s">
        <v>13</v>
      </c>
    </row>
    <row r="1706" spans="2:11" ht="13" x14ac:dyDescent="0.15">
      <c r="B1706" s="29" t="s">
        <v>2338</v>
      </c>
      <c r="C1706" s="29" t="s">
        <v>2046</v>
      </c>
      <c r="D1706" s="31">
        <f>SUMIFS(D1707:D3130,K1707:K3130,"0",B1707:B3130,"5 1 1 3 2 12 31111 6 M78 19000 321*")-SUMIFS(E1707:E3130,K1707:K3130,"0",B1707:B3130,"5 1 1 3 2 12 31111 6 M78 19000 321*")</f>
        <v>0</v>
      </c>
      <c r="E1706"/>
      <c r="F1706" s="31">
        <f>SUMIFS(F1707:F3130,K1707:K3130,"0",B1707:B3130,"5 1 1 3 2 12 31111 6 M78 19000 321*")</f>
        <v>31944.05</v>
      </c>
      <c r="G1706" s="31">
        <f>SUMIFS(G1707:G3130,K1707:K3130,"0",B1707:B3130,"5 1 1 3 2 12 31111 6 M78 19000 321*")</f>
        <v>0</v>
      </c>
      <c r="H1706" s="31">
        <f t="shared" si="27"/>
        <v>31944.05</v>
      </c>
      <c r="I1706" s="31"/>
      <c r="K1706" t="s">
        <v>13</v>
      </c>
    </row>
    <row r="1707" spans="2:11" ht="13" x14ac:dyDescent="0.15">
      <c r="B1707" s="29" t="s">
        <v>2339</v>
      </c>
      <c r="C1707" s="29" t="s">
        <v>265</v>
      </c>
      <c r="D1707" s="31">
        <f>SUMIFS(D1708:D3130,K1708:K3130,"0",B1708:B3130,"5 1 1 3 2 12 31111 6 M78 19000 321 00C*")-SUMIFS(E1708:E3130,K1708:K3130,"0",B1708:B3130,"5 1 1 3 2 12 31111 6 M78 19000 321 00C*")</f>
        <v>0</v>
      </c>
      <c r="E1707"/>
      <c r="F1707" s="31">
        <f>SUMIFS(F1708:F3130,K1708:K3130,"0",B1708:B3130,"5 1 1 3 2 12 31111 6 M78 19000 321 00C*")</f>
        <v>31944.05</v>
      </c>
      <c r="G1707" s="31">
        <f>SUMIFS(G1708:G3130,K1708:K3130,"0",B1708:B3130,"5 1 1 3 2 12 31111 6 M78 19000 321 00C*")</f>
        <v>0</v>
      </c>
      <c r="H1707" s="31">
        <f t="shared" si="27"/>
        <v>31944.05</v>
      </c>
      <c r="I1707" s="31"/>
      <c r="K1707" t="s">
        <v>13</v>
      </c>
    </row>
    <row r="1708" spans="2:11" ht="13" x14ac:dyDescent="0.15">
      <c r="B1708" s="29" t="s">
        <v>2340</v>
      </c>
      <c r="C1708" s="29" t="s">
        <v>32</v>
      </c>
      <c r="D1708" s="31">
        <f>SUMIFS(D1709:D3130,K1709:K3130,"0",B1709:B3130,"5 1 1 3 2 12 31111 6 M78 19000 321 00C 001*")-SUMIFS(E1709:E3130,K1709:K3130,"0",B1709:B3130,"5 1 1 3 2 12 31111 6 M78 19000 321 00C 001*")</f>
        <v>0</v>
      </c>
      <c r="E1708"/>
      <c r="F1708" s="31">
        <f>SUMIFS(F1709:F3130,K1709:K3130,"0",B1709:B3130,"5 1 1 3 2 12 31111 6 M78 19000 321 00C 001*")</f>
        <v>31944.05</v>
      </c>
      <c r="G1708" s="31">
        <f>SUMIFS(G1709:G3130,K1709:K3130,"0",B1709:B3130,"5 1 1 3 2 12 31111 6 M78 19000 321 00C 001*")</f>
        <v>0</v>
      </c>
      <c r="H1708" s="31">
        <f t="shared" si="27"/>
        <v>31944.05</v>
      </c>
      <c r="I1708" s="31"/>
      <c r="K1708" t="s">
        <v>13</v>
      </c>
    </row>
    <row r="1709" spans="2:11" ht="13" x14ac:dyDescent="0.15">
      <c r="B1709" s="29" t="s">
        <v>2341</v>
      </c>
      <c r="C1709" s="29" t="s">
        <v>2147</v>
      </c>
      <c r="D1709" s="31">
        <f>SUMIFS(D1710:D3130,K1710:K3130,"0",B1710:B3130,"5 1 1 3 2 12 31111 6 M78 19000 321 00C 001 13202*")-SUMIFS(E1710:E3130,K1710:K3130,"0",B1710:B3130,"5 1 1 3 2 12 31111 6 M78 19000 321 00C 001 13202*")</f>
        <v>0</v>
      </c>
      <c r="E1709"/>
      <c r="F1709" s="31">
        <f>SUMIFS(F1710:F3130,K1710:K3130,"0",B1710:B3130,"5 1 1 3 2 12 31111 6 M78 19000 321 00C 001 13202*")</f>
        <v>31944.05</v>
      </c>
      <c r="G1709" s="31">
        <f>SUMIFS(G1710:G3130,K1710:K3130,"0",B1710:B3130,"5 1 1 3 2 12 31111 6 M78 19000 321 00C 001 13202*")</f>
        <v>0</v>
      </c>
      <c r="H1709" s="31">
        <f t="shared" si="27"/>
        <v>31944.05</v>
      </c>
      <c r="I1709" s="31"/>
      <c r="K1709" t="s">
        <v>13</v>
      </c>
    </row>
    <row r="1710" spans="2:11" ht="22" x14ac:dyDescent="0.15">
      <c r="B1710" s="29" t="s">
        <v>2342</v>
      </c>
      <c r="C1710" s="29" t="s">
        <v>271</v>
      </c>
      <c r="D1710" s="31">
        <f>SUMIFS(D1711:D3130,K1711:K3130,"0",B1711:B3130,"5 1 1 3 2 12 31111 6 M78 19000 321 00C 001 13202 015*")-SUMIFS(E1711:E3130,K1711:K3130,"0",B1711:B3130,"5 1 1 3 2 12 31111 6 M78 19000 321 00C 001 13202 015*")</f>
        <v>0</v>
      </c>
      <c r="E1710"/>
      <c r="F1710" s="31">
        <f>SUMIFS(F1711:F3130,K1711:K3130,"0",B1711:B3130,"5 1 1 3 2 12 31111 6 M78 19000 321 00C 001 13202 015*")</f>
        <v>31944.05</v>
      </c>
      <c r="G1710" s="31">
        <f>SUMIFS(G1711:G3130,K1711:K3130,"0",B1711:B3130,"5 1 1 3 2 12 31111 6 M78 19000 321 00C 001 13202 015*")</f>
        <v>0</v>
      </c>
      <c r="H1710" s="31">
        <f t="shared" si="27"/>
        <v>31944.05</v>
      </c>
      <c r="I1710" s="31"/>
      <c r="K1710" t="s">
        <v>13</v>
      </c>
    </row>
    <row r="1711" spans="2:11" ht="22" x14ac:dyDescent="0.15">
      <c r="B1711" s="29" t="s">
        <v>2343</v>
      </c>
      <c r="C1711" s="29" t="s">
        <v>1813</v>
      </c>
      <c r="D1711" s="31">
        <f>SUMIFS(D1712:D3130,K1712:K3130,"0",B1712:B3130,"5 1 1 3 2 12 31111 6 M78 19000 321 00C 001 13202 015 2111100*")-SUMIFS(E1712:E3130,K1712:K3130,"0",B1712:B3130,"5 1 1 3 2 12 31111 6 M78 19000 321 00C 001 13202 015 2111100*")</f>
        <v>0</v>
      </c>
      <c r="E1711"/>
      <c r="F1711" s="31">
        <f>SUMIFS(F1712:F3130,K1712:K3130,"0",B1712:B3130,"5 1 1 3 2 12 31111 6 M78 19000 321 00C 001 13202 015 2111100*")</f>
        <v>31944.05</v>
      </c>
      <c r="G1711" s="31">
        <f>SUMIFS(G1712:G3130,K1712:K3130,"0",B1712:B3130,"5 1 1 3 2 12 31111 6 M78 19000 321 00C 001 13202 015 2111100*")</f>
        <v>0</v>
      </c>
      <c r="H1711" s="31">
        <f t="shared" si="27"/>
        <v>31944.05</v>
      </c>
      <c r="I1711" s="31"/>
      <c r="K1711" t="s">
        <v>13</v>
      </c>
    </row>
    <row r="1712" spans="2:11" ht="22" x14ac:dyDescent="0.15">
      <c r="B1712" s="29" t="s">
        <v>2344</v>
      </c>
      <c r="C1712" s="29" t="s">
        <v>275</v>
      </c>
      <c r="D1712" s="31">
        <f>SUMIFS(D1713:D3130,K1713:K3130,"0",B1713:B3130,"5 1 1 3 2 12 31111 6 M78 19000 321 00C 001 13202 015 2111100 2024*")-SUMIFS(E1713:E3130,K1713:K3130,"0",B1713:B3130,"5 1 1 3 2 12 31111 6 M78 19000 321 00C 001 13202 015 2111100 2024*")</f>
        <v>0</v>
      </c>
      <c r="E1712"/>
      <c r="F1712" s="31">
        <f>SUMIFS(F1713:F3130,K1713:K3130,"0",B1713:B3130,"5 1 1 3 2 12 31111 6 M78 19000 321 00C 001 13202 015 2111100 2024*")</f>
        <v>31944.05</v>
      </c>
      <c r="G1712" s="31">
        <f>SUMIFS(G1713:G3130,K1713:K3130,"0",B1713:B3130,"5 1 1 3 2 12 31111 6 M78 19000 321 00C 001 13202 015 2111100 2024*")</f>
        <v>0</v>
      </c>
      <c r="H1712" s="31">
        <f t="shared" si="27"/>
        <v>31944.05</v>
      </c>
      <c r="I1712" s="31"/>
      <c r="K1712" t="s">
        <v>13</v>
      </c>
    </row>
    <row r="1713" spans="2:11" ht="22" x14ac:dyDescent="0.15">
      <c r="B1713" s="29" t="s">
        <v>2345</v>
      </c>
      <c r="C1713" s="29" t="s">
        <v>277</v>
      </c>
      <c r="D1713" s="31">
        <f>SUMIFS(D1714:D3130,K1714:K3130,"0",B1714:B3130,"5 1 1 3 2 12 31111 6 M78 19000 321 00C 001 13202 015 2111100 2024 00000000*")-SUMIFS(E1714:E3130,K1714:K3130,"0",B1714:B3130,"5 1 1 3 2 12 31111 6 M78 19000 321 00C 001 13202 015 2111100 2024 00000000*")</f>
        <v>0</v>
      </c>
      <c r="E1713"/>
      <c r="F1713" s="31">
        <f>SUMIFS(F1714:F3130,K1714:K3130,"0",B1714:B3130,"5 1 1 3 2 12 31111 6 M78 19000 321 00C 001 13202 015 2111100 2024 00000000*")</f>
        <v>31944.05</v>
      </c>
      <c r="G1713" s="31">
        <f>SUMIFS(G1714:G3130,K1714:K3130,"0",B1714:B3130,"5 1 1 3 2 12 31111 6 M78 19000 321 00C 001 13202 015 2111100 2024 00000000*")</f>
        <v>0</v>
      </c>
      <c r="H1713" s="31">
        <f t="shared" si="27"/>
        <v>31944.05</v>
      </c>
      <c r="I1713" s="31"/>
      <c r="K1713" t="s">
        <v>13</v>
      </c>
    </row>
    <row r="1714" spans="2:11" ht="22" x14ac:dyDescent="0.15">
      <c r="B1714" s="29" t="s">
        <v>2346</v>
      </c>
      <c r="C1714" s="29" t="s">
        <v>32</v>
      </c>
      <c r="D1714" s="31">
        <f>SUMIFS(D1715:D3130,K1715:K3130,"0",B1715:B3130,"5 1 1 3 2 12 31111 6 M78 19000 321 00C 001 13202 015 2111100 2024 00000000 001*")-SUMIFS(E1715:E3130,K1715:K3130,"0",B1715:B3130,"5 1 1 3 2 12 31111 6 M78 19000 321 00C 001 13202 015 2111100 2024 00000000 001*")</f>
        <v>0</v>
      </c>
      <c r="E1714"/>
      <c r="F1714" s="31">
        <f>SUMIFS(F1715:F3130,K1715:K3130,"0",B1715:B3130,"5 1 1 3 2 12 31111 6 M78 19000 321 00C 001 13202 015 2111100 2024 00000000 001*")</f>
        <v>31944.05</v>
      </c>
      <c r="G1714" s="31">
        <f>SUMIFS(G1715:G3130,K1715:K3130,"0",B1715:B3130,"5 1 1 3 2 12 31111 6 M78 19000 321 00C 001 13202 015 2111100 2024 00000000 001*")</f>
        <v>0</v>
      </c>
      <c r="H1714" s="31">
        <f t="shared" si="27"/>
        <v>31944.05</v>
      </c>
      <c r="I1714" s="31"/>
      <c r="K1714" t="s">
        <v>13</v>
      </c>
    </row>
    <row r="1715" spans="2:11" ht="22" x14ac:dyDescent="0.15">
      <c r="B1715" s="29" t="s">
        <v>2347</v>
      </c>
      <c r="C1715" s="29" t="s">
        <v>2056</v>
      </c>
      <c r="D1715" s="31">
        <f>SUMIFS(D1716:D3130,K1716:K3130,"0",B1716:B3130,"5 1 1 3 2 12 31111 6 M78 19000 321 00C 001 13202 015 2111100 2024 00000000 001 001*")-SUMIFS(E1716:E3130,K1716:K3130,"0",B1716:B3130,"5 1 1 3 2 12 31111 6 M78 19000 321 00C 001 13202 015 2111100 2024 00000000 001 001*")</f>
        <v>0</v>
      </c>
      <c r="E1715"/>
      <c r="F1715" s="31">
        <f>SUMIFS(F1716:F3130,K1716:K3130,"0",B1716:B3130,"5 1 1 3 2 12 31111 6 M78 19000 321 00C 001 13202 015 2111100 2024 00000000 001 001*")</f>
        <v>31944.05</v>
      </c>
      <c r="G1715" s="31">
        <f>SUMIFS(G1716:G3130,K1716:K3130,"0",B1716:B3130,"5 1 1 3 2 12 31111 6 M78 19000 321 00C 001 13202 015 2111100 2024 00000000 001 001*")</f>
        <v>0</v>
      </c>
      <c r="H1715" s="31">
        <f t="shared" si="27"/>
        <v>31944.05</v>
      </c>
      <c r="I1715" s="31"/>
      <c r="K1715" t="s">
        <v>13</v>
      </c>
    </row>
    <row r="1716" spans="2:11" ht="22" x14ac:dyDescent="0.15">
      <c r="B1716" s="27" t="s">
        <v>2348</v>
      </c>
      <c r="C1716" s="27" t="s">
        <v>2155</v>
      </c>
      <c r="D1716" s="30">
        <v>0</v>
      </c>
      <c r="E1716" s="30"/>
      <c r="F1716" s="30">
        <v>31944.05</v>
      </c>
      <c r="G1716" s="30">
        <v>0</v>
      </c>
      <c r="H1716" s="30">
        <f t="shared" si="27"/>
        <v>31944.05</v>
      </c>
      <c r="I1716" s="30"/>
      <c r="K1716" t="s">
        <v>37</v>
      </c>
    </row>
    <row r="1717" spans="2:11" ht="13" x14ac:dyDescent="0.15">
      <c r="B1717" s="29" t="s">
        <v>2349</v>
      </c>
      <c r="C1717" s="29" t="s">
        <v>2059</v>
      </c>
      <c r="D1717" s="31">
        <f>SUMIFS(D1718:D3130,K1718:K3130,"0",B1718:B3130,"5 1 1 3 2 12 31111 6 M78 20000*")-SUMIFS(E1718:E3130,K1718:K3130,"0",B1718:B3130,"5 1 1 3 2 12 31111 6 M78 20000*")</f>
        <v>0</v>
      </c>
      <c r="E1717"/>
      <c r="F1717" s="31">
        <f>SUMIFS(F1718:F3130,K1718:K3130,"0",B1718:B3130,"5 1 1 3 2 12 31111 6 M78 20000*")</f>
        <v>32147.19</v>
      </c>
      <c r="G1717" s="31">
        <f>SUMIFS(G1718:G3130,K1718:K3130,"0",B1718:B3130,"5 1 1 3 2 12 31111 6 M78 20000*")</f>
        <v>0</v>
      </c>
      <c r="H1717" s="31">
        <f t="shared" si="27"/>
        <v>32147.19</v>
      </c>
      <c r="I1717" s="31"/>
      <c r="K1717" t="s">
        <v>13</v>
      </c>
    </row>
    <row r="1718" spans="2:11" ht="13" x14ac:dyDescent="0.15">
      <c r="B1718" s="29" t="s">
        <v>2350</v>
      </c>
      <c r="C1718" s="29" t="s">
        <v>2061</v>
      </c>
      <c r="D1718" s="31">
        <f>SUMIFS(D1719:D3130,K1719:K3130,"0",B1719:B3130,"5 1 1 3 2 12 31111 6 M78 20000 181*")-SUMIFS(E1719:E3130,K1719:K3130,"0",B1719:B3130,"5 1 1 3 2 12 31111 6 M78 20000 181*")</f>
        <v>0</v>
      </c>
      <c r="E1718"/>
      <c r="F1718" s="31">
        <f>SUMIFS(F1719:F3130,K1719:K3130,"0",B1719:B3130,"5 1 1 3 2 12 31111 6 M78 20000 181*")</f>
        <v>32147.19</v>
      </c>
      <c r="G1718" s="31">
        <f>SUMIFS(G1719:G3130,K1719:K3130,"0",B1719:B3130,"5 1 1 3 2 12 31111 6 M78 20000 181*")</f>
        <v>0</v>
      </c>
      <c r="H1718" s="31">
        <f t="shared" si="27"/>
        <v>32147.19</v>
      </c>
      <c r="I1718" s="31"/>
      <c r="K1718" t="s">
        <v>13</v>
      </c>
    </row>
    <row r="1719" spans="2:11" ht="13" x14ac:dyDescent="0.15">
      <c r="B1719" s="29" t="s">
        <v>2351</v>
      </c>
      <c r="C1719" s="29" t="s">
        <v>265</v>
      </c>
      <c r="D1719" s="31">
        <f>SUMIFS(D1720:D3130,K1720:K3130,"0",B1720:B3130,"5 1 1 3 2 12 31111 6 M78 20000 181 00C*")-SUMIFS(E1720:E3130,K1720:K3130,"0",B1720:B3130,"5 1 1 3 2 12 31111 6 M78 20000 181 00C*")</f>
        <v>0</v>
      </c>
      <c r="E1719"/>
      <c r="F1719" s="31">
        <f>SUMIFS(F1720:F3130,K1720:K3130,"0",B1720:B3130,"5 1 1 3 2 12 31111 6 M78 20000 181 00C*")</f>
        <v>32147.19</v>
      </c>
      <c r="G1719" s="31">
        <f>SUMIFS(G1720:G3130,K1720:K3130,"0",B1720:B3130,"5 1 1 3 2 12 31111 6 M78 20000 181 00C*")</f>
        <v>0</v>
      </c>
      <c r="H1719" s="31">
        <f t="shared" si="27"/>
        <v>32147.19</v>
      </c>
      <c r="I1719" s="31"/>
      <c r="K1719" t="s">
        <v>13</v>
      </c>
    </row>
    <row r="1720" spans="2:11" ht="13" x14ac:dyDescent="0.15">
      <c r="B1720" s="29" t="s">
        <v>2352</v>
      </c>
      <c r="C1720" s="29" t="s">
        <v>32</v>
      </c>
      <c r="D1720" s="31">
        <f>SUMIFS(D1721:D3130,K1721:K3130,"0",B1721:B3130,"5 1 1 3 2 12 31111 6 M78 20000 181 00C 001*")-SUMIFS(E1721:E3130,K1721:K3130,"0",B1721:B3130,"5 1 1 3 2 12 31111 6 M78 20000 181 00C 001*")</f>
        <v>0</v>
      </c>
      <c r="E1720"/>
      <c r="F1720" s="31">
        <f>SUMIFS(F1721:F3130,K1721:K3130,"0",B1721:B3130,"5 1 1 3 2 12 31111 6 M78 20000 181 00C 001*")</f>
        <v>32147.19</v>
      </c>
      <c r="G1720" s="31">
        <f>SUMIFS(G1721:G3130,K1721:K3130,"0",B1721:B3130,"5 1 1 3 2 12 31111 6 M78 20000 181 00C 001*")</f>
        <v>0</v>
      </c>
      <c r="H1720" s="31">
        <f t="shared" si="27"/>
        <v>32147.19</v>
      </c>
      <c r="I1720" s="31"/>
      <c r="K1720" t="s">
        <v>13</v>
      </c>
    </row>
    <row r="1721" spans="2:11" ht="13" x14ac:dyDescent="0.15">
      <c r="B1721" s="29" t="s">
        <v>2353</v>
      </c>
      <c r="C1721" s="29" t="s">
        <v>2147</v>
      </c>
      <c r="D1721" s="31">
        <f>SUMIFS(D1722:D3130,K1722:K3130,"0",B1722:B3130,"5 1 1 3 2 12 31111 6 M78 20000 181 00C 001 13202*")-SUMIFS(E1722:E3130,K1722:K3130,"0",B1722:B3130,"5 1 1 3 2 12 31111 6 M78 20000 181 00C 001 13202*")</f>
        <v>0</v>
      </c>
      <c r="E1721"/>
      <c r="F1721" s="31">
        <f>SUMIFS(F1722:F3130,K1722:K3130,"0",B1722:B3130,"5 1 1 3 2 12 31111 6 M78 20000 181 00C 001 13202*")</f>
        <v>32147.19</v>
      </c>
      <c r="G1721" s="31">
        <f>SUMIFS(G1722:G3130,K1722:K3130,"0",B1722:B3130,"5 1 1 3 2 12 31111 6 M78 20000 181 00C 001 13202*")</f>
        <v>0</v>
      </c>
      <c r="H1721" s="31">
        <f t="shared" si="27"/>
        <v>32147.19</v>
      </c>
      <c r="I1721" s="31"/>
      <c r="K1721" t="s">
        <v>13</v>
      </c>
    </row>
    <row r="1722" spans="2:11" ht="22" x14ac:dyDescent="0.15">
      <c r="B1722" s="29" t="s">
        <v>2354</v>
      </c>
      <c r="C1722" s="29" t="s">
        <v>271</v>
      </c>
      <c r="D1722" s="31">
        <f>SUMIFS(D1723:D3130,K1723:K3130,"0",B1723:B3130,"5 1 1 3 2 12 31111 6 M78 20000 181 00C 001 13202 015*")-SUMIFS(E1723:E3130,K1723:K3130,"0",B1723:B3130,"5 1 1 3 2 12 31111 6 M78 20000 181 00C 001 13202 015*")</f>
        <v>0</v>
      </c>
      <c r="E1722"/>
      <c r="F1722" s="31">
        <f>SUMIFS(F1723:F3130,K1723:K3130,"0",B1723:B3130,"5 1 1 3 2 12 31111 6 M78 20000 181 00C 001 13202 015*")</f>
        <v>32147.19</v>
      </c>
      <c r="G1722" s="31">
        <f>SUMIFS(G1723:G3130,K1723:K3130,"0",B1723:B3130,"5 1 1 3 2 12 31111 6 M78 20000 181 00C 001 13202 015*")</f>
        <v>0</v>
      </c>
      <c r="H1722" s="31">
        <f t="shared" si="27"/>
        <v>32147.19</v>
      </c>
      <c r="I1722" s="31"/>
      <c r="K1722" t="s">
        <v>13</v>
      </c>
    </row>
    <row r="1723" spans="2:11" ht="22" x14ac:dyDescent="0.15">
      <c r="B1723" s="29" t="s">
        <v>2355</v>
      </c>
      <c r="C1723" s="29" t="s">
        <v>1813</v>
      </c>
      <c r="D1723" s="31">
        <f>SUMIFS(D1724:D3130,K1724:K3130,"0",B1724:B3130,"5 1 1 3 2 12 31111 6 M78 20000 181 00C 001 13202 015 2111100*")-SUMIFS(E1724:E3130,K1724:K3130,"0",B1724:B3130,"5 1 1 3 2 12 31111 6 M78 20000 181 00C 001 13202 015 2111100*")</f>
        <v>0</v>
      </c>
      <c r="E1723"/>
      <c r="F1723" s="31">
        <f>SUMIFS(F1724:F3130,K1724:K3130,"0",B1724:B3130,"5 1 1 3 2 12 31111 6 M78 20000 181 00C 001 13202 015 2111100*")</f>
        <v>32147.19</v>
      </c>
      <c r="G1723" s="31">
        <f>SUMIFS(G1724:G3130,K1724:K3130,"0",B1724:B3130,"5 1 1 3 2 12 31111 6 M78 20000 181 00C 001 13202 015 2111100*")</f>
        <v>0</v>
      </c>
      <c r="H1723" s="31">
        <f t="shared" si="27"/>
        <v>32147.19</v>
      </c>
      <c r="I1723" s="31"/>
      <c r="K1723" t="s">
        <v>13</v>
      </c>
    </row>
    <row r="1724" spans="2:11" ht="22" x14ac:dyDescent="0.15">
      <c r="B1724" s="29" t="s">
        <v>2356</v>
      </c>
      <c r="C1724" s="29" t="s">
        <v>275</v>
      </c>
      <c r="D1724" s="31">
        <f>SUMIFS(D1725:D3130,K1725:K3130,"0",B1725:B3130,"5 1 1 3 2 12 31111 6 M78 20000 181 00C 001 13202 015 2111100 2024*")-SUMIFS(E1725:E3130,K1725:K3130,"0",B1725:B3130,"5 1 1 3 2 12 31111 6 M78 20000 181 00C 001 13202 015 2111100 2024*")</f>
        <v>0</v>
      </c>
      <c r="E1724"/>
      <c r="F1724" s="31">
        <f>SUMIFS(F1725:F3130,K1725:K3130,"0",B1725:B3130,"5 1 1 3 2 12 31111 6 M78 20000 181 00C 001 13202 015 2111100 2024*")</f>
        <v>32147.19</v>
      </c>
      <c r="G1724" s="31">
        <f>SUMIFS(G1725:G3130,K1725:K3130,"0",B1725:B3130,"5 1 1 3 2 12 31111 6 M78 20000 181 00C 001 13202 015 2111100 2024*")</f>
        <v>0</v>
      </c>
      <c r="H1724" s="31">
        <f t="shared" si="27"/>
        <v>32147.19</v>
      </c>
      <c r="I1724" s="31"/>
      <c r="K1724" t="s">
        <v>13</v>
      </c>
    </row>
    <row r="1725" spans="2:11" ht="22" x14ac:dyDescent="0.15">
      <c r="B1725" s="29" t="s">
        <v>2357</v>
      </c>
      <c r="C1725" s="29" t="s">
        <v>277</v>
      </c>
      <c r="D1725" s="31">
        <f>SUMIFS(D1726:D3130,K1726:K3130,"0",B1726:B3130,"5 1 1 3 2 12 31111 6 M78 20000 181 00C 001 13202 015 2111100 2024 00000000*")-SUMIFS(E1726:E3130,K1726:K3130,"0",B1726:B3130,"5 1 1 3 2 12 31111 6 M78 20000 181 00C 001 13202 015 2111100 2024 00000000*")</f>
        <v>0</v>
      </c>
      <c r="E1725"/>
      <c r="F1725" s="31">
        <f>SUMIFS(F1726:F3130,K1726:K3130,"0",B1726:B3130,"5 1 1 3 2 12 31111 6 M78 20000 181 00C 001 13202 015 2111100 2024 00000000*")</f>
        <v>32147.19</v>
      </c>
      <c r="G1725" s="31">
        <f>SUMIFS(G1726:G3130,K1726:K3130,"0",B1726:B3130,"5 1 1 3 2 12 31111 6 M78 20000 181 00C 001 13202 015 2111100 2024 00000000*")</f>
        <v>0</v>
      </c>
      <c r="H1725" s="31">
        <f t="shared" si="27"/>
        <v>32147.19</v>
      </c>
      <c r="I1725" s="31"/>
      <c r="K1725" t="s">
        <v>13</v>
      </c>
    </row>
    <row r="1726" spans="2:11" ht="22" x14ac:dyDescent="0.15">
      <c r="B1726" s="29" t="s">
        <v>2358</v>
      </c>
      <c r="C1726" s="29" t="s">
        <v>32</v>
      </c>
      <c r="D1726" s="31">
        <f>SUMIFS(D1727:D3130,K1727:K3130,"0",B1727:B3130,"5 1 1 3 2 12 31111 6 M78 20000 181 00C 001 13202 015 2111100 2024 00000000 001*")-SUMIFS(E1727:E3130,K1727:K3130,"0",B1727:B3130,"5 1 1 3 2 12 31111 6 M78 20000 181 00C 001 13202 015 2111100 2024 00000000 001*")</f>
        <v>0</v>
      </c>
      <c r="E1726"/>
      <c r="F1726" s="31">
        <f>SUMIFS(F1727:F3130,K1727:K3130,"0",B1727:B3130,"5 1 1 3 2 12 31111 6 M78 20000 181 00C 001 13202 015 2111100 2024 00000000 001*")</f>
        <v>32147.19</v>
      </c>
      <c r="G1726" s="31">
        <f>SUMIFS(G1727:G3130,K1727:K3130,"0",B1727:B3130,"5 1 1 3 2 12 31111 6 M78 20000 181 00C 001 13202 015 2111100 2024 00000000 001*")</f>
        <v>0</v>
      </c>
      <c r="H1726" s="31">
        <f t="shared" si="27"/>
        <v>32147.19</v>
      </c>
      <c r="I1726" s="31"/>
      <c r="K1726" t="s">
        <v>13</v>
      </c>
    </row>
    <row r="1727" spans="2:11" ht="22" x14ac:dyDescent="0.15">
      <c r="B1727" s="29" t="s">
        <v>2359</v>
      </c>
      <c r="C1727" s="29" t="s">
        <v>2071</v>
      </c>
      <c r="D1727" s="31">
        <f>SUMIFS(D1728:D3130,K1728:K3130,"0",B1728:B3130,"5 1 1 3 2 12 31111 6 M78 20000 181 00C 001 13202 015 2111100 2024 00000000 001 001*")-SUMIFS(E1728:E3130,K1728:K3130,"0",B1728:B3130,"5 1 1 3 2 12 31111 6 M78 20000 181 00C 001 13202 015 2111100 2024 00000000 001 001*")</f>
        <v>0</v>
      </c>
      <c r="E1727"/>
      <c r="F1727" s="31">
        <f>SUMIFS(F1728:F3130,K1728:K3130,"0",B1728:B3130,"5 1 1 3 2 12 31111 6 M78 20000 181 00C 001 13202 015 2111100 2024 00000000 001 001*")</f>
        <v>32147.19</v>
      </c>
      <c r="G1727" s="31">
        <f>SUMIFS(G1728:G3130,K1728:K3130,"0",B1728:B3130,"5 1 1 3 2 12 31111 6 M78 20000 181 00C 001 13202 015 2111100 2024 00000000 001 001*")</f>
        <v>0</v>
      </c>
      <c r="H1727" s="31">
        <f t="shared" si="27"/>
        <v>32147.19</v>
      </c>
      <c r="I1727" s="31"/>
      <c r="K1727" t="s">
        <v>13</v>
      </c>
    </row>
    <row r="1728" spans="2:11" ht="22" x14ac:dyDescent="0.15">
      <c r="B1728" s="27" t="s">
        <v>2360</v>
      </c>
      <c r="C1728" s="27" t="s">
        <v>2155</v>
      </c>
      <c r="D1728" s="30">
        <v>0</v>
      </c>
      <c r="E1728" s="30"/>
      <c r="F1728" s="30">
        <v>32147.19</v>
      </c>
      <c r="G1728" s="30">
        <v>0</v>
      </c>
      <c r="H1728" s="30">
        <f t="shared" si="27"/>
        <v>32147.19</v>
      </c>
      <c r="I1728" s="30"/>
      <c r="K1728" t="s">
        <v>37</v>
      </c>
    </row>
    <row r="1729" spans="2:11" ht="13" x14ac:dyDescent="0.15">
      <c r="B1729" s="29" t="s">
        <v>2361</v>
      </c>
      <c r="C1729" s="29" t="s">
        <v>2074</v>
      </c>
      <c r="D1729" s="31">
        <f>SUMIFS(D1730:D3130,K1730:K3130,"0",B1730:B3130,"5 1 1 3 2 12 31111 6 M78 21000*")-SUMIFS(E1730:E3130,K1730:K3130,"0",B1730:B3130,"5 1 1 3 2 12 31111 6 M78 21000*")</f>
        <v>0</v>
      </c>
      <c r="E1729"/>
      <c r="F1729" s="31">
        <f>SUMIFS(F1730:F3130,K1730:K3130,"0",B1730:B3130,"5 1 1 3 2 12 31111 6 M78 21000*")</f>
        <v>18821.330000000002</v>
      </c>
      <c r="G1729" s="31">
        <f>SUMIFS(G1730:G3130,K1730:K3130,"0",B1730:B3130,"5 1 1 3 2 12 31111 6 M78 21000*")</f>
        <v>0</v>
      </c>
      <c r="H1729" s="31">
        <f t="shared" si="27"/>
        <v>18821.330000000002</v>
      </c>
      <c r="I1729" s="31"/>
      <c r="K1729" t="s">
        <v>13</v>
      </c>
    </row>
    <row r="1730" spans="2:11" ht="13" x14ac:dyDescent="0.15">
      <c r="B1730" s="29" t="s">
        <v>2362</v>
      </c>
      <c r="C1730" s="29" t="s">
        <v>2076</v>
      </c>
      <c r="D1730" s="31">
        <f>SUMIFS(D1731:D3130,K1731:K3130,"0",B1731:B3130,"5 1 1 3 2 12 31111 6 M78 21000 242*")-SUMIFS(E1731:E3130,K1731:K3130,"0",B1731:B3130,"5 1 1 3 2 12 31111 6 M78 21000 242*")</f>
        <v>0</v>
      </c>
      <c r="E1730"/>
      <c r="F1730" s="31">
        <f>SUMIFS(F1731:F3130,K1731:K3130,"0",B1731:B3130,"5 1 1 3 2 12 31111 6 M78 21000 242*")</f>
        <v>18821.330000000002</v>
      </c>
      <c r="G1730" s="31">
        <f>SUMIFS(G1731:G3130,K1731:K3130,"0",B1731:B3130,"5 1 1 3 2 12 31111 6 M78 21000 242*")</f>
        <v>0</v>
      </c>
      <c r="H1730" s="31">
        <f t="shared" si="27"/>
        <v>18821.330000000002</v>
      </c>
      <c r="I1730" s="31"/>
      <c r="K1730" t="s">
        <v>13</v>
      </c>
    </row>
    <row r="1731" spans="2:11" ht="13" x14ac:dyDescent="0.15">
      <c r="B1731" s="29" t="s">
        <v>2363</v>
      </c>
      <c r="C1731" s="29" t="s">
        <v>265</v>
      </c>
      <c r="D1731" s="31">
        <f>SUMIFS(D1732:D3130,K1732:K3130,"0",B1732:B3130,"5 1 1 3 2 12 31111 6 M78 21000 242 00C*")-SUMIFS(E1732:E3130,K1732:K3130,"0",B1732:B3130,"5 1 1 3 2 12 31111 6 M78 21000 242 00C*")</f>
        <v>0</v>
      </c>
      <c r="E1731"/>
      <c r="F1731" s="31">
        <f>SUMIFS(F1732:F3130,K1732:K3130,"0",B1732:B3130,"5 1 1 3 2 12 31111 6 M78 21000 242 00C*")</f>
        <v>18821.330000000002</v>
      </c>
      <c r="G1731" s="31">
        <f>SUMIFS(G1732:G3130,K1732:K3130,"0",B1732:B3130,"5 1 1 3 2 12 31111 6 M78 21000 242 00C*")</f>
        <v>0</v>
      </c>
      <c r="H1731" s="31">
        <f t="shared" si="27"/>
        <v>18821.330000000002</v>
      </c>
      <c r="I1731" s="31"/>
      <c r="K1731" t="s">
        <v>13</v>
      </c>
    </row>
    <row r="1732" spans="2:11" ht="13" x14ac:dyDescent="0.15">
      <c r="B1732" s="29" t="s">
        <v>2364</v>
      </c>
      <c r="C1732" s="29" t="s">
        <v>32</v>
      </c>
      <c r="D1732" s="31">
        <f>SUMIFS(D1733:D3130,K1733:K3130,"0",B1733:B3130,"5 1 1 3 2 12 31111 6 M78 21000 242 00C 001*")-SUMIFS(E1733:E3130,K1733:K3130,"0",B1733:B3130,"5 1 1 3 2 12 31111 6 M78 21000 242 00C 001*")</f>
        <v>0</v>
      </c>
      <c r="E1732"/>
      <c r="F1732" s="31">
        <f>SUMIFS(F1733:F3130,K1733:K3130,"0",B1733:B3130,"5 1 1 3 2 12 31111 6 M78 21000 242 00C 001*")</f>
        <v>18821.330000000002</v>
      </c>
      <c r="G1732" s="31">
        <f>SUMIFS(G1733:G3130,K1733:K3130,"0",B1733:B3130,"5 1 1 3 2 12 31111 6 M78 21000 242 00C 001*")</f>
        <v>0</v>
      </c>
      <c r="H1732" s="31">
        <f t="shared" si="27"/>
        <v>18821.330000000002</v>
      </c>
      <c r="I1732" s="31"/>
      <c r="K1732" t="s">
        <v>13</v>
      </c>
    </row>
    <row r="1733" spans="2:11" ht="13" x14ac:dyDescent="0.15">
      <c r="B1733" s="29" t="s">
        <v>2365</v>
      </c>
      <c r="C1733" s="29" t="s">
        <v>2147</v>
      </c>
      <c r="D1733" s="31">
        <f>SUMIFS(D1734:D3130,K1734:K3130,"0",B1734:B3130,"5 1 1 3 2 12 31111 6 M78 21000 242 00C 001 13202*")-SUMIFS(E1734:E3130,K1734:K3130,"0",B1734:B3130,"5 1 1 3 2 12 31111 6 M78 21000 242 00C 001 13202*")</f>
        <v>0</v>
      </c>
      <c r="E1733"/>
      <c r="F1733" s="31">
        <f>SUMIFS(F1734:F3130,K1734:K3130,"0",B1734:B3130,"5 1 1 3 2 12 31111 6 M78 21000 242 00C 001 13202*")</f>
        <v>18821.330000000002</v>
      </c>
      <c r="G1733" s="31">
        <f>SUMIFS(G1734:G3130,K1734:K3130,"0",B1734:B3130,"5 1 1 3 2 12 31111 6 M78 21000 242 00C 001 13202*")</f>
        <v>0</v>
      </c>
      <c r="H1733" s="31">
        <f t="shared" si="27"/>
        <v>18821.330000000002</v>
      </c>
      <c r="I1733" s="31"/>
      <c r="K1733" t="s">
        <v>13</v>
      </c>
    </row>
    <row r="1734" spans="2:11" ht="22" x14ac:dyDescent="0.15">
      <c r="B1734" s="29" t="s">
        <v>2366</v>
      </c>
      <c r="C1734" s="29" t="s">
        <v>271</v>
      </c>
      <c r="D1734" s="31">
        <f>SUMIFS(D1735:D3130,K1735:K3130,"0",B1735:B3130,"5 1 1 3 2 12 31111 6 M78 21000 242 00C 001 13202 015*")-SUMIFS(E1735:E3130,K1735:K3130,"0",B1735:B3130,"5 1 1 3 2 12 31111 6 M78 21000 242 00C 001 13202 015*")</f>
        <v>0</v>
      </c>
      <c r="E1734"/>
      <c r="F1734" s="31">
        <f>SUMIFS(F1735:F3130,K1735:K3130,"0",B1735:B3130,"5 1 1 3 2 12 31111 6 M78 21000 242 00C 001 13202 015*")</f>
        <v>18821.330000000002</v>
      </c>
      <c r="G1734" s="31">
        <f>SUMIFS(G1735:G3130,K1735:K3130,"0",B1735:B3130,"5 1 1 3 2 12 31111 6 M78 21000 242 00C 001 13202 015*")</f>
        <v>0</v>
      </c>
      <c r="H1734" s="31">
        <f t="shared" si="27"/>
        <v>18821.330000000002</v>
      </c>
      <c r="I1734" s="31"/>
      <c r="K1734" t="s">
        <v>13</v>
      </c>
    </row>
    <row r="1735" spans="2:11" ht="22" x14ac:dyDescent="0.15">
      <c r="B1735" s="29" t="s">
        <v>2367</v>
      </c>
      <c r="C1735" s="29" t="s">
        <v>1813</v>
      </c>
      <c r="D1735" s="31">
        <f>SUMIFS(D1736:D3130,K1736:K3130,"0",B1736:B3130,"5 1 1 3 2 12 31111 6 M78 21000 242 00C 001 13202 015 2111100*")-SUMIFS(E1736:E3130,K1736:K3130,"0",B1736:B3130,"5 1 1 3 2 12 31111 6 M78 21000 242 00C 001 13202 015 2111100*")</f>
        <v>0</v>
      </c>
      <c r="E1735"/>
      <c r="F1735" s="31">
        <f>SUMIFS(F1736:F3130,K1736:K3130,"0",B1736:B3130,"5 1 1 3 2 12 31111 6 M78 21000 242 00C 001 13202 015 2111100*")</f>
        <v>18821.330000000002</v>
      </c>
      <c r="G1735" s="31">
        <f>SUMIFS(G1736:G3130,K1736:K3130,"0",B1736:B3130,"5 1 1 3 2 12 31111 6 M78 21000 242 00C 001 13202 015 2111100*")</f>
        <v>0</v>
      </c>
      <c r="H1735" s="31">
        <f t="shared" si="27"/>
        <v>18821.330000000002</v>
      </c>
      <c r="I1735" s="31"/>
      <c r="K1735" t="s">
        <v>13</v>
      </c>
    </row>
    <row r="1736" spans="2:11" ht="22" x14ac:dyDescent="0.15">
      <c r="B1736" s="29" t="s">
        <v>2368</v>
      </c>
      <c r="C1736" s="29" t="s">
        <v>275</v>
      </c>
      <c r="D1736" s="31">
        <f>SUMIFS(D1737:D3130,K1737:K3130,"0",B1737:B3130,"5 1 1 3 2 12 31111 6 M78 21000 242 00C 001 13202 015 2111100 2024*")-SUMIFS(E1737:E3130,K1737:K3130,"0",B1737:B3130,"5 1 1 3 2 12 31111 6 M78 21000 242 00C 001 13202 015 2111100 2024*")</f>
        <v>0</v>
      </c>
      <c r="E1736"/>
      <c r="F1736" s="31">
        <f>SUMIFS(F1737:F3130,K1737:K3130,"0",B1737:B3130,"5 1 1 3 2 12 31111 6 M78 21000 242 00C 001 13202 015 2111100 2024*")</f>
        <v>18821.330000000002</v>
      </c>
      <c r="G1736" s="31">
        <f>SUMIFS(G1737:G3130,K1737:K3130,"0",B1737:B3130,"5 1 1 3 2 12 31111 6 M78 21000 242 00C 001 13202 015 2111100 2024*")</f>
        <v>0</v>
      </c>
      <c r="H1736" s="31">
        <f t="shared" si="27"/>
        <v>18821.330000000002</v>
      </c>
      <c r="I1736" s="31"/>
      <c r="K1736" t="s">
        <v>13</v>
      </c>
    </row>
    <row r="1737" spans="2:11" ht="22" x14ac:dyDescent="0.15">
      <c r="B1737" s="29" t="s">
        <v>2369</v>
      </c>
      <c r="C1737" s="29" t="s">
        <v>277</v>
      </c>
      <c r="D1737" s="31">
        <f>SUMIFS(D1738:D3130,K1738:K3130,"0",B1738:B3130,"5 1 1 3 2 12 31111 6 M78 21000 242 00C 001 13202 015 2111100 2024 00000000*")-SUMIFS(E1738:E3130,K1738:K3130,"0",B1738:B3130,"5 1 1 3 2 12 31111 6 M78 21000 242 00C 001 13202 015 2111100 2024 00000000*")</f>
        <v>0</v>
      </c>
      <c r="E1737"/>
      <c r="F1737" s="31">
        <f>SUMIFS(F1738:F3130,K1738:K3130,"0",B1738:B3130,"5 1 1 3 2 12 31111 6 M78 21000 242 00C 001 13202 015 2111100 2024 00000000*")</f>
        <v>18821.330000000002</v>
      </c>
      <c r="G1737" s="31">
        <f>SUMIFS(G1738:G3130,K1738:K3130,"0",B1738:B3130,"5 1 1 3 2 12 31111 6 M78 21000 242 00C 001 13202 015 2111100 2024 00000000*")</f>
        <v>0</v>
      </c>
      <c r="H1737" s="31">
        <f t="shared" si="27"/>
        <v>18821.330000000002</v>
      </c>
      <c r="I1737" s="31"/>
      <c r="K1737" t="s">
        <v>13</v>
      </c>
    </row>
    <row r="1738" spans="2:11" ht="22" x14ac:dyDescent="0.15">
      <c r="B1738" s="29" t="s">
        <v>2370</v>
      </c>
      <c r="C1738" s="29" t="s">
        <v>2085</v>
      </c>
      <c r="D1738" s="31">
        <f>SUMIFS(D1739:D3130,K1739:K3130,"0",B1739:B3130,"5 1 1 3 2 12 31111 6 M78 21000 242 00C 001 13202 015 2111100 2024 00000000 001*")-SUMIFS(E1739:E3130,K1739:K3130,"0",B1739:B3130,"5 1 1 3 2 12 31111 6 M78 21000 242 00C 001 13202 015 2111100 2024 00000000 001*")</f>
        <v>0</v>
      </c>
      <c r="E1738"/>
      <c r="F1738" s="31">
        <f>SUMIFS(F1739:F3130,K1739:K3130,"0",B1739:B3130,"5 1 1 3 2 12 31111 6 M78 21000 242 00C 001 13202 015 2111100 2024 00000000 001*")</f>
        <v>18821.330000000002</v>
      </c>
      <c r="G1738" s="31">
        <f>SUMIFS(G1739:G3130,K1739:K3130,"0",B1739:B3130,"5 1 1 3 2 12 31111 6 M78 21000 242 00C 001 13202 015 2111100 2024 00000000 001*")</f>
        <v>0</v>
      </c>
      <c r="H1738" s="31">
        <f t="shared" si="27"/>
        <v>18821.330000000002</v>
      </c>
      <c r="I1738" s="31"/>
      <c r="K1738" t="s">
        <v>13</v>
      </c>
    </row>
    <row r="1739" spans="2:11" ht="22" x14ac:dyDescent="0.15">
      <c r="B1739" s="29" t="s">
        <v>2371</v>
      </c>
      <c r="C1739" s="29" t="s">
        <v>2087</v>
      </c>
      <c r="D1739" s="31">
        <f>SUMIFS(D1740:D3130,K1740:K3130,"0",B1740:B3130,"5 1 1 3 2 12 31111 6 M78 21000 242 00C 001 13202 015 2111100 2024 00000000 001 001*")-SUMIFS(E1740:E3130,K1740:K3130,"0",B1740:B3130,"5 1 1 3 2 12 31111 6 M78 21000 242 00C 001 13202 015 2111100 2024 00000000 001 001*")</f>
        <v>0</v>
      </c>
      <c r="E1739"/>
      <c r="F1739" s="31">
        <f>SUMIFS(F1740:F3130,K1740:K3130,"0",B1740:B3130,"5 1 1 3 2 12 31111 6 M78 21000 242 00C 001 13202 015 2111100 2024 00000000 001 001*")</f>
        <v>18821.330000000002</v>
      </c>
      <c r="G1739" s="31">
        <f>SUMIFS(G1740:G3130,K1740:K3130,"0",B1740:B3130,"5 1 1 3 2 12 31111 6 M78 21000 242 00C 001 13202 015 2111100 2024 00000000 001 001*")</f>
        <v>0</v>
      </c>
      <c r="H1739" s="31">
        <f t="shared" ref="H1739:H1802" si="28">D1739 + F1739 - G1739</f>
        <v>18821.330000000002</v>
      </c>
      <c r="I1739" s="31"/>
      <c r="K1739" t="s">
        <v>13</v>
      </c>
    </row>
    <row r="1740" spans="2:11" ht="22" x14ac:dyDescent="0.15">
      <c r="B1740" s="27" t="s">
        <v>2372</v>
      </c>
      <c r="C1740" s="27" t="s">
        <v>2155</v>
      </c>
      <c r="D1740" s="30">
        <v>0</v>
      </c>
      <c r="E1740" s="30"/>
      <c r="F1740" s="30">
        <v>18821.330000000002</v>
      </c>
      <c r="G1740" s="30">
        <v>0</v>
      </c>
      <c r="H1740" s="30">
        <f t="shared" si="28"/>
        <v>18821.330000000002</v>
      </c>
      <c r="I1740" s="30"/>
      <c r="K1740" t="s">
        <v>37</v>
      </c>
    </row>
    <row r="1741" spans="2:11" ht="13" x14ac:dyDescent="0.15">
      <c r="B1741" s="29" t="s">
        <v>2373</v>
      </c>
      <c r="C1741" s="29" t="s">
        <v>2090</v>
      </c>
      <c r="D1741" s="31">
        <f>SUMIFS(D1742:D3130,K1742:K3130,"0",B1742:B3130,"5 1 1 3 2 12 31111 6 M78 22000*")-SUMIFS(E1742:E3130,K1742:K3130,"0",B1742:B3130,"5 1 1 3 2 12 31111 6 M78 22000*")</f>
        <v>0</v>
      </c>
      <c r="E1741"/>
      <c r="F1741" s="31">
        <f>SUMIFS(F1742:F3130,K1742:K3130,"0",B1742:B3130,"5 1 1 3 2 12 31111 6 M78 22000*")</f>
        <v>34385.800000000003</v>
      </c>
      <c r="G1741" s="31">
        <f>SUMIFS(G1742:G3130,K1742:K3130,"0",B1742:B3130,"5 1 1 3 2 12 31111 6 M78 22000*")</f>
        <v>0</v>
      </c>
      <c r="H1741" s="31">
        <f t="shared" si="28"/>
        <v>34385.800000000003</v>
      </c>
      <c r="I1741" s="31"/>
      <c r="K1741" t="s">
        <v>13</v>
      </c>
    </row>
    <row r="1742" spans="2:11" ht="13" x14ac:dyDescent="0.15">
      <c r="B1742" s="29" t="s">
        <v>2374</v>
      </c>
      <c r="C1742" s="29" t="s">
        <v>2092</v>
      </c>
      <c r="D1742" s="31">
        <f>SUMIFS(D1743:D3130,K1743:K3130,"0",B1743:B3130,"5 1 1 3 2 12 31111 6 M78 22000 271*")-SUMIFS(E1743:E3130,K1743:K3130,"0",B1743:B3130,"5 1 1 3 2 12 31111 6 M78 22000 271*")</f>
        <v>0</v>
      </c>
      <c r="E1742"/>
      <c r="F1742" s="31">
        <f>SUMIFS(F1743:F3130,K1743:K3130,"0",B1743:B3130,"5 1 1 3 2 12 31111 6 M78 22000 271*")</f>
        <v>34385.800000000003</v>
      </c>
      <c r="G1742" s="31">
        <f>SUMIFS(G1743:G3130,K1743:K3130,"0",B1743:B3130,"5 1 1 3 2 12 31111 6 M78 22000 271*")</f>
        <v>0</v>
      </c>
      <c r="H1742" s="31">
        <f t="shared" si="28"/>
        <v>34385.800000000003</v>
      </c>
      <c r="I1742" s="31"/>
      <c r="K1742" t="s">
        <v>13</v>
      </c>
    </row>
    <row r="1743" spans="2:11" ht="13" x14ac:dyDescent="0.15">
      <c r="B1743" s="29" t="s">
        <v>2375</v>
      </c>
      <c r="C1743" s="29" t="s">
        <v>265</v>
      </c>
      <c r="D1743" s="31">
        <f>SUMIFS(D1744:D3130,K1744:K3130,"0",B1744:B3130,"5 1 1 3 2 12 31111 6 M78 22000 271 00C*")-SUMIFS(E1744:E3130,K1744:K3130,"0",B1744:B3130,"5 1 1 3 2 12 31111 6 M78 22000 271 00C*")</f>
        <v>0</v>
      </c>
      <c r="E1743"/>
      <c r="F1743" s="31">
        <f>SUMIFS(F1744:F3130,K1744:K3130,"0",B1744:B3130,"5 1 1 3 2 12 31111 6 M78 22000 271 00C*")</f>
        <v>34385.800000000003</v>
      </c>
      <c r="G1743" s="31">
        <f>SUMIFS(G1744:G3130,K1744:K3130,"0",B1744:B3130,"5 1 1 3 2 12 31111 6 M78 22000 271 00C*")</f>
        <v>0</v>
      </c>
      <c r="H1743" s="31">
        <f t="shared" si="28"/>
        <v>34385.800000000003</v>
      </c>
      <c r="I1743" s="31"/>
      <c r="K1743" t="s">
        <v>13</v>
      </c>
    </row>
    <row r="1744" spans="2:11" ht="13" x14ac:dyDescent="0.15">
      <c r="B1744" s="29" t="s">
        <v>2376</v>
      </c>
      <c r="C1744" s="29" t="s">
        <v>32</v>
      </c>
      <c r="D1744" s="31">
        <f>SUMIFS(D1745:D3130,K1745:K3130,"0",B1745:B3130,"5 1 1 3 2 12 31111 6 M78 22000 271 00C 001*")-SUMIFS(E1745:E3130,K1745:K3130,"0",B1745:B3130,"5 1 1 3 2 12 31111 6 M78 22000 271 00C 001*")</f>
        <v>0</v>
      </c>
      <c r="E1744"/>
      <c r="F1744" s="31">
        <f>SUMIFS(F1745:F3130,K1745:K3130,"0",B1745:B3130,"5 1 1 3 2 12 31111 6 M78 22000 271 00C 001*")</f>
        <v>34385.800000000003</v>
      </c>
      <c r="G1744" s="31">
        <f>SUMIFS(G1745:G3130,K1745:K3130,"0",B1745:B3130,"5 1 1 3 2 12 31111 6 M78 22000 271 00C 001*")</f>
        <v>0</v>
      </c>
      <c r="H1744" s="31">
        <f t="shared" si="28"/>
        <v>34385.800000000003</v>
      </c>
      <c r="I1744" s="31"/>
      <c r="K1744" t="s">
        <v>13</v>
      </c>
    </row>
    <row r="1745" spans="2:11" ht="13" x14ac:dyDescent="0.15">
      <c r="B1745" s="29" t="s">
        <v>2377</v>
      </c>
      <c r="C1745" s="29" t="s">
        <v>2147</v>
      </c>
      <c r="D1745" s="31">
        <f>SUMIFS(D1746:D3130,K1746:K3130,"0",B1746:B3130,"5 1 1 3 2 12 31111 6 M78 22000 271 00C 001 13202*")-SUMIFS(E1746:E3130,K1746:K3130,"0",B1746:B3130,"5 1 1 3 2 12 31111 6 M78 22000 271 00C 001 13202*")</f>
        <v>0</v>
      </c>
      <c r="E1745"/>
      <c r="F1745" s="31">
        <f>SUMIFS(F1746:F3130,K1746:K3130,"0",B1746:B3130,"5 1 1 3 2 12 31111 6 M78 22000 271 00C 001 13202*")</f>
        <v>34385.800000000003</v>
      </c>
      <c r="G1745" s="31">
        <f>SUMIFS(G1746:G3130,K1746:K3130,"0",B1746:B3130,"5 1 1 3 2 12 31111 6 M78 22000 271 00C 001 13202*")</f>
        <v>0</v>
      </c>
      <c r="H1745" s="31">
        <f t="shared" si="28"/>
        <v>34385.800000000003</v>
      </c>
      <c r="I1745" s="31"/>
      <c r="K1745" t="s">
        <v>13</v>
      </c>
    </row>
    <row r="1746" spans="2:11" ht="22" x14ac:dyDescent="0.15">
      <c r="B1746" s="29" t="s">
        <v>2378</v>
      </c>
      <c r="C1746" s="29" t="s">
        <v>271</v>
      </c>
      <c r="D1746" s="31">
        <f>SUMIFS(D1747:D3130,K1747:K3130,"0",B1747:B3130,"5 1 1 3 2 12 31111 6 M78 22000 271 00C 001 13202 015*")-SUMIFS(E1747:E3130,K1747:K3130,"0",B1747:B3130,"5 1 1 3 2 12 31111 6 M78 22000 271 00C 001 13202 015*")</f>
        <v>0</v>
      </c>
      <c r="E1746"/>
      <c r="F1746" s="31">
        <f>SUMIFS(F1747:F3130,K1747:K3130,"0",B1747:B3130,"5 1 1 3 2 12 31111 6 M78 22000 271 00C 001 13202 015*")</f>
        <v>34385.800000000003</v>
      </c>
      <c r="G1746" s="31">
        <f>SUMIFS(G1747:G3130,K1747:K3130,"0",B1747:B3130,"5 1 1 3 2 12 31111 6 M78 22000 271 00C 001 13202 015*")</f>
        <v>0</v>
      </c>
      <c r="H1746" s="31">
        <f t="shared" si="28"/>
        <v>34385.800000000003</v>
      </c>
      <c r="I1746" s="31"/>
      <c r="K1746" t="s">
        <v>13</v>
      </c>
    </row>
    <row r="1747" spans="2:11" ht="22" x14ac:dyDescent="0.15">
      <c r="B1747" s="29" t="s">
        <v>2379</v>
      </c>
      <c r="C1747" s="29" t="s">
        <v>1813</v>
      </c>
      <c r="D1747" s="31">
        <f>SUMIFS(D1748:D3130,K1748:K3130,"0",B1748:B3130,"5 1 1 3 2 12 31111 6 M78 22000 271 00C 001 13202 015 2111100*")-SUMIFS(E1748:E3130,K1748:K3130,"0",B1748:B3130,"5 1 1 3 2 12 31111 6 M78 22000 271 00C 001 13202 015 2111100*")</f>
        <v>0</v>
      </c>
      <c r="E1747"/>
      <c r="F1747" s="31">
        <f>SUMIFS(F1748:F3130,K1748:K3130,"0",B1748:B3130,"5 1 1 3 2 12 31111 6 M78 22000 271 00C 001 13202 015 2111100*")</f>
        <v>34385.800000000003</v>
      </c>
      <c r="G1747" s="31">
        <f>SUMIFS(G1748:G3130,K1748:K3130,"0",B1748:B3130,"5 1 1 3 2 12 31111 6 M78 22000 271 00C 001 13202 015 2111100*")</f>
        <v>0</v>
      </c>
      <c r="H1747" s="31">
        <f t="shared" si="28"/>
        <v>34385.800000000003</v>
      </c>
      <c r="I1747" s="31"/>
      <c r="K1747" t="s">
        <v>13</v>
      </c>
    </row>
    <row r="1748" spans="2:11" ht="22" x14ac:dyDescent="0.15">
      <c r="B1748" s="29" t="s">
        <v>2380</v>
      </c>
      <c r="C1748" s="29" t="s">
        <v>275</v>
      </c>
      <c r="D1748" s="31">
        <f>SUMIFS(D1749:D3130,K1749:K3130,"0",B1749:B3130,"5 1 1 3 2 12 31111 6 M78 22000 271 00C 001 13202 015 2111100 2024*")-SUMIFS(E1749:E3130,K1749:K3130,"0",B1749:B3130,"5 1 1 3 2 12 31111 6 M78 22000 271 00C 001 13202 015 2111100 2024*")</f>
        <v>0</v>
      </c>
      <c r="E1748"/>
      <c r="F1748" s="31">
        <f>SUMIFS(F1749:F3130,K1749:K3130,"0",B1749:B3130,"5 1 1 3 2 12 31111 6 M78 22000 271 00C 001 13202 015 2111100 2024*")</f>
        <v>34385.800000000003</v>
      </c>
      <c r="G1748" s="31">
        <f>SUMIFS(G1749:G3130,K1749:K3130,"0",B1749:B3130,"5 1 1 3 2 12 31111 6 M78 22000 271 00C 001 13202 015 2111100 2024*")</f>
        <v>0</v>
      </c>
      <c r="H1748" s="31">
        <f t="shared" si="28"/>
        <v>34385.800000000003</v>
      </c>
      <c r="I1748" s="31"/>
      <c r="K1748" t="s">
        <v>13</v>
      </c>
    </row>
    <row r="1749" spans="2:11" ht="22" x14ac:dyDescent="0.15">
      <c r="B1749" s="29" t="s">
        <v>2381</v>
      </c>
      <c r="C1749" s="29" t="s">
        <v>277</v>
      </c>
      <c r="D1749" s="31">
        <f>SUMIFS(D1750:D3130,K1750:K3130,"0",B1750:B3130,"5 1 1 3 2 12 31111 6 M78 22000 271 00C 001 13202 015 2111100 2024 00000000*")-SUMIFS(E1750:E3130,K1750:K3130,"0",B1750:B3130,"5 1 1 3 2 12 31111 6 M78 22000 271 00C 001 13202 015 2111100 2024 00000000*")</f>
        <v>0</v>
      </c>
      <c r="E1749"/>
      <c r="F1749" s="31">
        <f>SUMIFS(F1750:F3130,K1750:K3130,"0",B1750:B3130,"5 1 1 3 2 12 31111 6 M78 22000 271 00C 001 13202 015 2111100 2024 00000000*")</f>
        <v>34385.800000000003</v>
      </c>
      <c r="G1749" s="31">
        <f>SUMIFS(G1750:G3130,K1750:K3130,"0",B1750:B3130,"5 1 1 3 2 12 31111 6 M78 22000 271 00C 001 13202 015 2111100 2024 00000000*")</f>
        <v>0</v>
      </c>
      <c r="H1749" s="31">
        <f t="shared" si="28"/>
        <v>34385.800000000003</v>
      </c>
      <c r="I1749" s="31"/>
      <c r="K1749" t="s">
        <v>13</v>
      </c>
    </row>
    <row r="1750" spans="2:11" ht="22" x14ac:dyDescent="0.15">
      <c r="B1750" s="29" t="s">
        <v>2382</v>
      </c>
      <c r="C1750" s="29" t="s">
        <v>2085</v>
      </c>
      <c r="D1750" s="31">
        <f>SUMIFS(D1751:D3130,K1751:K3130,"0",B1751:B3130,"5 1 1 3 2 12 31111 6 M78 22000 271 00C 001 13202 015 2111100 2024 00000000 001*")-SUMIFS(E1751:E3130,K1751:K3130,"0",B1751:B3130,"5 1 1 3 2 12 31111 6 M78 22000 271 00C 001 13202 015 2111100 2024 00000000 001*")</f>
        <v>0</v>
      </c>
      <c r="E1750"/>
      <c r="F1750" s="31">
        <f>SUMIFS(F1751:F3130,K1751:K3130,"0",B1751:B3130,"5 1 1 3 2 12 31111 6 M78 22000 271 00C 001 13202 015 2111100 2024 00000000 001*")</f>
        <v>34385.800000000003</v>
      </c>
      <c r="G1750" s="31">
        <f>SUMIFS(G1751:G3130,K1751:K3130,"0",B1751:B3130,"5 1 1 3 2 12 31111 6 M78 22000 271 00C 001 13202 015 2111100 2024 00000000 001*")</f>
        <v>0</v>
      </c>
      <c r="H1750" s="31">
        <f t="shared" si="28"/>
        <v>34385.800000000003</v>
      </c>
      <c r="I1750" s="31"/>
      <c r="K1750" t="s">
        <v>13</v>
      </c>
    </row>
    <row r="1751" spans="2:11" ht="22" x14ac:dyDescent="0.15">
      <c r="B1751" s="29" t="s">
        <v>2383</v>
      </c>
      <c r="C1751" s="29" t="s">
        <v>2102</v>
      </c>
      <c r="D1751" s="31">
        <f>SUMIFS(D1752:D3130,K1752:K3130,"0",B1752:B3130,"5 1 1 3 2 12 31111 6 M78 22000 271 00C 001 13202 015 2111100 2024 00000000 001 001*")-SUMIFS(E1752:E3130,K1752:K3130,"0",B1752:B3130,"5 1 1 3 2 12 31111 6 M78 22000 271 00C 001 13202 015 2111100 2024 00000000 001 001*")</f>
        <v>0</v>
      </c>
      <c r="E1751"/>
      <c r="F1751" s="31">
        <f>SUMIFS(F1752:F3130,K1752:K3130,"0",B1752:B3130,"5 1 1 3 2 12 31111 6 M78 22000 271 00C 001 13202 015 2111100 2024 00000000 001 001*")</f>
        <v>34385.800000000003</v>
      </c>
      <c r="G1751" s="31">
        <f>SUMIFS(G1752:G3130,K1752:K3130,"0",B1752:B3130,"5 1 1 3 2 12 31111 6 M78 22000 271 00C 001 13202 015 2111100 2024 00000000 001 001*")</f>
        <v>0</v>
      </c>
      <c r="H1751" s="31">
        <f t="shared" si="28"/>
        <v>34385.800000000003</v>
      </c>
      <c r="I1751" s="31"/>
      <c r="K1751" t="s">
        <v>13</v>
      </c>
    </row>
    <row r="1752" spans="2:11" ht="22" x14ac:dyDescent="0.15">
      <c r="B1752" s="27" t="s">
        <v>2384</v>
      </c>
      <c r="C1752" s="27" t="s">
        <v>2155</v>
      </c>
      <c r="D1752" s="30">
        <v>0</v>
      </c>
      <c r="E1752" s="30"/>
      <c r="F1752" s="30">
        <v>34385.800000000003</v>
      </c>
      <c r="G1752" s="30">
        <v>0</v>
      </c>
      <c r="H1752" s="30">
        <f t="shared" si="28"/>
        <v>34385.800000000003</v>
      </c>
      <c r="I1752" s="30"/>
      <c r="K1752" t="s">
        <v>37</v>
      </c>
    </row>
    <row r="1753" spans="2:11" ht="13" x14ac:dyDescent="0.15">
      <c r="B1753" s="29" t="s">
        <v>2385</v>
      </c>
      <c r="C1753" s="29" t="s">
        <v>2120</v>
      </c>
      <c r="D1753" s="31">
        <f>SUMIFS(D1754:D3130,K1754:K3130,"0",B1754:B3130,"5 1 1 3 2 12 31111 6 M78 27000*")-SUMIFS(E1754:E3130,K1754:K3130,"0",B1754:B3130,"5 1 1 3 2 12 31111 6 M78 27000*")</f>
        <v>0</v>
      </c>
      <c r="E1753"/>
      <c r="F1753" s="31">
        <f>SUMIFS(F1754:F3130,K1754:K3130,"0",B1754:B3130,"5 1 1 3 2 12 31111 6 M78 27000*")</f>
        <v>42884.08</v>
      </c>
      <c r="G1753" s="31">
        <f>SUMIFS(G1754:G3130,K1754:K3130,"0",B1754:B3130,"5 1 1 3 2 12 31111 6 M78 27000*")</f>
        <v>0</v>
      </c>
      <c r="H1753" s="31">
        <f t="shared" si="28"/>
        <v>42884.08</v>
      </c>
      <c r="I1753" s="31"/>
      <c r="K1753" t="s">
        <v>13</v>
      </c>
    </row>
    <row r="1754" spans="2:11" ht="13" x14ac:dyDescent="0.15">
      <c r="B1754" s="29" t="s">
        <v>2386</v>
      </c>
      <c r="C1754" s="29" t="s">
        <v>2122</v>
      </c>
      <c r="D1754" s="31">
        <f>SUMIFS(D1755:D3130,K1755:K3130,"0",B1755:B3130,"5 1 1 3 2 12 31111 6 M78 27000 184*")-SUMIFS(E1755:E3130,K1755:K3130,"0",B1755:B3130,"5 1 1 3 2 12 31111 6 M78 27000 184*")</f>
        <v>0</v>
      </c>
      <c r="E1754"/>
      <c r="F1754" s="31">
        <f>SUMIFS(F1755:F3130,K1755:K3130,"0",B1755:B3130,"5 1 1 3 2 12 31111 6 M78 27000 184*")</f>
        <v>42884.08</v>
      </c>
      <c r="G1754" s="31">
        <f>SUMIFS(G1755:G3130,K1755:K3130,"0",B1755:B3130,"5 1 1 3 2 12 31111 6 M78 27000 184*")</f>
        <v>0</v>
      </c>
      <c r="H1754" s="31">
        <f t="shared" si="28"/>
        <v>42884.08</v>
      </c>
      <c r="I1754" s="31"/>
      <c r="K1754" t="s">
        <v>13</v>
      </c>
    </row>
    <row r="1755" spans="2:11" ht="13" x14ac:dyDescent="0.15">
      <c r="B1755" s="29" t="s">
        <v>2387</v>
      </c>
      <c r="C1755" s="29" t="s">
        <v>265</v>
      </c>
      <c r="D1755" s="31">
        <f>SUMIFS(D1756:D3130,K1756:K3130,"0",B1756:B3130,"5 1 1 3 2 12 31111 6 M78 27000 184 00C*")-SUMIFS(E1756:E3130,K1756:K3130,"0",B1756:B3130,"5 1 1 3 2 12 31111 6 M78 27000 184 00C*")</f>
        <v>0</v>
      </c>
      <c r="E1755"/>
      <c r="F1755" s="31">
        <f>SUMIFS(F1756:F3130,K1756:K3130,"0",B1756:B3130,"5 1 1 3 2 12 31111 6 M78 27000 184 00C*")</f>
        <v>42884.08</v>
      </c>
      <c r="G1755" s="31">
        <f>SUMIFS(G1756:G3130,K1756:K3130,"0",B1756:B3130,"5 1 1 3 2 12 31111 6 M78 27000 184 00C*")</f>
        <v>0</v>
      </c>
      <c r="H1755" s="31">
        <f t="shared" si="28"/>
        <v>42884.08</v>
      </c>
      <c r="I1755" s="31"/>
      <c r="K1755" t="s">
        <v>13</v>
      </c>
    </row>
    <row r="1756" spans="2:11" ht="13" x14ac:dyDescent="0.15">
      <c r="B1756" s="29" t="s">
        <v>2388</v>
      </c>
      <c r="C1756" s="29" t="s">
        <v>32</v>
      </c>
      <c r="D1756" s="31">
        <f>SUMIFS(D1757:D3130,K1757:K3130,"0",B1757:B3130,"5 1 1 3 2 12 31111 6 M78 27000 184 00C 001*")-SUMIFS(E1757:E3130,K1757:K3130,"0",B1757:B3130,"5 1 1 3 2 12 31111 6 M78 27000 184 00C 001*")</f>
        <v>0</v>
      </c>
      <c r="E1756"/>
      <c r="F1756" s="31">
        <f>SUMIFS(F1757:F3130,K1757:K3130,"0",B1757:B3130,"5 1 1 3 2 12 31111 6 M78 27000 184 00C 001*")</f>
        <v>42884.08</v>
      </c>
      <c r="G1756" s="31">
        <f>SUMIFS(G1757:G3130,K1757:K3130,"0",B1757:B3130,"5 1 1 3 2 12 31111 6 M78 27000 184 00C 001*")</f>
        <v>0</v>
      </c>
      <c r="H1756" s="31">
        <f t="shared" si="28"/>
        <v>42884.08</v>
      </c>
      <c r="I1756" s="31"/>
      <c r="K1756" t="s">
        <v>13</v>
      </c>
    </row>
    <row r="1757" spans="2:11" ht="13" x14ac:dyDescent="0.15">
      <c r="B1757" s="29" t="s">
        <v>2389</v>
      </c>
      <c r="C1757" s="29" t="s">
        <v>2147</v>
      </c>
      <c r="D1757" s="31">
        <f>SUMIFS(D1758:D3130,K1758:K3130,"0",B1758:B3130,"5 1 1 3 2 12 31111 6 M78 27000 184 00C 001 13202*")-SUMIFS(E1758:E3130,K1758:K3130,"0",B1758:B3130,"5 1 1 3 2 12 31111 6 M78 27000 184 00C 001 13202*")</f>
        <v>0</v>
      </c>
      <c r="E1757"/>
      <c r="F1757" s="31">
        <f>SUMIFS(F1758:F3130,K1758:K3130,"0",B1758:B3130,"5 1 1 3 2 12 31111 6 M78 27000 184 00C 001 13202*")</f>
        <v>42884.08</v>
      </c>
      <c r="G1757" s="31">
        <f>SUMIFS(G1758:G3130,K1758:K3130,"0",B1758:B3130,"5 1 1 3 2 12 31111 6 M78 27000 184 00C 001 13202*")</f>
        <v>0</v>
      </c>
      <c r="H1757" s="31">
        <f t="shared" si="28"/>
        <v>42884.08</v>
      </c>
      <c r="I1757" s="31"/>
      <c r="K1757" t="s">
        <v>13</v>
      </c>
    </row>
    <row r="1758" spans="2:11" ht="22" x14ac:dyDescent="0.15">
      <c r="B1758" s="29" t="s">
        <v>2390</v>
      </c>
      <c r="C1758" s="29" t="s">
        <v>271</v>
      </c>
      <c r="D1758" s="31">
        <f>SUMIFS(D1759:D3130,K1759:K3130,"0",B1759:B3130,"5 1 1 3 2 12 31111 6 M78 27000 184 00C 001 13202 015*")-SUMIFS(E1759:E3130,K1759:K3130,"0",B1759:B3130,"5 1 1 3 2 12 31111 6 M78 27000 184 00C 001 13202 015*")</f>
        <v>0</v>
      </c>
      <c r="E1758"/>
      <c r="F1758" s="31">
        <f>SUMIFS(F1759:F3130,K1759:K3130,"0",B1759:B3130,"5 1 1 3 2 12 31111 6 M78 27000 184 00C 001 13202 015*")</f>
        <v>42884.08</v>
      </c>
      <c r="G1758" s="31">
        <f>SUMIFS(G1759:G3130,K1759:K3130,"0",B1759:B3130,"5 1 1 3 2 12 31111 6 M78 27000 184 00C 001 13202 015*")</f>
        <v>0</v>
      </c>
      <c r="H1758" s="31">
        <f t="shared" si="28"/>
        <v>42884.08</v>
      </c>
      <c r="I1758" s="31"/>
      <c r="K1758" t="s">
        <v>13</v>
      </c>
    </row>
    <row r="1759" spans="2:11" ht="22" x14ac:dyDescent="0.15">
      <c r="B1759" s="29" t="s">
        <v>2391</v>
      </c>
      <c r="C1759" s="29" t="s">
        <v>1813</v>
      </c>
      <c r="D1759" s="31">
        <f>SUMIFS(D1760:D3130,K1760:K3130,"0",B1760:B3130,"5 1 1 3 2 12 31111 6 M78 27000 184 00C 001 13202 015 2111100*")-SUMIFS(E1760:E3130,K1760:K3130,"0",B1760:B3130,"5 1 1 3 2 12 31111 6 M78 27000 184 00C 001 13202 015 2111100*")</f>
        <v>0</v>
      </c>
      <c r="E1759"/>
      <c r="F1759" s="31">
        <f>SUMIFS(F1760:F3130,K1760:K3130,"0",B1760:B3130,"5 1 1 3 2 12 31111 6 M78 27000 184 00C 001 13202 015 2111100*")</f>
        <v>42884.08</v>
      </c>
      <c r="G1759" s="31">
        <f>SUMIFS(G1760:G3130,K1760:K3130,"0",B1760:B3130,"5 1 1 3 2 12 31111 6 M78 27000 184 00C 001 13202 015 2111100*")</f>
        <v>0</v>
      </c>
      <c r="H1759" s="31">
        <f t="shared" si="28"/>
        <v>42884.08</v>
      </c>
      <c r="I1759" s="31"/>
      <c r="K1759" t="s">
        <v>13</v>
      </c>
    </row>
    <row r="1760" spans="2:11" ht="22" x14ac:dyDescent="0.15">
      <c r="B1760" s="29" t="s">
        <v>2392</v>
      </c>
      <c r="C1760" s="29" t="s">
        <v>275</v>
      </c>
      <c r="D1760" s="31">
        <f>SUMIFS(D1761:D3130,K1761:K3130,"0",B1761:B3130,"5 1 1 3 2 12 31111 6 M78 27000 184 00C 001 13202 015 2111100 2024*")-SUMIFS(E1761:E3130,K1761:K3130,"0",B1761:B3130,"5 1 1 3 2 12 31111 6 M78 27000 184 00C 001 13202 015 2111100 2024*")</f>
        <v>0</v>
      </c>
      <c r="E1760"/>
      <c r="F1760" s="31">
        <f>SUMIFS(F1761:F3130,K1761:K3130,"0",B1761:B3130,"5 1 1 3 2 12 31111 6 M78 27000 184 00C 001 13202 015 2111100 2024*")</f>
        <v>42884.08</v>
      </c>
      <c r="G1760" s="31">
        <f>SUMIFS(G1761:G3130,K1761:K3130,"0",B1761:B3130,"5 1 1 3 2 12 31111 6 M78 27000 184 00C 001 13202 015 2111100 2024*")</f>
        <v>0</v>
      </c>
      <c r="H1760" s="31">
        <f t="shared" si="28"/>
        <v>42884.08</v>
      </c>
      <c r="I1760" s="31"/>
      <c r="K1760" t="s">
        <v>13</v>
      </c>
    </row>
    <row r="1761" spans="2:11" ht="22" x14ac:dyDescent="0.15">
      <c r="B1761" s="29" t="s">
        <v>2393</v>
      </c>
      <c r="C1761" s="29" t="s">
        <v>277</v>
      </c>
      <c r="D1761" s="31">
        <f>SUMIFS(D1762:D3130,K1762:K3130,"0",B1762:B3130,"5 1 1 3 2 12 31111 6 M78 27000 184 00C 001 13202 015 2111100 2024 00000000*")-SUMIFS(E1762:E3130,K1762:K3130,"0",B1762:B3130,"5 1 1 3 2 12 31111 6 M78 27000 184 00C 001 13202 015 2111100 2024 00000000*")</f>
        <v>0</v>
      </c>
      <c r="E1761"/>
      <c r="F1761" s="31">
        <f>SUMIFS(F1762:F3130,K1762:K3130,"0",B1762:B3130,"5 1 1 3 2 12 31111 6 M78 27000 184 00C 001 13202 015 2111100 2024 00000000*")</f>
        <v>42884.08</v>
      </c>
      <c r="G1761" s="31">
        <f>SUMIFS(G1762:G3130,K1762:K3130,"0",B1762:B3130,"5 1 1 3 2 12 31111 6 M78 27000 184 00C 001 13202 015 2111100 2024 00000000*")</f>
        <v>0</v>
      </c>
      <c r="H1761" s="31">
        <f t="shared" si="28"/>
        <v>42884.08</v>
      </c>
      <c r="I1761" s="31"/>
      <c r="K1761" t="s">
        <v>13</v>
      </c>
    </row>
    <row r="1762" spans="2:11" ht="22" x14ac:dyDescent="0.15">
      <c r="B1762" s="29" t="s">
        <v>2394</v>
      </c>
      <c r="C1762" s="29" t="s">
        <v>32</v>
      </c>
      <c r="D1762" s="31">
        <f>SUMIFS(D1763:D3130,K1763:K3130,"0",B1763:B3130,"5 1 1 3 2 12 31111 6 M78 27000 184 00C 001 13202 015 2111100 2024 00000000 001*")-SUMIFS(E1763:E3130,K1763:K3130,"0",B1763:B3130,"5 1 1 3 2 12 31111 6 M78 27000 184 00C 001 13202 015 2111100 2024 00000000 001*")</f>
        <v>0</v>
      </c>
      <c r="E1762"/>
      <c r="F1762" s="31">
        <f>SUMIFS(F1763:F3130,K1763:K3130,"0",B1763:B3130,"5 1 1 3 2 12 31111 6 M78 27000 184 00C 001 13202 015 2111100 2024 00000000 001*")</f>
        <v>42884.08</v>
      </c>
      <c r="G1762" s="31">
        <f>SUMIFS(G1763:G3130,K1763:K3130,"0",B1763:B3130,"5 1 1 3 2 12 31111 6 M78 27000 184 00C 001 13202 015 2111100 2024 00000000 001*")</f>
        <v>0</v>
      </c>
      <c r="H1762" s="31">
        <f t="shared" si="28"/>
        <v>42884.08</v>
      </c>
      <c r="I1762" s="31"/>
      <c r="K1762" t="s">
        <v>13</v>
      </c>
    </row>
    <row r="1763" spans="2:11" ht="22" x14ac:dyDescent="0.15">
      <c r="B1763" s="29" t="s">
        <v>2395</v>
      </c>
      <c r="C1763" s="29" t="s">
        <v>2132</v>
      </c>
      <c r="D1763" s="31">
        <f>SUMIFS(D1764:D3130,K1764:K3130,"0",B1764:B3130,"5 1 1 3 2 12 31111 6 M78 27000 184 00C 001 13202 015 2111100 2024 00000000 001 001*")-SUMIFS(E1764:E3130,K1764:K3130,"0",B1764:B3130,"5 1 1 3 2 12 31111 6 M78 27000 184 00C 001 13202 015 2111100 2024 00000000 001 001*")</f>
        <v>0</v>
      </c>
      <c r="E1763"/>
      <c r="F1763" s="31">
        <f>SUMIFS(F1764:F3130,K1764:K3130,"0",B1764:B3130,"5 1 1 3 2 12 31111 6 M78 27000 184 00C 001 13202 015 2111100 2024 00000000 001 001*")</f>
        <v>42884.08</v>
      </c>
      <c r="G1763" s="31">
        <f>SUMIFS(G1764:G3130,K1764:K3130,"0",B1764:B3130,"5 1 1 3 2 12 31111 6 M78 27000 184 00C 001 13202 015 2111100 2024 00000000 001 001*")</f>
        <v>0</v>
      </c>
      <c r="H1763" s="31">
        <f t="shared" si="28"/>
        <v>42884.08</v>
      </c>
      <c r="I1763" s="31"/>
      <c r="K1763" t="s">
        <v>13</v>
      </c>
    </row>
    <row r="1764" spans="2:11" ht="22" x14ac:dyDescent="0.15">
      <c r="B1764" s="27" t="s">
        <v>2396</v>
      </c>
      <c r="C1764" s="27" t="s">
        <v>2155</v>
      </c>
      <c r="D1764" s="30">
        <v>0</v>
      </c>
      <c r="E1764" s="30"/>
      <c r="F1764" s="30">
        <v>42884.08</v>
      </c>
      <c r="G1764" s="30">
        <v>0</v>
      </c>
      <c r="H1764" s="30">
        <f t="shared" si="28"/>
        <v>42884.08</v>
      </c>
      <c r="I1764" s="30"/>
      <c r="K1764" t="s">
        <v>37</v>
      </c>
    </row>
    <row r="1765" spans="2:11" ht="13" x14ac:dyDescent="0.15">
      <c r="B1765" s="29" t="s">
        <v>2397</v>
      </c>
      <c r="C1765" s="29" t="s">
        <v>2398</v>
      </c>
      <c r="D1765" s="31">
        <f>SUMIFS(D1766:D3130,K1766:K3130,"0",B1766:B3130,"5 1 1 3 4*")-SUMIFS(E1766:E3130,K1766:K3130,"0",B1766:B3130,"5 1 1 3 4*")</f>
        <v>0</v>
      </c>
      <c r="E1765"/>
      <c r="F1765" s="31">
        <f>SUMIFS(F1766:F3130,K1766:K3130,"0",B1766:B3130,"5 1 1 3 4*")</f>
        <v>3648628.33</v>
      </c>
      <c r="G1765" s="31">
        <f>SUMIFS(G1766:G3130,K1766:K3130,"0",B1766:B3130,"5 1 1 3 4*")</f>
        <v>0</v>
      </c>
      <c r="H1765" s="31">
        <f t="shared" si="28"/>
        <v>3648628.33</v>
      </c>
      <c r="I1765" s="31"/>
      <c r="K1765" t="s">
        <v>13</v>
      </c>
    </row>
    <row r="1766" spans="2:11" ht="13" x14ac:dyDescent="0.15">
      <c r="B1766" s="29" t="s">
        <v>2399</v>
      </c>
      <c r="C1766" s="29" t="s">
        <v>24</v>
      </c>
      <c r="D1766" s="31">
        <f>SUMIFS(D1767:D3130,K1767:K3130,"0",B1767:B3130,"5 1 1 3 4 12*")-SUMIFS(E1767:E3130,K1767:K3130,"0",B1767:B3130,"5 1 1 3 4 12*")</f>
        <v>0</v>
      </c>
      <c r="E1766"/>
      <c r="F1766" s="31">
        <f>SUMIFS(F1767:F3130,K1767:K3130,"0",B1767:B3130,"5 1 1 3 4 12*")</f>
        <v>3648628.33</v>
      </c>
      <c r="G1766" s="31">
        <f>SUMIFS(G1767:G3130,K1767:K3130,"0",B1767:B3130,"5 1 1 3 4 12*")</f>
        <v>0</v>
      </c>
      <c r="H1766" s="31">
        <f t="shared" si="28"/>
        <v>3648628.33</v>
      </c>
      <c r="I1766" s="31"/>
      <c r="K1766" t="s">
        <v>13</v>
      </c>
    </row>
    <row r="1767" spans="2:11" ht="13" x14ac:dyDescent="0.15">
      <c r="B1767" s="29" t="s">
        <v>2400</v>
      </c>
      <c r="C1767" s="29" t="s">
        <v>26</v>
      </c>
      <c r="D1767" s="31">
        <f>SUMIFS(D1768:D3130,K1768:K3130,"0",B1768:B3130,"5 1 1 3 4 12 31111*")-SUMIFS(E1768:E3130,K1768:K3130,"0",B1768:B3130,"5 1 1 3 4 12 31111*")</f>
        <v>0</v>
      </c>
      <c r="E1767"/>
      <c r="F1767" s="31">
        <f>SUMIFS(F1768:F3130,K1768:K3130,"0",B1768:B3130,"5 1 1 3 4 12 31111*")</f>
        <v>3648628.33</v>
      </c>
      <c r="G1767" s="31">
        <f>SUMIFS(G1768:G3130,K1768:K3130,"0",B1768:B3130,"5 1 1 3 4 12 31111*")</f>
        <v>0</v>
      </c>
      <c r="H1767" s="31">
        <f t="shared" si="28"/>
        <v>3648628.33</v>
      </c>
      <c r="I1767" s="31"/>
      <c r="K1767" t="s">
        <v>13</v>
      </c>
    </row>
    <row r="1768" spans="2:11" ht="13" x14ac:dyDescent="0.15">
      <c r="B1768" s="29" t="s">
        <v>2401</v>
      </c>
      <c r="C1768" s="29" t="s">
        <v>28</v>
      </c>
      <c r="D1768" s="31">
        <f>SUMIFS(D1769:D3130,K1769:K3130,"0",B1769:B3130,"5 1 1 3 4 12 31111 6*")-SUMIFS(E1769:E3130,K1769:K3130,"0",B1769:B3130,"5 1 1 3 4 12 31111 6*")</f>
        <v>0</v>
      </c>
      <c r="E1768"/>
      <c r="F1768" s="31">
        <f>SUMIFS(F1769:F3130,K1769:K3130,"0",B1769:B3130,"5 1 1 3 4 12 31111 6*")</f>
        <v>3648628.33</v>
      </c>
      <c r="G1768" s="31">
        <f>SUMIFS(G1769:G3130,K1769:K3130,"0",B1769:B3130,"5 1 1 3 4 12 31111 6*")</f>
        <v>0</v>
      </c>
      <c r="H1768" s="31">
        <f t="shared" si="28"/>
        <v>3648628.33</v>
      </c>
      <c r="I1768" s="31"/>
      <c r="K1768" t="s">
        <v>13</v>
      </c>
    </row>
    <row r="1769" spans="2:11" ht="13" x14ac:dyDescent="0.15">
      <c r="B1769" s="29" t="s">
        <v>2402</v>
      </c>
      <c r="C1769" s="29" t="s">
        <v>1567</v>
      </c>
      <c r="D1769" s="31">
        <f>SUMIFS(D1770:D3130,K1770:K3130,"0",B1770:B3130,"5 1 1 3 4 12 31111 6 M78*")-SUMIFS(E1770:E3130,K1770:K3130,"0",B1770:B3130,"5 1 1 3 4 12 31111 6 M78*")</f>
        <v>0</v>
      </c>
      <c r="E1769"/>
      <c r="F1769" s="31">
        <f>SUMIFS(F1770:F3130,K1770:K3130,"0",B1770:B3130,"5 1 1 3 4 12 31111 6 M78*")</f>
        <v>3648628.33</v>
      </c>
      <c r="G1769" s="31">
        <f>SUMIFS(G1770:G3130,K1770:K3130,"0",B1770:B3130,"5 1 1 3 4 12 31111 6 M78*")</f>
        <v>0</v>
      </c>
      <c r="H1769" s="31">
        <f t="shared" si="28"/>
        <v>3648628.33</v>
      </c>
      <c r="I1769" s="31"/>
      <c r="K1769" t="s">
        <v>13</v>
      </c>
    </row>
    <row r="1770" spans="2:11" ht="13" x14ac:dyDescent="0.15">
      <c r="B1770" s="29" t="s">
        <v>2403</v>
      </c>
      <c r="C1770" s="29" t="s">
        <v>1804</v>
      </c>
      <c r="D1770" s="31">
        <f>SUMIFS(D1771:D3130,K1771:K3130,"0",B1771:B3130,"5 1 1 3 4 12 31111 6 M78 01000*")-SUMIFS(E1771:E3130,K1771:K3130,"0",B1771:B3130,"5 1 1 3 4 12 31111 6 M78 01000*")</f>
        <v>0</v>
      </c>
      <c r="E1770"/>
      <c r="F1770" s="31">
        <f>SUMIFS(F1771:F3130,K1771:K3130,"0",B1771:B3130,"5 1 1 3 4 12 31111 6 M78 01000*")</f>
        <v>587549.41999999993</v>
      </c>
      <c r="G1770" s="31">
        <f>SUMIFS(G1771:G3130,K1771:K3130,"0",B1771:B3130,"5 1 1 3 4 12 31111 6 M78 01000*")</f>
        <v>0</v>
      </c>
      <c r="H1770" s="31">
        <f t="shared" si="28"/>
        <v>587549.41999999993</v>
      </c>
      <c r="I1770" s="31"/>
      <c r="K1770" t="s">
        <v>13</v>
      </c>
    </row>
    <row r="1771" spans="2:11" ht="13" x14ac:dyDescent="0.15">
      <c r="B1771" s="29" t="s">
        <v>2404</v>
      </c>
      <c r="C1771" s="29" t="s">
        <v>1806</v>
      </c>
      <c r="D1771" s="31">
        <f>SUMIFS(D1772:D3130,K1772:K3130,"0",B1772:B3130,"5 1 1 3 4 12 31111 6 M78 01000 131*")-SUMIFS(E1772:E3130,K1772:K3130,"0",B1772:B3130,"5 1 1 3 4 12 31111 6 M78 01000 131*")</f>
        <v>0</v>
      </c>
      <c r="E1771"/>
      <c r="F1771" s="31">
        <f>SUMIFS(F1772:F3130,K1772:K3130,"0",B1772:B3130,"5 1 1 3 4 12 31111 6 M78 01000 131*")</f>
        <v>587549.41999999993</v>
      </c>
      <c r="G1771" s="31">
        <f>SUMIFS(G1772:G3130,K1772:K3130,"0",B1772:B3130,"5 1 1 3 4 12 31111 6 M78 01000 131*")</f>
        <v>0</v>
      </c>
      <c r="H1771" s="31">
        <f t="shared" si="28"/>
        <v>587549.41999999993</v>
      </c>
      <c r="I1771" s="31"/>
      <c r="K1771" t="s">
        <v>13</v>
      </c>
    </row>
    <row r="1772" spans="2:11" ht="13" x14ac:dyDescent="0.15">
      <c r="B1772" s="29" t="s">
        <v>2405</v>
      </c>
      <c r="C1772" s="29" t="s">
        <v>265</v>
      </c>
      <c r="D1772" s="31">
        <f>SUMIFS(D1773:D3130,K1773:K3130,"0",B1773:B3130,"5 1 1 3 4 12 31111 6 M78 01000 131 00C*")-SUMIFS(E1773:E3130,K1773:K3130,"0",B1773:B3130,"5 1 1 3 4 12 31111 6 M78 01000 131 00C*")</f>
        <v>0</v>
      </c>
      <c r="E1772"/>
      <c r="F1772" s="31">
        <f>SUMIFS(F1773:F3130,K1773:K3130,"0",B1773:B3130,"5 1 1 3 4 12 31111 6 M78 01000 131 00C*")</f>
        <v>587549.41999999993</v>
      </c>
      <c r="G1772" s="31">
        <f>SUMIFS(G1773:G3130,K1773:K3130,"0",B1773:B3130,"5 1 1 3 4 12 31111 6 M78 01000 131 00C*")</f>
        <v>0</v>
      </c>
      <c r="H1772" s="31">
        <f t="shared" si="28"/>
        <v>587549.41999999993</v>
      </c>
      <c r="I1772" s="31"/>
      <c r="K1772" t="s">
        <v>13</v>
      </c>
    </row>
    <row r="1773" spans="2:11" ht="13" x14ac:dyDescent="0.15">
      <c r="B1773" s="29" t="s">
        <v>2406</v>
      </c>
      <c r="C1773" s="29" t="s">
        <v>32</v>
      </c>
      <c r="D1773" s="31">
        <f>SUMIFS(D1774:D3130,K1774:K3130,"0",B1774:B3130,"5 1 1 3 4 12 31111 6 M78 01000 131 00C 001*")-SUMIFS(E1774:E3130,K1774:K3130,"0",B1774:B3130,"5 1 1 3 4 12 31111 6 M78 01000 131 00C 001*")</f>
        <v>0</v>
      </c>
      <c r="E1773"/>
      <c r="F1773" s="31">
        <f>SUMIFS(F1774:F3130,K1774:K3130,"0",B1774:B3130,"5 1 1 3 4 12 31111 6 M78 01000 131 00C 001*")</f>
        <v>587549.41999999993</v>
      </c>
      <c r="G1773" s="31">
        <f>SUMIFS(G1774:G3130,K1774:K3130,"0",B1774:B3130,"5 1 1 3 4 12 31111 6 M78 01000 131 00C 001*")</f>
        <v>0</v>
      </c>
      <c r="H1773" s="31">
        <f t="shared" si="28"/>
        <v>587549.41999999993</v>
      </c>
      <c r="I1773" s="31"/>
      <c r="K1773" t="s">
        <v>13</v>
      </c>
    </row>
    <row r="1774" spans="2:11" ht="13" x14ac:dyDescent="0.15">
      <c r="B1774" s="29" t="s">
        <v>2407</v>
      </c>
      <c r="C1774" s="29" t="s">
        <v>2408</v>
      </c>
      <c r="D1774" s="31">
        <f>SUMIFS(D1775:D3130,K1775:K3130,"0",B1775:B3130,"5 1 1 3 4 12 31111 6 M78 01000 131 00C 001 13403*")-SUMIFS(E1775:E3130,K1775:K3130,"0",B1775:B3130,"5 1 1 3 4 12 31111 6 M78 01000 131 00C 001 13403*")</f>
        <v>0</v>
      </c>
      <c r="E1774"/>
      <c r="F1774" s="31">
        <f>SUMIFS(F1775:F3130,K1775:K3130,"0",B1775:B3130,"5 1 1 3 4 12 31111 6 M78 01000 131 00C 001 13403*")</f>
        <v>464047.67</v>
      </c>
      <c r="G1774" s="31">
        <f>SUMIFS(G1775:G3130,K1775:K3130,"0",B1775:B3130,"5 1 1 3 4 12 31111 6 M78 01000 131 00C 001 13403*")</f>
        <v>0</v>
      </c>
      <c r="H1774" s="31">
        <f t="shared" si="28"/>
        <v>464047.67</v>
      </c>
      <c r="I1774" s="31"/>
      <c r="K1774" t="s">
        <v>13</v>
      </c>
    </row>
    <row r="1775" spans="2:11" ht="22" x14ac:dyDescent="0.15">
      <c r="B1775" s="29" t="s">
        <v>2409</v>
      </c>
      <c r="C1775" s="29" t="s">
        <v>271</v>
      </c>
      <c r="D1775" s="31">
        <f>SUMIFS(D1776:D3130,K1776:K3130,"0",B1776:B3130,"5 1 1 3 4 12 31111 6 M78 01000 131 00C 001 13403 015*")-SUMIFS(E1776:E3130,K1776:K3130,"0",B1776:B3130,"5 1 1 3 4 12 31111 6 M78 01000 131 00C 001 13403 015*")</f>
        <v>0</v>
      </c>
      <c r="E1775"/>
      <c r="F1775" s="31">
        <f>SUMIFS(F1776:F3130,K1776:K3130,"0",B1776:B3130,"5 1 1 3 4 12 31111 6 M78 01000 131 00C 001 13403 015*")</f>
        <v>464047.67</v>
      </c>
      <c r="G1775" s="31">
        <f>SUMIFS(G1776:G3130,K1776:K3130,"0",B1776:B3130,"5 1 1 3 4 12 31111 6 M78 01000 131 00C 001 13403 015*")</f>
        <v>0</v>
      </c>
      <c r="H1775" s="31">
        <f t="shared" si="28"/>
        <v>464047.67</v>
      </c>
      <c r="I1775" s="31"/>
      <c r="K1775" t="s">
        <v>13</v>
      </c>
    </row>
    <row r="1776" spans="2:11" ht="22" x14ac:dyDescent="0.15">
      <c r="B1776" s="29" t="s">
        <v>2410</v>
      </c>
      <c r="C1776" s="29" t="s">
        <v>1813</v>
      </c>
      <c r="D1776" s="31">
        <f>SUMIFS(D1777:D3130,K1777:K3130,"0",B1777:B3130,"5 1 1 3 4 12 31111 6 M78 01000 131 00C 001 13403 015 2111100*")-SUMIFS(E1777:E3130,K1777:K3130,"0",B1777:B3130,"5 1 1 3 4 12 31111 6 M78 01000 131 00C 001 13403 015 2111100*")</f>
        <v>0</v>
      </c>
      <c r="E1776"/>
      <c r="F1776" s="31">
        <f>SUMIFS(F1777:F3130,K1777:K3130,"0",B1777:B3130,"5 1 1 3 4 12 31111 6 M78 01000 131 00C 001 13403 015 2111100*")</f>
        <v>464047.67</v>
      </c>
      <c r="G1776" s="31">
        <f>SUMIFS(G1777:G3130,K1777:K3130,"0",B1777:B3130,"5 1 1 3 4 12 31111 6 M78 01000 131 00C 001 13403 015 2111100*")</f>
        <v>0</v>
      </c>
      <c r="H1776" s="31">
        <f t="shared" si="28"/>
        <v>464047.67</v>
      </c>
      <c r="I1776" s="31"/>
      <c r="K1776" t="s">
        <v>13</v>
      </c>
    </row>
    <row r="1777" spans="2:11" ht="22" x14ac:dyDescent="0.15">
      <c r="B1777" s="29" t="s">
        <v>2411</v>
      </c>
      <c r="C1777" s="29" t="s">
        <v>275</v>
      </c>
      <c r="D1777" s="31">
        <f>SUMIFS(D1778:D3130,K1778:K3130,"0",B1778:B3130,"5 1 1 3 4 12 31111 6 M78 01000 131 00C 001 13403 015 2111100 2024*")-SUMIFS(E1778:E3130,K1778:K3130,"0",B1778:B3130,"5 1 1 3 4 12 31111 6 M78 01000 131 00C 001 13403 015 2111100 2024*")</f>
        <v>0</v>
      </c>
      <c r="E1777"/>
      <c r="F1777" s="31">
        <f>SUMIFS(F1778:F3130,K1778:K3130,"0",B1778:B3130,"5 1 1 3 4 12 31111 6 M78 01000 131 00C 001 13403 015 2111100 2024*")</f>
        <v>464047.67</v>
      </c>
      <c r="G1777" s="31">
        <f>SUMIFS(G1778:G3130,K1778:K3130,"0",B1778:B3130,"5 1 1 3 4 12 31111 6 M78 01000 131 00C 001 13403 015 2111100 2024*")</f>
        <v>0</v>
      </c>
      <c r="H1777" s="31">
        <f t="shared" si="28"/>
        <v>464047.67</v>
      </c>
      <c r="I1777" s="31"/>
      <c r="K1777" t="s">
        <v>13</v>
      </c>
    </row>
    <row r="1778" spans="2:11" ht="22" x14ac:dyDescent="0.15">
      <c r="B1778" s="29" t="s">
        <v>2412</v>
      </c>
      <c r="C1778" s="29" t="s">
        <v>277</v>
      </c>
      <c r="D1778" s="31">
        <f>SUMIFS(D1779:D3130,K1779:K3130,"0",B1779:B3130,"5 1 1 3 4 12 31111 6 M78 01000 131 00C 001 13403 015 2111100 2024 00000000*")-SUMIFS(E1779:E3130,K1779:K3130,"0",B1779:B3130,"5 1 1 3 4 12 31111 6 M78 01000 131 00C 001 13403 015 2111100 2024 00000000*")</f>
        <v>0</v>
      </c>
      <c r="E1778"/>
      <c r="F1778" s="31">
        <f>SUMIFS(F1779:F3130,K1779:K3130,"0",B1779:B3130,"5 1 1 3 4 12 31111 6 M78 01000 131 00C 001 13403 015 2111100 2024 00000000*")</f>
        <v>464047.67</v>
      </c>
      <c r="G1778" s="31">
        <f>SUMIFS(G1779:G3130,K1779:K3130,"0",B1779:B3130,"5 1 1 3 4 12 31111 6 M78 01000 131 00C 001 13403 015 2111100 2024 00000000*")</f>
        <v>0</v>
      </c>
      <c r="H1778" s="31">
        <f t="shared" si="28"/>
        <v>464047.67</v>
      </c>
      <c r="I1778" s="31"/>
      <c r="K1778" t="s">
        <v>13</v>
      </c>
    </row>
    <row r="1779" spans="2:11" ht="22" x14ac:dyDescent="0.15">
      <c r="B1779" s="29" t="s">
        <v>2413</v>
      </c>
      <c r="C1779" s="29" t="s">
        <v>32</v>
      </c>
      <c r="D1779" s="31">
        <f>SUMIFS(D1780:D3130,K1780:K3130,"0",B1780:B3130,"5 1 1 3 4 12 31111 6 M78 01000 131 00C 001 13403 015 2111100 2024 00000000 001*")-SUMIFS(E1780:E3130,K1780:K3130,"0",B1780:B3130,"5 1 1 3 4 12 31111 6 M78 01000 131 00C 001 13403 015 2111100 2024 00000000 001*")</f>
        <v>0</v>
      </c>
      <c r="E1779"/>
      <c r="F1779" s="31">
        <f>SUMIFS(F1780:F3130,K1780:K3130,"0",B1780:B3130,"5 1 1 3 4 12 31111 6 M78 01000 131 00C 001 13403 015 2111100 2024 00000000 001*")</f>
        <v>464047.67</v>
      </c>
      <c r="G1779" s="31">
        <f>SUMIFS(G1780:G3130,K1780:K3130,"0",B1780:B3130,"5 1 1 3 4 12 31111 6 M78 01000 131 00C 001 13403 015 2111100 2024 00000000 001*")</f>
        <v>0</v>
      </c>
      <c r="H1779" s="31">
        <f t="shared" si="28"/>
        <v>464047.67</v>
      </c>
      <c r="I1779" s="31"/>
      <c r="K1779" t="s">
        <v>13</v>
      </c>
    </row>
    <row r="1780" spans="2:11" ht="22" x14ac:dyDescent="0.15">
      <c r="B1780" s="29" t="s">
        <v>2414</v>
      </c>
      <c r="C1780" s="29" t="s">
        <v>1818</v>
      </c>
      <c r="D1780" s="31">
        <f>SUMIFS(D1781:D3130,K1781:K3130,"0",B1781:B3130,"5 1 1 3 4 12 31111 6 M78 01000 131 00C 001 13403 015 2111100 2024 00000000 001 001*")-SUMIFS(E1781:E3130,K1781:K3130,"0",B1781:B3130,"5 1 1 3 4 12 31111 6 M78 01000 131 00C 001 13403 015 2111100 2024 00000000 001 001*")</f>
        <v>0</v>
      </c>
      <c r="E1780"/>
      <c r="F1780" s="31">
        <f>SUMIFS(F1781:F3130,K1781:K3130,"0",B1781:B3130,"5 1 1 3 4 12 31111 6 M78 01000 131 00C 001 13403 015 2111100 2024 00000000 001 001*")</f>
        <v>464047.67</v>
      </c>
      <c r="G1780" s="31">
        <f>SUMIFS(G1781:G3130,K1781:K3130,"0",B1781:B3130,"5 1 1 3 4 12 31111 6 M78 01000 131 00C 001 13403 015 2111100 2024 00000000 001 001*")</f>
        <v>0</v>
      </c>
      <c r="H1780" s="31">
        <f t="shared" si="28"/>
        <v>464047.67</v>
      </c>
      <c r="I1780" s="31"/>
      <c r="K1780" t="s">
        <v>13</v>
      </c>
    </row>
    <row r="1781" spans="2:11" ht="22" x14ac:dyDescent="0.15">
      <c r="B1781" s="27" t="s">
        <v>2415</v>
      </c>
      <c r="C1781" s="27" t="s">
        <v>2416</v>
      </c>
      <c r="D1781" s="30">
        <v>0</v>
      </c>
      <c r="E1781" s="30"/>
      <c r="F1781" s="30">
        <v>464047.67</v>
      </c>
      <c r="G1781" s="30">
        <v>0</v>
      </c>
      <c r="H1781" s="30">
        <f t="shared" si="28"/>
        <v>464047.67</v>
      </c>
      <c r="I1781" s="30"/>
      <c r="K1781" t="s">
        <v>37</v>
      </c>
    </row>
    <row r="1782" spans="2:11" ht="13" x14ac:dyDescent="0.15">
      <c r="B1782" s="29" t="s">
        <v>2417</v>
      </c>
      <c r="C1782" s="29" t="s">
        <v>2418</v>
      </c>
      <c r="D1782" s="31">
        <f>SUMIFS(D1783:D3130,K1783:K3130,"0",B1783:B3130,"5 1 1 3 4 12 31111 6 M78 01000 131 00C 001 13406*")-SUMIFS(E1783:E3130,K1783:K3130,"0",B1783:B3130,"5 1 1 3 4 12 31111 6 M78 01000 131 00C 001 13406*")</f>
        <v>0</v>
      </c>
      <c r="E1782"/>
      <c r="F1782" s="31">
        <f>SUMIFS(F1783:F3130,K1783:K3130,"0",B1783:B3130,"5 1 1 3 4 12 31111 6 M78 01000 131 00C 001 13406*")</f>
        <v>123501.75</v>
      </c>
      <c r="G1782" s="31">
        <f>SUMIFS(G1783:G3130,K1783:K3130,"0",B1783:B3130,"5 1 1 3 4 12 31111 6 M78 01000 131 00C 001 13406*")</f>
        <v>0</v>
      </c>
      <c r="H1782" s="31">
        <f t="shared" si="28"/>
        <v>123501.75</v>
      </c>
      <c r="I1782" s="31"/>
      <c r="K1782" t="s">
        <v>13</v>
      </c>
    </row>
    <row r="1783" spans="2:11" ht="22" x14ac:dyDescent="0.15">
      <c r="B1783" s="29" t="s">
        <v>2419</v>
      </c>
      <c r="C1783" s="29" t="s">
        <v>271</v>
      </c>
      <c r="D1783" s="31">
        <f>SUMIFS(D1784:D3130,K1784:K3130,"0",B1784:B3130,"5 1 1 3 4 12 31111 6 M78 01000 131 00C 001 13406 015*")-SUMIFS(E1784:E3130,K1784:K3130,"0",B1784:B3130,"5 1 1 3 4 12 31111 6 M78 01000 131 00C 001 13406 015*")</f>
        <v>0</v>
      </c>
      <c r="E1783"/>
      <c r="F1783" s="31">
        <f>SUMIFS(F1784:F3130,K1784:K3130,"0",B1784:B3130,"5 1 1 3 4 12 31111 6 M78 01000 131 00C 001 13406 015*")</f>
        <v>123501.75</v>
      </c>
      <c r="G1783" s="31">
        <f>SUMIFS(G1784:G3130,K1784:K3130,"0",B1784:B3130,"5 1 1 3 4 12 31111 6 M78 01000 131 00C 001 13406 015*")</f>
        <v>0</v>
      </c>
      <c r="H1783" s="31">
        <f t="shared" si="28"/>
        <v>123501.75</v>
      </c>
      <c r="I1783" s="31"/>
      <c r="K1783" t="s">
        <v>13</v>
      </c>
    </row>
    <row r="1784" spans="2:11" ht="22" x14ac:dyDescent="0.15">
      <c r="B1784" s="29" t="s">
        <v>2420</v>
      </c>
      <c r="C1784" s="29" t="s">
        <v>1813</v>
      </c>
      <c r="D1784" s="31">
        <f>SUMIFS(D1785:D3130,K1785:K3130,"0",B1785:B3130,"5 1 1 3 4 12 31111 6 M78 01000 131 00C 001 13406 015 2111100*")-SUMIFS(E1785:E3130,K1785:K3130,"0",B1785:B3130,"5 1 1 3 4 12 31111 6 M78 01000 131 00C 001 13406 015 2111100*")</f>
        <v>0</v>
      </c>
      <c r="E1784"/>
      <c r="F1784" s="31">
        <f>SUMIFS(F1785:F3130,K1785:K3130,"0",B1785:B3130,"5 1 1 3 4 12 31111 6 M78 01000 131 00C 001 13406 015 2111100*")</f>
        <v>123501.75</v>
      </c>
      <c r="G1784" s="31">
        <f>SUMIFS(G1785:G3130,K1785:K3130,"0",B1785:B3130,"5 1 1 3 4 12 31111 6 M78 01000 131 00C 001 13406 015 2111100*")</f>
        <v>0</v>
      </c>
      <c r="H1784" s="31">
        <f t="shared" si="28"/>
        <v>123501.75</v>
      </c>
      <c r="I1784" s="31"/>
      <c r="K1784" t="s">
        <v>13</v>
      </c>
    </row>
    <row r="1785" spans="2:11" ht="22" x14ac:dyDescent="0.15">
      <c r="B1785" s="29" t="s">
        <v>2421</v>
      </c>
      <c r="C1785" s="29" t="s">
        <v>275</v>
      </c>
      <c r="D1785" s="31">
        <f>SUMIFS(D1786:D3130,K1786:K3130,"0",B1786:B3130,"5 1 1 3 4 12 31111 6 M78 01000 131 00C 001 13406 015 2111100 2024*")-SUMIFS(E1786:E3130,K1786:K3130,"0",B1786:B3130,"5 1 1 3 4 12 31111 6 M78 01000 131 00C 001 13406 015 2111100 2024*")</f>
        <v>0</v>
      </c>
      <c r="E1785"/>
      <c r="F1785" s="31">
        <f>SUMIFS(F1786:F3130,K1786:K3130,"0",B1786:B3130,"5 1 1 3 4 12 31111 6 M78 01000 131 00C 001 13406 015 2111100 2024*")</f>
        <v>123501.75</v>
      </c>
      <c r="G1785" s="31">
        <f>SUMIFS(G1786:G3130,K1786:K3130,"0",B1786:B3130,"5 1 1 3 4 12 31111 6 M78 01000 131 00C 001 13406 015 2111100 2024*")</f>
        <v>0</v>
      </c>
      <c r="H1785" s="31">
        <f t="shared" si="28"/>
        <v>123501.75</v>
      </c>
      <c r="I1785" s="31"/>
      <c r="K1785" t="s">
        <v>13</v>
      </c>
    </row>
    <row r="1786" spans="2:11" ht="22" x14ac:dyDescent="0.15">
      <c r="B1786" s="29" t="s">
        <v>2422</v>
      </c>
      <c r="C1786" s="29" t="s">
        <v>277</v>
      </c>
      <c r="D1786" s="31">
        <f>SUMIFS(D1787:D3130,K1787:K3130,"0",B1787:B3130,"5 1 1 3 4 12 31111 6 M78 01000 131 00C 001 13406 015 2111100 2024 00000000*")-SUMIFS(E1787:E3130,K1787:K3130,"0",B1787:B3130,"5 1 1 3 4 12 31111 6 M78 01000 131 00C 001 13406 015 2111100 2024 00000000*")</f>
        <v>0</v>
      </c>
      <c r="E1786"/>
      <c r="F1786" s="31">
        <f>SUMIFS(F1787:F3130,K1787:K3130,"0",B1787:B3130,"5 1 1 3 4 12 31111 6 M78 01000 131 00C 001 13406 015 2111100 2024 00000000*")</f>
        <v>123501.75</v>
      </c>
      <c r="G1786" s="31">
        <f>SUMIFS(G1787:G3130,K1787:K3130,"0",B1787:B3130,"5 1 1 3 4 12 31111 6 M78 01000 131 00C 001 13406 015 2111100 2024 00000000*")</f>
        <v>0</v>
      </c>
      <c r="H1786" s="31">
        <f t="shared" si="28"/>
        <v>123501.75</v>
      </c>
      <c r="I1786" s="31"/>
      <c r="K1786" t="s">
        <v>13</v>
      </c>
    </row>
    <row r="1787" spans="2:11" ht="22" x14ac:dyDescent="0.15">
      <c r="B1787" s="29" t="s">
        <v>2423</v>
      </c>
      <c r="C1787" s="29" t="s">
        <v>32</v>
      </c>
      <c r="D1787" s="31">
        <f>SUMIFS(D1788:D3130,K1788:K3130,"0",B1788:B3130,"5 1 1 3 4 12 31111 6 M78 01000 131 00C 001 13406 015 2111100 2024 00000000 001*")-SUMIFS(E1788:E3130,K1788:K3130,"0",B1788:B3130,"5 1 1 3 4 12 31111 6 M78 01000 131 00C 001 13406 015 2111100 2024 00000000 001*")</f>
        <v>0</v>
      </c>
      <c r="E1787"/>
      <c r="F1787" s="31">
        <f>SUMIFS(F1788:F3130,K1788:K3130,"0",B1788:B3130,"5 1 1 3 4 12 31111 6 M78 01000 131 00C 001 13406 015 2111100 2024 00000000 001*")</f>
        <v>123501.75</v>
      </c>
      <c r="G1787" s="31">
        <f>SUMIFS(G1788:G3130,K1788:K3130,"0",B1788:B3130,"5 1 1 3 4 12 31111 6 M78 01000 131 00C 001 13406 015 2111100 2024 00000000 001*")</f>
        <v>0</v>
      </c>
      <c r="H1787" s="31">
        <f t="shared" si="28"/>
        <v>123501.75</v>
      </c>
      <c r="I1787" s="31"/>
      <c r="K1787" t="s">
        <v>13</v>
      </c>
    </row>
    <row r="1788" spans="2:11" ht="22" x14ac:dyDescent="0.15">
      <c r="B1788" s="29" t="s">
        <v>2424</v>
      </c>
      <c r="C1788" s="29" t="s">
        <v>1818</v>
      </c>
      <c r="D1788" s="31">
        <f>SUMIFS(D1789:D3130,K1789:K3130,"0",B1789:B3130,"5 1 1 3 4 12 31111 6 M78 01000 131 00C 001 13406 015 2111100 2024 00000000 001 001*")-SUMIFS(E1789:E3130,K1789:K3130,"0",B1789:B3130,"5 1 1 3 4 12 31111 6 M78 01000 131 00C 001 13406 015 2111100 2024 00000000 001 001*")</f>
        <v>0</v>
      </c>
      <c r="E1788"/>
      <c r="F1788" s="31">
        <f>SUMIFS(F1789:F3130,K1789:K3130,"0",B1789:B3130,"5 1 1 3 4 12 31111 6 M78 01000 131 00C 001 13406 015 2111100 2024 00000000 001 001*")</f>
        <v>123501.75</v>
      </c>
      <c r="G1788" s="31">
        <f>SUMIFS(G1789:G3130,K1789:K3130,"0",B1789:B3130,"5 1 1 3 4 12 31111 6 M78 01000 131 00C 001 13406 015 2111100 2024 00000000 001 001*")</f>
        <v>0</v>
      </c>
      <c r="H1788" s="31">
        <f t="shared" si="28"/>
        <v>123501.75</v>
      </c>
      <c r="I1788" s="31"/>
      <c r="K1788" t="s">
        <v>13</v>
      </c>
    </row>
    <row r="1789" spans="2:11" ht="22" x14ac:dyDescent="0.15">
      <c r="B1789" s="27" t="s">
        <v>2425</v>
      </c>
      <c r="C1789" s="27" t="s">
        <v>2426</v>
      </c>
      <c r="D1789" s="30">
        <v>0</v>
      </c>
      <c r="E1789" s="30"/>
      <c r="F1789" s="30">
        <v>123501.75</v>
      </c>
      <c r="G1789" s="30">
        <v>0</v>
      </c>
      <c r="H1789" s="30">
        <f t="shared" si="28"/>
        <v>123501.75</v>
      </c>
      <c r="I1789" s="30"/>
      <c r="K1789" t="s">
        <v>37</v>
      </c>
    </row>
    <row r="1790" spans="2:11" ht="13" x14ac:dyDescent="0.15">
      <c r="B1790" s="29" t="s">
        <v>2427</v>
      </c>
      <c r="C1790" s="29" t="s">
        <v>1822</v>
      </c>
      <c r="D1790" s="31">
        <f>SUMIFS(D1791:D3130,K1791:K3130,"0",B1791:B3130,"5 1 1 3 4 12 31111 6 M78 02000*")-SUMIFS(E1791:E3130,K1791:K3130,"0",B1791:B3130,"5 1 1 3 4 12 31111 6 M78 02000*")</f>
        <v>0</v>
      </c>
      <c r="E1790"/>
      <c r="F1790" s="31">
        <f>SUMIFS(F1791:F3130,K1791:K3130,"0",B1791:B3130,"5 1 1 3 4 12 31111 6 M78 02000*")</f>
        <v>285469.67000000004</v>
      </c>
      <c r="G1790" s="31">
        <f>SUMIFS(G1791:G3130,K1791:K3130,"0",B1791:B3130,"5 1 1 3 4 12 31111 6 M78 02000*")</f>
        <v>0</v>
      </c>
      <c r="H1790" s="31">
        <f t="shared" si="28"/>
        <v>285469.67000000004</v>
      </c>
      <c r="I1790" s="31"/>
      <c r="K1790" t="s">
        <v>13</v>
      </c>
    </row>
    <row r="1791" spans="2:11" ht="13" x14ac:dyDescent="0.15">
      <c r="B1791" s="29" t="s">
        <v>2428</v>
      </c>
      <c r="C1791" s="29" t="s">
        <v>1824</v>
      </c>
      <c r="D1791" s="31">
        <f>SUMIFS(D1792:D3130,K1792:K3130,"0",B1792:B3130,"5 1 1 3 4 12 31111 6 M78 02000 122*")-SUMIFS(E1792:E3130,K1792:K3130,"0",B1792:B3130,"5 1 1 3 4 12 31111 6 M78 02000 122*")</f>
        <v>0</v>
      </c>
      <c r="E1791"/>
      <c r="F1791" s="31">
        <f>SUMIFS(F1792:F3130,K1792:K3130,"0",B1792:B3130,"5 1 1 3 4 12 31111 6 M78 02000 122*")</f>
        <v>285469.67000000004</v>
      </c>
      <c r="G1791" s="31">
        <f>SUMIFS(G1792:G3130,K1792:K3130,"0",B1792:B3130,"5 1 1 3 4 12 31111 6 M78 02000 122*")</f>
        <v>0</v>
      </c>
      <c r="H1791" s="31">
        <f t="shared" si="28"/>
        <v>285469.67000000004</v>
      </c>
      <c r="I1791" s="31"/>
      <c r="K1791" t="s">
        <v>13</v>
      </c>
    </row>
    <row r="1792" spans="2:11" ht="13" x14ac:dyDescent="0.15">
      <c r="B1792" s="29" t="s">
        <v>2429</v>
      </c>
      <c r="C1792" s="29" t="s">
        <v>265</v>
      </c>
      <c r="D1792" s="31">
        <f>SUMIFS(D1793:D3130,K1793:K3130,"0",B1793:B3130,"5 1 1 3 4 12 31111 6 M78 02000 122 00C*")-SUMIFS(E1793:E3130,K1793:K3130,"0",B1793:B3130,"5 1 1 3 4 12 31111 6 M78 02000 122 00C*")</f>
        <v>0</v>
      </c>
      <c r="E1792"/>
      <c r="F1792" s="31">
        <f>SUMIFS(F1793:F3130,K1793:K3130,"0",B1793:B3130,"5 1 1 3 4 12 31111 6 M78 02000 122 00C*")</f>
        <v>285469.67000000004</v>
      </c>
      <c r="G1792" s="31">
        <f>SUMIFS(G1793:G3130,K1793:K3130,"0",B1793:B3130,"5 1 1 3 4 12 31111 6 M78 02000 122 00C*")</f>
        <v>0</v>
      </c>
      <c r="H1792" s="31">
        <f t="shared" si="28"/>
        <v>285469.67000000004</v>
      </c>
      <c r="I1792" s="31"/>
      <c r="K1792" t="s">
        <v>13</v>
      </c>
    </row>
    <row r="1793" spans="2:11" ht="13" x14ac:dyDescent="0.15">
      <c r="B1793" s="29" t="s">
        <v>2430</v>
      </c>
      <c r="C1793" s="29" t="s">
        <v>32</v>
      </c>
      <c r="D1793" s="31">
        <f>SUMIFS(D1794:D3130,K1794:K3130,"0",B1794:B3130,"5 1 1 3 4 12 31111 6 M78 02000 122 00C 001*")-SUMIFS(E1794:E3130,K1794:K3130,"0",B1794:B3130,"5 1 1 3 4 12 31111 6 M78 02000 122 00C 001*")</f>
        <v>0</v>
      </c>
      <c r="E1793"/>
      <c r="F1793" s="31">
        <f>SUMIFS(F1794:F3130,K1794:K3130,"0",B1794:B3130,"5 1 1 3 4 12 31111 6 M78 02000 122 00C 001*")</f>
        <v>285469.67000000004</v>
      </c>
      <c r="G1793" s="31">
        <f>SUMIFS(G1794:G3130,K1794:K3130,"0",B1794:B3130,"5 1 1 3 4 12 31111 6 M78 02000 122 00C 001*")</f>
        <v>0</v>
      </c>
      <c r="H1793" s="31">
        <f t="shared" si="28"/>
        <v>285469.67000000004</v>
      </c>
      <c r="I1793" s="31"/>
      <c r="K1793" t="s">
        <v>13</v>
      </c>
    </row>
    <row r="1794" spans="2:11" ht="13" x14ac:dyDescent="0.15">
      <c r="B1794" s="29" t="s">
        <v>2431</v>
      </c>
      <c r="C1794" s="29" t="s">
        <v>2408</v>
      </c>
      <c r="D1794" s="31">
        <f>SUMIFS(D1795:D3130,K1795:K3130,"0",B1795:B3130,"5 1 1 3 4 12 31111 6 M78 02000 122 00C 001 13403*")-SUMIFS(E1795:E3130,K1795:K3130,"0",B1795:B3130,"5 1 1 3 4 12 31111 6 M78 02000 122 00C 001 13403*")</f>
        <v>0</v>
      </c>
      <c r="E1794"/>
      <c r="F1794" s="31">
        <f>SUMIFS(F1795:F3130,K1795:K3130,"0",B1795:B3130,"5 1 1 3 4 12 31111 6 M78 02000 122 00C 001 13403*")</f>
        <v>207432.2</v>
      </c>
      <c r="G1794" s="31">
        <f>SUMIFS(G1795:G3130,K1795:K3130,"0",B1795:B3130,"5 1 1 3 4 12 31111 6 M78 02000 122 00C 001 13403*")</f>
        <v>0</v>
      </c>
      <c r="H1794" s="31">
        <f t="shared" si="28"/>
        <v>207432.2</v>
      </c>
      <c r="I1794" s="31"/>
      <c r="K1794" t="s">
        <v>13</v>
      </c>
    </row>
    <row r="1795" spans="2:11" ht="22" x14ac:dyDescent="0.15">
      <c r="B1795" s="29" t="s">
        <v>2432</v>
      </c>
      <c r="C1795" s="29" t="s">
        <v>271</v>
      </c>
      <c r="D1795" s="31">
        <f>SUMIFS(D1796:D3130,K1796:K3130,"0",B1796:B3130,"5 1 1 3 4 12 31111 6 M78 02000 122 00C 001 13403 015*")-SUMIFS(E1796:E3130,K1796:K3130,"0",B1796:B3130,"5 1 1 3 4 12 31111 6 M78 02000 122 00C 001 13403 015*")</f>
        <v>0</v>
      </c>
      <c r="E1795"/>
      <c r="F1795" s="31">
        <f>SUMIFS(F1796:F3130,K1796:K3130,"0",B1796:B3130,"5 1 1 3 4 12 31111 6 M78 02000 122 00C 001 13403 015*")</f>
        <v>207432.2</v>
      </c>
      <c r="G1795" s="31">
        <f>SUMIFS(G1796:G3130,K1796:K3130,"0",B1796:B3130,"5 1 1 3 4 12 31111 6 M78 02000 122 00C 001 13403 015*")</f>
        <v>0</v>
      </c>
      <c r="H1795" s="31">
        <f t="shared" si="28"/>
        <v>207432.2</v>
      </c>
      <c r="I1795" s="31"/>
      <c r="K1795" t="s">
        <v>13</v>
      </c>
    </row>
    <row r="1796" spans="2:11" ht="22" x14ac:dyDescent="0.15">
      <c r="B1796" s="29" t="s">
        <v>2433</v>
      </c>
      <c r="C1796" s="29" t="s">
        <v>1813</v>
      </c>
      <c r="D1796" s="31">
        <f>SUMIFS(D1797:D3130,K1797:K3130,"0",B1797:B3130,"5 1 1 3 4 12 31111 6 M78 02000 122 00C 001 13403 015 2111100*")-SUMIFS(E1797:E3130,K1797:K3130,"0",B1797:B3130,"5 1 1 3 4 12 31111 6 M78 02000 122 00C 001 13403 015 2111100*")</f>
        <v>0</v>
      </c>
      <c r="E1796"/>
      <c r="F1796" s="31">
        <f>SUMIFS(F1797:F3130,K1797:K3130,"0",B1797:B3130,"5 1 1 3 4 12 31111 6 M78 02000 122 00C 001 13403 015 2111100*")</f>
        <v>207432.2</v>
      </c>
      <c r="G1796" s="31">
        <f>SUMIFS(G1797:G3130,K1797:K3130,"0",B1797:B3130,"5 1 1 3 4 12 31111 6 M78 02000 122 00C 001 13403 015 2111100*")</f>
        <v>0</v>
      </c>
      <c r="H1796" s="31">
        <f t="shared" si="28"/>
        <v>207432.2</v>
      </c>
      <c r="I1796" s="31"/>
      <c r="K1796" t="s">
        <v>13</v>
      </c>
    </row>
    <row r="1797" spans="2:11" ht="22" x14ac:dyDescent="0.15">
      <c r="B1797" s="29" t="s">
        <v>2434</v>
      </c>
      <c r="C1797" s="29" t="s">
        <v>275</v>
      </c>
      <c r="D1797" s="31">
        <f>SUMIFS(D1798:D3130,K1798:K3130,"0",B1798:B3130,"5 1 1 3 4 12 31111 6 M78 02000 122 00C 001 13403 015 2111100 2024*")-SUMIFS(E1798:E3130,K1798:K3130,"0",B1798:B3130,"5 1 1 3 4 12 31111 6 M78 02000 122 00C 001 13403 015 2111100 2024*")</f>
        <v>0</v>
      </c>
      <c r="E1797"/>
      <c r="F1797" s="31">
        <f>SUMIFS(F1798:F3130,K1798:K3130,"0",B1798:B3130,"5 1 1 3 4 12 31111 6 M78 02000 122 00C 001 13403 015 2111100 2024*")</f>
        <v>207432.2</v>
      </c>
      <c r="G1797" s="31">
        <f>SUMIFS(G1798:G3130,K1798:K3130,"0",B1798:B3130,"5 1 1 3 4 12 31111 6 M78 02000 122 00C 001 13403 015 2111100 2024*")</f>
        <v>0</v>
      </c>
      <c r="H1797" s="31">
        <f t="shared" si="28"/>
        <v>207432.2</v>
      </c>
      <c r="I1797" s="31"/>
      <c r="K1797" t="s">
        <v>13</v>
      </c>
    </row>
    <row r="1798" spans="2:11" ht="22" x14ac:dyDescent="0.15">
      <c r="B1798" s="29" t="s">
        <v>2435</v>
      </c>
      <c r="C1798" s="29" t="s">
        <v>277</v>
      </c>
      <c r="D1798" s="31">
        <f>SUMIFS(D1799:D3130,K1799:K3130,"0",B1799:B3130,"5 1 1 3 4 12 31111 6 M78 02000 122 00C 001 13403 015 2111100 2024 00000000*")-SUMIFS(E1799:E3130,K1799:K3130,"0",B1799:B3130,"5 1 1 3 4 12 31111 6 M78 02000 122 00C 001 13403 015 2111100 2024 00000000*")</f>
        <v>0</v>
      </c>
      <c r="E1798"/>
      <c r="F1798" s="31">
        <f>SUMIFS(F1799:F3130,K1799:K3130,"0",B1799:B3130,"5 1 1 3 4 12 31111 6 M78 02000 122 00C 001 13403 015 2111100 2024 00000000*")</f>
        <v>207432.2</v>
      </c>
      <c r="G1798" s="31">
        <f>SUMIFS(G1799:G3130,K1799:K3130,"0",B1799:B3130,"5 1 1 3 4 12 31111 6 M78 02000 122 00C 001 13403 015 2111100 2024 00000000*")</f>
        <v>0</v>
      </c>
      <c r="H1798" s="31">
        <f t="shared" si="28"/>
        <v>207432.2</v>
      </c>
      <c r="I1798" s="31"/>
      <c r="K1798" t="s">
        <v>13</v>
      </c>
    </row>
    <row r="1799" spans="2:11" ht="22" x14ac:dyDescent="0.15">
      <c r="B1799" s="29" t="s">
        <v>2436</v>
      </c>
      <c r="C1799" s="29" t="s">
        <v>32</v>
      </c>
      <c r="D1799" s="31">
        <f>SUMIFS(D1800:D3130,K1800:K3130,"0",B1800:B3130,"5 1 1 3 4 12 31111 6 M78 02000 122 00C 001 13403 015 2111100 2024 00000000 001*")-SUMIFS(E1800:E3130,K1800:K3130,"0",B1800:B3130,"5 1 1 3 4 12 31111 6 M78 02000 122 00C 001 13403 015 2111100 2024 00000000 001*")</f>
        <v>0</v>
      </c>
      <c r="E1799"/>
      <c r="F1799" s="31">
        <f>SUMIFS(F1800:F3130,K1800:K3130,"0",B1800:B3130,"5 1 1 3 4 12 31111 6 M78 02000 122 00C 001 13403 015 2111100 2024 00000000 001*")</f>
        <v>207432.2</v>
      </c>
      <c r="G1799" s="31">
        <f>SUMIFS(G1800:G3130,K1800:K3130,"0",B1800:B3130,"5 1 1 3 4 12 31111 6 M78 02000 122 00C 001 13403 015 2111100 2024 00000000 001*")</f>
        <v>0</v>
      </c>
      <c r="H1799" s="31">
        <f t="shared" si="28"/>
        <v>207432.2</v>
      </c>
      <c r="I1799" s="31"/>
      <c r="K1799" t="s">
        <v>13</v>
      </c>
    </row>
    <row r="1800" spans="2:11" ht="22" x14ac:dyDescent="0.15">
      <c r="B1800" s="29" t="s">
        <v>2437</v>
      </c>
      <c r="C1800" s="29" t="s">
        <v>1834</v>
      </c>
      <c r="D1800" s="31">
        <f>SUMIFS(D1801:D3130,K1801:K3130,"0",B1801:B3130,"5 1 1 3 4 12 31111 6 M78 02000 122 00C 001 13403 015 2111100 2024 00000000 001 001*")-SUMIFS(E1801:E3130,K1801:K3130,"0",B1801:B3130,"5 1 1 3 4 12 31111 6 M78 02000 122 00C 001 13403 015 2111100 2024 00000000 001 001*")</f>
        <v>0</v>
      </c>
      <c r="E1800"/>
      <c r="F1800" s="31">
        <f>SUMIFS(F1801:F3130,K1801:K3130,"0",B1801:B3130,"5 1 1 3 4 12 31111 6 M78 02000 122 00C 001 13403 015 2111100 2024 00000000 001 001*")</f>
        <v>207432.2</v>
      </c>
      <c r="G1800" s="31">
        <f>SUMIFS(G1801:G3130,K1801:K3130,"0",B1801:B3130,"5 1 1 3 4 12 31111 6 M78 02000 122 00C 001 13403 015 2111100 2024 00000000 001 001*")</f>
        <v>0</v>
      </c>
      <c r="H1800" s="31">
        <f t="shared" si="28"/>
        <v>207432.2</v>
      </c>
      <c r="I1800" s="31"/>
      <c r="K1800" t="s">
        <v>13</v>
      </c>
    </row>
    <row r="1801" spans="2:11" ht="22" x14ac:dyDescent="0.15">
      <c r="B1801" s="27" t="s">
        <v>2438</v>
      </c>
      <c r="C1801" s="27" t="s">
        <v>2416</v>
      </c>
      <c r="D1801" s="30">
        <v>0</v>
      </c>
      <c r="E1801" s="30"/>
      <c r="F1801" s="30">
        <v>207432.2</v>
      </c>
      <c r="G1801" s="30">
        <v>0</v>
      </c>
      <c r="H1801" s="30">
        <f t="shared" si="28"/>
        <v>207432.2</v>
      </c>
      <c r="I1801" s="30"/>
      <c r="K1801" t="s">
        <v>37</v>
      </c>
    </row>
    <row r="1802" spans="2:11" ht="13" x14ac:dyDescent="0.15">
      <c r="B1802" s="29" t="s">
        <v>2439</v>
      </c>
      <c r="C1802" s="29" t="s">
        <v>2418</v>
      </c>
      <c r="D1802" s="31">
        <f>SUMIFS(D1803:D3130,K1803:K3130,"0",B1803:B3130,"5 1 1 3 4 12 31111 6 M78 02000 122 00C 001 13406*")-SUMIFS(E1803:E3130,K1803:K3130,"0",B1803:B3130,"5 1 1 3 4 12 31111 6 M78 02000 122 00C 001 13406*")</f>
        <v>0</v>
      </c>
      <c r="E1802"/>
      <c r="F1802" s="31">
        <f>SUMIFS(F1803:F3130,K1803:K3130,"0",B1803:B3130,"5 1 1 3 4 12 31111 6 M78 02000 122 00C 001 13406*")</f>
        <v>78037.47</v>
      </c>
      <c r="G1802" s="31">
        <f>SUMIFS(G1803:G3130,K1803:K3130,"0",B1803:B3130,"5 1 1 3 4 12 31111 6 M78 02000 122 00C 001 13406*")</f>
        <v>0</v>
      </c>
      <c r="H1802" s="31">
        <f t="shared" si="28"/>
        <v>78037.47</v>
      </c>
      <c r="I1802" s="31"/>
      <c r="K1802" t="s">
        <v>13</v>
      </c>
    </row>
    <row r="1803" spans="2:11" ht="22" x14ac:dyDescent="0.15">
      <c r="B1803" s="29" t="s">
        <v>2440</v>
      </c>
      <c r="C1803" s="29" t="s">
        <v>271</v>
      </c>
      <c r="D1803" s="31">
        <f>SUMIFS(D1804:D3130,K1804:K3130,"0",B1804:B3130,"5 1 1 3 4 12 31111 6 M78 02000 122 00C 001 13406 015*")-SUMIFS(E1804:E3130,K1804:K3130,"0",B1804:B3130,"5 1 1 3 4 12 31111 6 M78 02000 122 00C 001 13406 015*")</f>
        <v>0</v>
      </c>
      <c r="E1803"/>
      <c r="F1803" s="31">
        <f>SUMIFS(F1804:F3130,K1804:K3130,"0",B1804:B3130,"5 1 1 3 4 12 31111 6 M78 02000 122 00C 001 13406 015*")</f>
        <v>78037.47</v>
      </c>
      <c r="G1803" s="31">
        <f>SUMIFS(G1804:G3130,K1804:K3130,"0",B1804:B3130,"5 1 1 3 4 12 31111 6 M78 02000 122 00C 001 13406 015*")</f>
        <v>0</v>
      </c>
      <c r="H1803" s="31">
        <f t="shared" ref="H1803:H1866" si="29">D1803 + F1803 - G1803</f>
        <v>78037.47</v>
      </c>
      <c r="I1803" s="31"/>
      <c r="K1803" t="s">
        <v>13</v>
      </c>
    </row>
    <row r="1804" spans="2:11" ht="22" x14ac:dyDescent="0.15">
      <c r="B1804" s="29" t="s">
        <v>2441</v>
      </c>
      <c r="C1804" s="29" t="s">
        <v>1813</v>
      </c>
      <c r="D1804" s="31">
        <f>SUMIFS(D1805:D3130,K1805:K3130,"0",B1805:B3130,"5 1 1 3 4 12 31111 6 M78 02000 122 00C 001 13406 015 2111100*")-SUMIFS(E1805:E3130,K1805:K3130,"0",B1805:B3130,"5 1 1 3 4 12 31111 6 M78 02000 122 00C 001 13406 015 2111100*")</f>
        <v>0</v>
      </c>
      <c r="E1804"/>
      <c r="F1804" s="31">
        <f>SUMIFS(F1805:F3130,K1805:K3130,"0",B1805:B3130,"5 1 1 3 4 12 31111 6 M78 02000 122 00C 001 13406 015 2111100*")</f>
        <v>78037.47</v>
      </c>
      <c r="G1804" s="31">
        <f>SUMIFS(G1805:G3130,K1805:K3130,"0",B1805:B3130,"5 1 1 3 4 12 31111 6 M78 02000 122 00C 001 13406 015 2111100*")</f>
        <v>0</v>
      </c>
      <c r="H1804" s="31">
        <f t="shared" si="29"/>
        <v>78037.47</v>
      </c>
      <c r="I1804" s="31"/>
      <c r="K1804" t="s">
        <v>13</v>
      </c>
    </row>
    <row r="1805" spans="2:11" ht="22" x14ac:dyDescent="0.15">
      <c r="B1805" s="29" t="s">
        <v>2442</v>
      </c>
      <c r="C1805" s="29" t="s">
        <v>275</v>
      </c>
      <c r="D1805" s="31">
        <f>SUMIFS(D1806:D3130,K1806:K3130,"0",B1806:B3130,"5 1 1 3 4 12 31111 6 M78 02000 122 00C 001 13406 015 2111100 2024*")-SUMIFS(E1806:E3130,K1806:K3130,"0",B1806:B3130,"5 1 1 3 4 12 31111 6 M78 02000 122 00C 001 13406 015 2111100 2024*")</f>
        <v>0</v>
      </c>
      <c r="E1805"/>
      <c r="F1805" s="31">
        <f>SUMIFS(F1806:F3130,K1806:K3130,"0",B1806:B3130,"5 1 1 3 4 12 31111 6 M78 02000 122 00C 001 13406 015 2111100 2024*")</f>
        <v>78037.47</v>
      </c>
      <c r="G1805" s="31">
        <f>SUMIFS(G1806:G3130,K1806:K3130,"0",B1806:B3130,"5 1 1 3 4 12 31111 6 M78 02000 122 00C 001 13406 015 2111100 2024*")</f>
        <v>0</v>
      </c>
      <c r="H1805" s="31">
        <f t="shared" si="29"/>
        <v>78037.47</v>
      </c>
      <c r="I1805" s="31"/>
      <c r="K1805" t="s">
        <v>13</v>
      </c>
    </row>
    <row r="1806" spans="2:11" ht="22" x14ac:dyDescent="0.15">
      <c r="B1806" s="29" t="s">
        <v>2443</v>
      </c>
      <c r="C1806" s="29" t="s">
        <v>277</v>
      </c>
      <c r="D1806" s="31">
        <f>SUMIFS(D1807:D3130,K1807:K3130,"0",B1807:B3130,"5 1 1 3 4 12 31111 6 M78 02000 122 00C 001 13406 015 2111100 2024 00000000*")-SUMIFS(E1807:E3130,K1807:K3130,"0",B1807:B3130,"5 1 1 3 4 12 31111 6 M78 02000 122 00C 001 13406 015 2111100 2024 00000000*")</f>
        <v>0</v>
      </c>
      <c r="E1806"/>
      <c r="F1806" s="31">
        <f>SUMIFS(F1807:F3130,K1807:K3130,"0",B1807:B3130,"5 1 1 3 4 12 31111 6 M78 02000 122 00C 001 13406 015 2111100 2024 00000000*")</f>
        <v>78037.47</v>
      </c>
      <c r="G1806" s="31">
        <f>SUMIFS(G1807:G3130,K1807:K3130,"0",B1807:B3130,"5 1 1 3 4 12 31111 6 M78 02000 122 00C 001 13406 015 2111100 2024 00000000*")</f>
        <v>0</v>
      </c>
      <c r="H1806" s="31">
        <f t="shared" si="29"/>
        <v>78037.47</v>
      </c>
      <c r="I1806" s="31"/>
      <c r="K1806" t="s">
        <v>13</v>
      </c>
    </row>
    <row r="1807" spans="2:11" ht="22" x14ac:dyDescent="0.15">
      <c r="B1807" s="29" t="s">
        <v>2444</v>
      </c>
      <c r="C1807" s="29" t="s">
        <v>32</v>
      </c>
      <c r="D1807" s="31">
        <f>SUMIFS(D1808:D3130,K1808:K3130,"0",B1808:B3130,"5 1 1 3 4 12 31111 6 M78 02000 122 00C 001 13406 015 2111100 2024 00000000 001*")-SUMIFS(E1808:E3130,K1808:K3130,"0",B1808:B3130,"5 1 1 3 4 12 31111 6 M78 02000 122 00C 001 13406 015 2111100 2024 00000000 001*")</f>
        <v>0</v>
      </c>
      <c r="E1807"/>
      <c r="F1807" s="31">
        <f>SUMIFS(F1808:F3130,K1808:K3130,"0",B1808:B3130,"5 1 1 3 4 12 31111 6 M78 02000 122 00C 001 13406 015 2111100 2024 00000000 001*")</f>
        <v>78037.47</v>
      </c>
      <c r="G1807" s="31">
        <f>SUMIFS(G1808:G3130,K1808:K3130,"0",B1808:B3130,"5 1 1 3 4 12 31111 6 M78 02000 122 00C 001 13406 015 2111100 2024 00000000 001*")</f>
        <v>0</v>
      </c>
      <c r="H1807" s="31">
        <f t="shared" si="29"/>
        <v>78037.47</v>
      </c>
      <c r="I1807" s="31"/>
      <c r="K1807" t="s">
        <v>13</v>
      </c>
    </row>
    <row r="1808" spans="2:11" ht="22" x14ac:dyDescent="0.15">
      <c r="B1808" s="29" t="s">
        <v>2445</v>
      </c>
      <c r="C1808" s="29" t="s">
        <v>1834</v>
      </c>
      <c r="D1808" s="31">
        <f>SUMIFS(D1809:D3130,K1809:K3130,"0",B1809:B3130,"5 1 1 3 4 12 31111 6 M78 02000 122 00C 001 13406 015 2111100 2024 00000000 001 001*")-SUMIFS(E1809:E3130,K1809:K3130,"0",B1809:B3130,"5 1 1 3 4 12 31111 6 M78 02000 122 00C 001 13406 015 2111100 2024 00000000 001 001*")</f>
        <v>0</v>
      </c>
      <c r="E1808"/>
      <c r="F1808" s="31">
        <f>SUMIFS(F1809:F3130,K1809:K3130,"0",B1809:B3130,"5 1 1 3 4 12 31111 6 M78 02000 122 00C 001 13406 015 2111100 2024 00000000 001 001*")</f>
        <v>78037.47</v>
      </c>
      <c r="G1808" s="31">
        <f>SUMIFS(G1809:G3130,K1809:K3130,"0",B1809:B3130,"5 1 1 3 4 12 31111 6 M78 02000 122 00C 001 13406 015 2111100 2024 00000000 001 001*")</f>
        <v>0</v>
      </c>
      <c r="H1808" s="31">
        <f t="shared" si="29"/>
        <v>78037.47</v>
      </c>
      <c r="I1808" s="31"/>
      <c r="K1808" t="s">
        <v>13</v>
      </c>
    </row>
    <row r="1809" spans="2:11" ht="22" x14ac:dyDescent="0.15">
      <c r="B1809" s="27" t="s">
        <v>2446</v>
      </c>
      <c r="C1809" s="27" t="s">
        <v>2426</v>
      </c>
      <c r="D1809" s="30">
        <v>0</v>
      </c>
      <c r="E1809" s="30"/>
      <c r="F1809" s="30">
        <v>78037.47</v>
      </c>
      <c r="G1809" s="30">
        <v>0</v>
      </c>
      <c r="H1809" s="30">
        <f t="shared" si="29"/>
        <v>78037.47</v>
      </c>
      <c r="I1809" s="30"/>
      <c r="K1809" t="s">
        <v>37</v>
      </c>
    </row>
    <row r="1810" spans="2:11" ht="13" x14ac:dyDescent="0.15">
      <c r="B1810" s="29" t="s">
        <v>2447</v>
      </c>
      <c r="C1810" s="29" t="s">
        <v>1837</v>
      </c>
      <c r="D1810" s="31">
        <f>SUMIFS(D1811:D3130,K1811:K3130,"0",B1811:B3130,"5 1 1 3 4 12 31111 6 M78 03000*")-SUMIFS(E1811:E3130,K1811:K3130,"0",B1811:B3130,"5 1 1 3 4 12 31111 6 M78 03000*")</f>
        <v>0</v>
      </c>
      <c r="E1810"/>
      <c r="F1810" s="31">
        <f>SUMIFS(F1811:F3130,K1811:K3130,"0",B1811:B3130,"5 1 1 3 4 12 31111 6 M78 03000*")</f>
        <v>52278.3</v>
      </c>
      <c r="G1810" s="31">
        <f>SUMIFS(G1811:G3130,K1811:K3130,"0",B1811:B3130,"5 1 1 3 4 12 31111 6 M78 03000*")</f>
        <v>0</v>
      </c>
      <c r="H1810" s="31">
        <f t="shared" si="29"/>
        <v>52278.3</v>
      </c>
      <c r="I1810" s="31"/>
      <c r="K1810" t="s">
        <v>13</v>
      </c>
    </row>
    <row r="1811" spans="2:11" ht="13" x14ac:dyDescent="0.15">
      <c r="B1811" s="29" t="s">
        <v>2448</v>
      </c>
      <c r="C1811" s="29" t="s">
        <v>1839</v>
      </c>
      <c r="D1811" s="31">
        <f>SUMIFS(D1812:D3130,K1812:K3130,"0",B1812:B3130,"5 1 1 3 4 12 31111 6 M78 03000 135*")-SUMIFS(E1812:E3130,K1812:K3130,"0",B1812:B3130,"5 1 1 3 4 12 31111 6 M78 03000 135*")</f>
        <v>0</v>
      </c>
      <c r="E1811"/>
      <c r="F1811" s="31">
        <f>SUMIFS(F1812:F3130,K1812:K3130,"0",B1812:B3130,"5 1 1 3 4 12 31111 6 M78 03000 135*")</f>
        <v>52278.3</v>
      </c>
      <c r="G1811" s="31">
        <f>SUMIFS(G1812:G3130,K1812:K3130,"0",B1812:B3130,"5 1 1 3 4 12 31111 6 M78 03000 135*")</f>
        <v>0</v>
      </c>
      <c r="H1811" s="31">
        <f t="shared" si="29"/>
        <v>52278.3</v>
      </c>
      <c r="I1811" s="31"/>
      <c r="K1811" t="s">
        <v>13</v>
      </c>
    </row>
    <row r="1812" spans="2:11" ht="13" x14ac:dyDescent="0.15">
      <c r="B1812" s="29" t="s">
        <v>2449</v>
      </c>
      <c r="C1812" s="29" t="s">
        <v>285</v>
      </c>
      <c r="D1812" s="31">
        <f>SUMIFS(D1813:D3130,K1813:K3130,"0",B1813:B3130,"5 1 1 3 4 12 31111 6 M78 03000 135 00I*")-SUMIFS(E1813:E3130,K1813:K3130,"0",B1813:B3130,"5 1 1 3 4 12 31111 6 M78 03000 135 00I*")</f>
        <v>0</v>
      </c>
      <c r="E1812"/>
      <c r="F1812" s="31">
        <f>SUMIFS(F1813:F3130,K1813:K3130,"0",B1813:B3130,"5 1 1 3 4 12 31111 6 M78 03000 135 00I*")</f>
        <v>52278.3</v>
      </c>
      <c r="G1812" s="31">
        <f>SUMIFS(G1813:G3130,K1813:K3130,"0",B1813:B3130,"5 1 1 3 4 12 31111 6 M78 03000 135 00I*")</f>
        <v>0</v>
      </c>
      <c r="H1812" s="31">
        <f t="shared" si="29"/>
        <v>52278.3</v>
      </c>
      <c r="I1812" s="31"/>
      <c r="K1812" t="s">
        <v>13</v>
      </c>
    </row>
    <row r="1813" spans="2:11" ht="13" x14ac:dyDescent="0.15">
      <c r="B1813" s="29" t="s">
        <v>2450</v>
      </c>
      <c r="C1813" s="29" t="s">
        <v>32</v>
      </c>
      <c r="D1813" s="31">
        <f>SUMIFS(D1814:D3130,K1814:K3130,"0",B1814:B3130,"5 1 1 3 4 12 31111 6 M78 03000 135 00I 001*")-SUMIFS(E1814:E3130,K1814:K3130,"0",B1814:B3130,"5 1 1 3 4 12 31111 6 M78 03000 135 00I 001*")</f>
        <v>0</v>
      </c>
      <c r="E1813"/>
      <c r="F1813" s="31">
        <f>SUMIFS(F1814:F3130,K1814:K3130,"0",B1814:B3130,"5 1 1 3 4 12 31111 6 M78 03000 135 00I 001*")</f>
        <v>52278.3</v>
      </c>
      <c r="G1813" s="31">
        <f>SUMIFS(G1814:G3130,K1814:K3130,"0",B1814:B3130,"5 1 1 3 4 12 31111 6 M78 03000 135 00I 001*")</f>
        <v>0</v>
      </c>
      <c r="H1813" s="31">
        <f t="shared" si="29"/>
        <v>52278.3</v>
      </c>
      <c r="I1813" s="31"/>
      <c r="K1813" t="s">
        <v>13</v>
      </c>
    </row>
    <row r="1814" spans="2:11" ht="13" x14ac:dyDescent="0.15">
      <c r="B1814" s="29" t="s">
        <v>2451</v>
      </c>
      <c r="C1814" s="29" t="s">
        <v>2418</v>
      </c>
      <c r="D1814" s="31">
        <f>SUMIFS(D1815:D3130,K1815:K3130,"0",B1815:B3130,"5 1 1 3 4 12 31111 6 M78 03000 135 00I 001 13406*")-SUMIFS(E1815:E3130,K1815:K3130,"0",B1815:B3130,"5 1 1 3 4 12 31111 6 M78 03000 135 00I 001 13406*")</f>
        <v>0</v>
      </c>
      <c r="E1814"/>
      <c r="F1814" s="31">
        <f>SUMIFS(F1815:F3130,K1815:K3130,"0",B1815:B3130,"5 1 1 3 4 12 31111 6 M78 03000 135 00I 001 13406*")</f>
        <v>52278.3</v>
      </c>
      <c r="G1814" s="31">
        <f>SUMIFS(G1815:G3130,K1815:K3130,"0",B1815:B3130,"5 1 1 3 4 12 31111 6 M78 03000 135 00I 001 13406*")</f>
        <v>0</v>
      </c>
      <c r="H1814" s="31">
        <f t="shared" si="29"/>
        <v>52278.3</v>
      </c>
      <c r="I1814" s="31"/>
      <c r="K1814" t="s">
        <v>13</v>
      </c>
    </row>
    <row r="1815" spans="2:11" ht="22" x14ac:dyDescent="0.15">
      <c r="B1815" s="29" t="s">
        <v>2452</v>
      </c>
      <c r="C1815" s="29" t="s">
        <v>290</v>
      </c>
      <c r="D1815" s="31">
        <f>SUMIFS(D1816:D3130,K1816:K3130,"0",B1816:B3130,"5 1 1 3 4 12 31111 6 M78 03000 135 00I 001 13406 025*")-SUMIFS(E1816:E3130,K1816:K3130,"0",B1816:B3130,"5 1 1 3 4 12 31111 6 M78 03000 135 00I 001 13406 025*")</f>
        <v>0</v>
      </c>
      <c r="E1815"/>
      <c r="F1815" s="31">
        <f>SUMIFS(F1816:F3130,K1816:K3130,"0",B1816:B3130,"5 1 1 3 4 12 31111 6 M78 03000 135 00I 001 13406 025*")</f>
        <v>52278.3</v>
      </c>
      <c r="G1815" s="31">
        <f>SUMIFS(G1816:G3130,K1816:K3130,"0",B1816:B3130,"5 1 1 3 4 12 31111 6 M78 03000 135 00I 001 13406 025*")</f>
        <v>0</v>
      </c>
      <c r="H1815" s="31">
        <f t="shared" si="29"/>
        <v>52278.3</v>
      </c>
      <c r="I1815" s="31"/>
      <c r="K1815" t="s">
        <v>13</v>
      </c>
    </row>
    <row r="1816" spans="2:11" ht="22" x14ac:dyDescent="0.15">
      <c r="B1816" s="29" t="s">
        <v>2453</v>
      </c>
      <c r="C1816" s="29" t="s">
        <v>1813</v>
      </c>
      <c r="D1816" s="31">
        <f>SUMIFS(D1817:D3130,K1817:K3130,"0",B1817:B3130,"5 1 1 3 4 12 31111 6 M78 03000 135 00I 001 13406 025 2111100*")-SUMIFS(E1817:E3130,K1817:K3130,"0",B1817:B3130,"5 1 1 3 4 12 31111 6 M78 03000 135 00I 001 13406 025 2111100*")</f>
        <v>0</v>
      </c>
      <c r="E1816"/>
      <c r="F1816" s="31">
        <f>SUMIFS(F1817:F3130,K1817:K3130,"0",B1817:B3130,"5 1 1 3 4 12 31111 6 M78 03000 135 00I 001 13406 025 2111100*")</f>
        <v>52278.3</v>
      </c>
      <c r="G1816" s="31">
        <f>SUMIFS(G1817:G3130,K1817:K3130,"0",B1817:B3130,"5 1 1 3 4 12 31111 6 M78 03000 135 00I 001 13406 025 2111100*")</f>
        <v>0</v>
      </c>
      <c r="H1816" s="31">
        <f t="shared" si="29"/>
        <v>52278.3</v>
      </c>
      <c r="I1816" s="31"/>
      <c r="K1816" t="s">
        <v>13</v>
      </c>
    </row>
    <row r="1817" spans="2:11" ht="22" x14ac:dyDescent="0.15">
      <c r="B1817" s="29" t="s">
        <v>2454</v>
      </c>
      <c r="C1817" s="29" t="s">
        <v>275</v>
      </c>
      <c r="D1817" s="31">
        <f>SUMIFS(D1818:D3130,K1818:K3130,"0",B1818:B3130,"5 1 1 3 4 12 31111 6 M78 03000 135 00I 001 13406 025 2111100 2024*")-SUMIFS(E1818:E3130,K1818:K3130,"0",B1818:B3130,"5 1 1 3 4 12 31111 6 M78 03000 135 00I 001 13406 025 2111100 2024*")</f>
        <v>0</v>
      </c>
      <c r="E1817"/>
      <c r="F1817" s="31">
        <f>SUMIFS(F1818:F3130,K1818:K3130,"0",B1818:B3130,"5 1 1 3 4 12 31111 6 M78 03000 135 00I 001 13406 025 2111100 2024*")</f>
        <v>52278.3</v>
      </c>
      <c r="G1817" s="31">
        <f>SUMIFS(G1818:G3130,K1818:K3130,"0",B1818:B3130,"5 1 1 3 4 12 31111 6 M78 03000 135 00I 001 13406 025 2111100 2024*")</f>
        <v>0</v>
      </c>
      <c r="H1817" s="31">
        <f t="shared" si="29"/>
        <v>52278.3</v>
      </c>
      <c r="I1817" s="31"/>
      <c r="K1817" t="s">
        <v>13</v>
      </c>
    </row>
    <row r="1818" spans="2:11" ht="22" x14ac:dyDescent="0.15">
      <c r="B1818" s="29" t="s">
        <v>2455</v>
      </c>
      <c r="C1818" s="29" t="s">
        <v>277</v>
      </c>
      <c r="D1818" s="31">
        <f>SUMIFS(D1819:D3130,K1819:K3130,"0",B1819:B3130,"5 1 1 3 4 12 31111 6 M78 03000 135 00I 001 13406 025 2111100 2024 00000000*")-SUMIFS(E1819:E3130,K1819:K3130,"0",B1819:B3130,"5 1 1 3 4 12 31111 6 M78 03000 135 00I 001 13406 025 2111100 2024 00000000*")</f>
        <v>0</v>
      </c>
      <c r="E1818"/>
      <c r="F1818" s="31">
        <f>SUMIFS(F1819:F3130,K1819:K3130,"0",B1819:B3130,"5 1 1 3 4 12 31111 6 M78 03000 135 00I 001 13406 025 2111100 2024 00000000*")</f>
        <v>52278.3</v>
      </c>
      <c r="G1818" s="31">
        <f>SUMIFS(G1819:G3130,K1819:K3130,"0",B1819:B3130,"5 1 1 3 4 12 31111 6 M78 03000 135 00I 001 13406 025 2111100 2024 00000000*")</f>
        <v>0</v>
      </c>
      <c r="H1818" s="31">
        <f t="shared" si="29"/>
        <v>52278.3</v>
      </c>
      <c r="I1818" s="31"/>
      <c r="K1818" t="s">
        <v>13</v>
      </c>
    </row>
    <row r="1819" spans="2:11" ht="22" x14ac:dyDescent="0.15">
      <c r="B1819" s="29" t="s">
        <v>2456</v>
      </c>
      <c r="C1819" s="29" t="s">
        <v>581</v>
      </c>
      <c r="D1819" s="31">
        <f>SUMIFS(D1820:D3130,K1820:K3130,"0",B1820:B3130,"5 1 1 3 4 12 31111 6 M78 03000 135 00I 001 13406 025 2111100 2024 00000000 003*")-SUMIFS(E1820:E3130,K1820:K3130,"0",B1820:B3130,"5 1 1 3 4 12 31111 6 M78 03000 135 00I 001 13406 025 2111100 2024 00000000 003*")</f>
        <v>0</v>
      </c>
      <c r="E1819"/>
      <c r="F1819" s="31">
        <f>SUMIFS(F1820:F3130,K1820:K3130,"0",B1820:B3130,"5 1 1 3 4 12 31111 6 M78 03000 135 00I 001 13406 025 2111100 2024 00000000 003*")</f>
        <v>52278.3</v>
      </c>
      <c r="G1819" s="31">
        <f>SUMIFS(G1820:G3130,K1820:K3130,"0",B1820:B3130,"5 1 1 3 4 12 31111 6 M78 03000 135 00I 001 13406 025 2111100 2024 00000000 003*")</f>
        <v>0</v>
      </c>
      <c r="H1819" s="31">
        <f t="shared" si="29"/>
        <v>52278.3</v>
      </c>
      <c r="I1819" s="31"/>
      <c r="K1819" t="s">
        <v>13</v>
      </c>
    </row>
    <row r="1820" spans="2:11" ht="22" x14ac:dyDescent="0.15">
      <c r="B1820" s="29" t="s">
        <v>2457</v>
      </c>
      <c r="C1820" s="29" t="s">
        <v>1849</v>
      </c>
      <c r="D1820" s="31">
        <f>SUMIFS(D1821:D3130,K1821:K3130,"0",B1821:B3130,"5 1 1 3 4 12 31111 6 M78 03000 135 00I 001 13406 025 2111100 2024 00000000 003 001*")-SUMIFS(E1821:E3130,K1821:K3130,"0",B1821:B3130,"5 1 1 3 4 12 31111 6 M78 03000 135 00I 001 13406 025 2111100 2024 00000000 003 001*")</f>
        <v>0</v>
      </c>
      <c r="E1820"/>
      <c r="F1820" s="31">
        <f>SUMIFS(F1821:F3130,K1821:K3130,"0",B1821:B3130,"5 1 1 3 4 12 31111 6 M78 03000 135 00I 001 13406 025 2111100 2024 00000000 003 001*")</f>
        <v>52278.3</v>
      </c>
      <c r="G1820" s="31">
        <f>SUMIFS(G1821:G3130,K1821:K3130,"0",B1821:B3130,"5 1 1 3 4 12 31111 6 M78 03000 135 00I 001 13406 025 2111100 2024 00000000 003 001*")</f>
        <v>0</v>
      </c>
      <c r="H1820" s="31">
        <f t="shared" si="29"/>
        <v>52278.3</v>
      </c>
      <c r="I1820" s="31"/>
      <c r="K1820" t="s">
        <v>13</v>
      </c>
    </row>
    <row r="1821" spans="2:11" ht="22" x14ac:dyDescent="0.15">
      <c r="B1821" s="27" t="s">
        <v>2458</v>
      </c>
      <c r="C1821" s="27" t="s">
        <v>2459</v>
      </c>
      <c r="D1821" s="30">
        <v>0</v>
      </c>
      <c r="E1821" s="30"/>
      <c r="F1821" s="30">
        <v>52278.3</v>
      </c>
      <c r="G1821" s="30">
        <v>0</v>
      </c>
      <c r="H1821" s="30">
        <f t="shared" si="29"/>
        <v>52278.3</v>
      </c>
      <c r="I1821" s="30"/>
      <c r="K1821" t="s">
        <v>37</v>
      </c>
    </row>
    <row r="1822" spans="2:11" ht="13" x14ac:dyDescent="0.15">
      <c r="B1822" s="29" t="s">
        <v>2460</v>
      </c>
      <c r="C1822" s="29" t="s">
        <v>1852</v>
      </c>
      <c r="D1822" s="31">
        <f>SUMIFS(D1823:D3130,K1823:K3130,"0",B1823:B3130,"5 1 1 3 4 12 31111 6 M78 04000*")-SUMIFS(E1823:E3130,K1823:K3130,"0",B1823:B3130,"5 1 1 3 4 12 31111 6 M78 04000*")</f>
        <v>0</v>
      </c>
      <c r="E1822"/>
      <c r="F1822" s="31">
        <f>SUMIFS(F1823:F3130,K1823:K3130,"0",B1823:B3130,"5 1 1 3 4 12 31111 6 M78 04000*")</f>
        <v>39762.31</v>
      </c>
      <c r="G1822" s="31">
        <f>SUMIFS(G1823:G3130,K1823:K3130,"0",B1823:B3130,"5 1 1 3 4 12 31111 6 M78 04000*")</f>
        <v>0</v>
      </c>
      <c r="H1822" s="31">
        <f t="shared" si="29"/>
        <v>39762.31</v>
      </c>
      <c r="I1822" s="31"/>
      <c r="K1822" t="s">
        <v>13</v>
      </c>
    </row>
    <row r="1823" spans="2:11" ht="13" x14ac:dyDescent="0.15">
      <c r="B1823" s="29" t="s">
        <v>2461</v>
      </c>
      <c r="C1823" s="29" t="s">
        <v>634</v>
      </c>
      <c r="D1823" s="31">
        <f>SUMIFS(D1824:D3130,K1824:K3130,"0",B1824:B3130,"5 1 1 3 4 12 31111 6 M78 04000 152*")-SUMIFS(E1824:E3130,K1824:K3130,"0",B1824:B3130,"5 1 1 3 4 12 31111 6 M78 04000 152*")</f>
        <v>0</v>
      </c>
      <c r="E1823"/>
      <c r="F1823" s="31">
        <f>SUMIFS(F1824:F3130,K1824:K3130,"0",B1824:B3130,"5 1 1 3 4 12 31111 6 M78 04000 152*")</f>
        <v>39762.31</v>
      </c>
      <c r="G1823" s="31">
        <f>SUMIFS(G1824:G3130,K1824:K3130,"0",B1824:B3130,"5 1 1 3 4 12 31111 6 M78 04000 152*")</f>
        <v>0</v>
      </c>
      <c r="H1823" s="31">
        <f t="shared" si="29"/>
        <v>39762.31</v>
      </c>
      <c r="I1823" s="31"/>
      <c r="K1823" t="s">
        <v>13</v>
      </c>
    </row>
    <row r="1824" spans="2:11" ht="13" x14ac:dyDescent="0.15">
      <c r="B1824" s="29" t="s">
        <v>2462</v>
      </c>
      <c r="C1824" s="29" t="s">
        <v>285</v>
      </c>
      <c r="D1824" s="31">
        <f>SUMIFS(D1825:D3130,K1825:K3130,"0",B1825:B3130,"5 1 1 3 4 12 31111 6 M78 04000 152 00I*")-SUMIFS(E1825:E3130,K1825:K3130,"0",B1825:B3130,"5 1 1 3 4 12 31111 6 M78 04000 152 00I*")</f>
        <v>0</v>
      </c>
      <c r="E1824"/>
      <c r="F1824" s="31">
        <f>SUMIFS(F1825:F3130,K1825:K3130,"0",B1825:B3130,"5 1 1 3 4 12 31111 6 M78 04000 152 00I*")</f>
        <v>39762.31</v>
      </c>
      <c r="G1824" s="31">
        <f>SUMIFS(G1825:G3130,K1825:K3130,"0",B1825:B3130,"5 1 1 3 4 12 31111 6 M78 04000 152 00I*")</f>
        <v>0</v>
      </c>
      <c r="H1824" s="31">
        <f t="shared" si="29"/>
        <v>39762.31</v>
      </c>
      <c r="I1824" s="31"/>
      <c r="K1824" t="s">
        <v>13</v>
      </c>
    </row>
    <row r="1825" spans="2:11" ht="13" x14ac:dyDescent="0.15">
      <c r="B1825" s="29" t="s">
        <v>2463</v>
      </c>
      <c r="C1825" s="29" t="s">
        <v>32</v>
      </c>
      <c r="D1825" s="31">
        <f>SUMIFS(D1826:D3130,K1826:K3130,"0",B1826:B3130,"5 1 1 3 4 12 31111 6 M78 04000 152 00I 001*")-SUMIFS(E1826:E3130,K1826:K3130,"0",B1826:B3130,"5 1 1 3 4 12 31111 6 M78 04000 152 00I 001*")</f>
        <v>0</v>
      </c>
      <c r="E1825"/>
      <c r="F1825" s="31">
        <f>SUMIFS(F1826:F3130,K1826:K3130,"0",B1826:B3130,"5 1 1 3 4 12 31111 6 M78 04000 152 00I 001*")</f>
        <v>39762.31</v>
      </c>
      <c r="G1825" s="31">
        <f>SUMIFS(G1826:G3130,K1826:K3130,"0",B1826:B3130,"5 1 1 3 4 12 31111 6 M78 04000 152 00I 001*")</f>
        <v>0</v>
      </c>
      <c r="H1825" s="31">
        <f t="shared" si="29"/>
        <v>39762.31</v>
      </c>
      <c r="I1825" s="31"/>
      <c r="K1825" t="s">
        <v>13</v>
      </c>
    </row>
    <row r="1826" spans="2:11" ht="13" x14ac:dyDescent="0.15">
      <c r="B1826" s="29" t="s">
        <v>2464</v>
      </c>
      <c r="C1826" s="29" t="s">
        <v>2418</v>
      </c>
      <c r="D1826" s="31">
        <f>SUMIFS(D1827:D3130,K1827:K3130,"0",B1827:B3130,"5 1 1 3 4 12 31111 6 M78 04000 152 00I 001 13406*")-SUMIFS(E1827:E3130,K1827:K3130,"0",B1827:B3130,"5 1 1 3 4 12 31111 6 M78 04000 152 00I 001 13406*")</f>
        <v>0</v>
      </c>
      <c r="E1826"/>
      <c r="F1826" s="31">
        <f>SUMIFS(F1827:F3130,K1827:K3130,"0",B1827:B3130,"5 1 1 3 4 12 31111 6 M78 04000 152 00I 001 13406*")</f>
        <v>39762.31</v>
      </c>
      <c r="G1826" s="31">
        <f>SUMIFS(G1827:G3130,K1827:K3130,"0",B1827:B3130,"5 1 1 3 4 12 31111 6 M78 04000 152 00I 001 13406*")</f>
        <v>0</v>
      </c>
      <c r="H1826" s="31">
        <f t="shared" si="29"/>
        <v>39762.31</v>
      </c>
      <c r="I1826" s="31"/>
      <c r="K1826" t="s">
        <v>13</v>
      </c>
    </row>
    <row r="1827" spans="2:11" ht="22" x14ac:dyDescent="0.15">
      <c r="B1827" s="29" t="s">
        <v>2465</v>
      </c>
      <c r="C1827" s="29" t="s">
        <v>290</v>
      </c>
      <c r="D1827" s="31">
        <f>SUMIFS(D1828:D3130,K1828:K3130,"0",B1828:B3130,"5 1 1 3 4 12 31111 6 M78 04000 152 00I 001 13406 025*")-SUMIFS(E1828:E3130,K1828:K3130,"0",B1828:B3130,"5 1 1 3 4 12 31111 6 M78 04000 152 00I 001 13406 025*")</f>
        <v>0</v>
      </c>
      <c r="E1827"/>
      <c r="F1827" s="31">
        <f>SUMIFS(F1828:F3130,K1828:K3130,"0",B1828:B3130,"5 1 1 3 4 12 31111 6 M78 04000 152 00I 001 13406 025*")</f>
        <v>39762.31</v>
      </c>
      <c r="G1827" s="31">
        <f>SUMIFS(G1828:G3130,K1828:K3130,"0",B1828:B3130,"5 1 1 3 4 12 31111 6 M78 04000 152 00I 001 13406 025*")</f>
        <v>0</v>
      </c>
      <c r="H1827" s="31">
        <f t="shared" si="29"/>
        <v>39762.31</v>
      </c>
      <c r="I1827" s="31"/>
      <c r="K1827" t="s">
        <v>13</v>
      </c>
    </row>
    <row r="1828" spans="2:11" ht="22" x14ac:dyDescent="0.15">
      <c r="B1828" s="29" t="s">
        <v>2466</v>
      </c>
      <c r="C1828" s="29" t="s">
        <v>1813</v>
      </c>
      <c r="D1828" s="31">
        <f>SUMIFS(D1829:D3130,K1829:K3130,"0",B1829:B3130,"5 1 1 3 4 12 31111 6 M78 04000 152 00I 001 13406 025 2111100*")-SUMIFS(E1829:E3130,K1829:K3130,"0",B1829:B3130,"5 1 1 3 4 12 31111 6 M78 04000 152 00I 001 13406 025 2111100*")</f>
        <v>0</v>
      </c>
      <c r="E1828"/>
      <c r="F1828" s="31">
        <f>SUMIFS(F1829:F3130,K1829:K3130,"0",B1829:B3130,"5 1 1 3 4 12 31111 6 M78 04000 152 00I 001 13406 025 2111100*")</f>
        <v>39762.31</v>
      </c>
      <c r="G1828" s="31">
        <f>SUMIFS(G1829:G3130,K1829:K3130,"0",B1829:B3130,"5 1 1 3 4 12 31111 6 M78 04000 152 00I 001 13406 025 2111100*")</f>
        <v>0</v>
      </c>
      <c r="H1828" s="31">
        <f t="shared" si="29"/>
        <v>39762.31</v>
      </c>
      <c r="I1828" s="31"/>
      <c r="K1828" t="s">
        <v>13</v>
      </c>
    </row>
    <row r="1829" spans="2:11" ht="22" x14ac:dyDescent="0.15">
      <c r="B1829" s="29" t="s">
        <v>2467</v>
      </c>
      <c r="C1829" s="29" t="s">
        <v>275</v>
      </c>
      <c r="D1829" s="31">
        <f>SUMIFS(D1830:D3130,K1830:K3130,"0",B1830:B3130,"5 1 1 3 4 12 31111 6 M78 04000 152 00I 001 13406 025 2111100 2024*")-SUMIFS(E1830:E3130,K1830:K3130,"0",B1830:B3130,"5 1 1 3 4 12 31111 6 M78 04000 152 00I 001 13406 025 2111100 2024*")</f>
        <v>0</v>
      </c>
      <c r="E1829"/>
      <c r="F1829" s="31">
        <f>SUMIFS(F1830:F3130,K1830:K3130,"0",B1830:B3130,"5 1 1 3 4 12 31111 6 M78 04000 152 00I 001 13406 025 2111100 2024*")</f>
        <v>39762.31</v>
      </c>
      <c r="G1829" s="31">
        <f>SUMIFS(G1830:G3130,K1830:K3130,"0",B1830:B3130,"5 1 1 3 4 12 31111 6 M78 04000 152 00I 001 13406 025 2111100 2024*")</f>
        <v>0</v>
      </c>
      <c r="H1829" s="31">
        <f t="shared" si="29"/>
        <v>39762.31</v>
      </c>
      <c r="I1829" s="31"/>
      <c r="K1829" t="s">
        <v>13</v>
      </c>
    </row>
    <row r="1830" spans="2:11" ht="22" x14ac:dyDescent="0.15">
      <c r="B1830" s="29" t="s">
        <v>2468</v>
      </c>
      <c r="C1830" s="29" t="s">
        <v>277</v>
      </c>
      <c r="D1830" s="31">
        <f>SUMIFS(D1831:D3130,K1831:K3130,"0",B1831:B3130,"5 1 1 3 4 12 31111 6 M78 04000 152 00I 001 13406 025 2111100 2024 00000000*")-SUMIFS(E1831:E3130,K1831:K3130,"0",B1831:B3130,"5 1 1 3 4 12 31111 6 M78 04000 152 00I 001 13406 025 2111100 2024 00000000*")</f>
        <v>0</v>
      </c>
      <c r="E1830"/>
      <c r="F1830" s="31">
        <f>SUMIFS(F1831:F3130,K1831:K3130,"0",B1831:B3130,"5 1 1 3 4 12 31111 6 M78 04000 152 00I 001 13406 025 2111100 2024 00000000*")</f>
        <v>39762.31</v>
      </c>
      <c r="G1830" s="31">
        <f>SUMIFS(G1831:G3130,K1831:K3130,"0",B1831:B3130,"5 1 1 3 4 12 31111 6 M78 04000 152 00I 001 13406 025 2111100 2024 00000000*")</f>
        <v>0</v>
      </c>
      <c r="H1830" s="31">
        <f t="shared" si="29"/>
        <v>39762.31</v>
      </c>
      <c r="I1830" s="31"/>
      <c r="K1830" t="s">
        <v>13</v>
      </c>
    </row>
    <row r="1831" spans="2:11" ht="22" x14ac:dyDescent="0.15">
      <c r="B1831" s="29" t="s">
        <v>2469</v>
      </c>
      <c r="C1831" s="29" t="s">
        <v>581</v>
      </c>
      <c r="D1831" s="31">
        <f>SUMIFS(D1832:D3130,K1832:K3130,"0",B1832:B3130,"5 1 1 3 4 12 31111 6 M78 04000 152 00I 001 13406 025 2111100 2024 00000000 003*")-SUMIFS(E1832:E3130,K1832:K3130,"0",B1832:B3130,"5 1 1 3 4 12 31111 6 M78 04000 152 00I 001 13406 025 2111100 2024 00000000 003*")</f>
        <v>0</v>
      </c>
      <c r="E1831"/>
      <c r="F1831" s="31">
        <f>SUMIFS(F1832:F3130,K1832:K3130,"0",B1832:B3130,"5 1 1 3 4 12 31111 6 M78 04000 152 00I 001 13406 025 2111100 2024 00000000 003*")</f>
        <v>39762.31</v>
      </c>
      <c r="G1831" s="31">
        <f>SUMIFS(G1832:G3130,K1832:K3130,"0",B1832:B3130,"5 1 1 3 4 12 31111 6 M78 04000 152 00I 001 13406 025 2111100 2024 00000000 003*")</f>
        <v>0</v>
      </c>
      <c r="H1831" s="31">
        <f t="shared" si="29"/>
        <v>39762.31</v>
      </c>
      <c r="I1831" s="31"/>
      <c r="K1831" t="s">
        <v>13</v>
      </c>
    </row>
    <row r="1832" spans="2:11" ht="22" x14ac:dyDescent="0.15">
      <c r="B1832" s="29" t="s">
        <v>2470</v>
      </c>
      <c r="C1832" s="29" t="s">
        <v>1863</v>
      </c>
      <c r="D1832" s="31">
        <f>SUMIFS(D1833:D3130,K1833:K3130,"0",B1833:B3130,"5 1 1 3 4 12 31111 6 M78 04000 152 00I 001 13406 025 2111100 2024 00000000 003 001*")-SUMIFS(E1833:E3130,K1833:K3130,"0",B1833:B3130,"5 1 1 3 4 12 31111 6 M78 04000 152 00I 001 13406 025 2111100 2024 00000000 003 001*")</f>
        <v>0</v>
      </c>
      <c r="E1832"/>
      <c r="F1832" s="31">
        <f>SUMIFS(F1833:F3130,K1833:K3130,"0",B1833:B3130,"5 1 1 3 4 12 31111 6 M78 04000 152 00I 001 13406 025 2111100 2024 00000000 003 001*")</f>
        <v>39762.31</v>
      </c>
      <c r="G1832" s="31">
        <f>SUMIFS(G1833:G3130,K1833:K3130,"0",B1833:B3130,"5 1 1 3 4 12 31111 6 M78 04000 152 00I 001 13406 025 2111100 2024 00000000 003 001*")</f>
        <v>0</v>
      </c>
      <c r="H1832" s="31">
        <f t="shared" si="29"/>
        <v>39762.31</v>
      </c>
      <c r="I1832" s="31"/>
      <c r="K1832" t="s">
        <v>13</v>
      </c>
    </row>
    <row r="1833" spans="2:11" ht="22" x14ac:dyDescent="0.15">
      <c r="B1833" s="27" t="s">
        <v>2471</v>
      </c>
      <c r="C1833" s="27" t="s">
        <v>2426</v>
      </c>
      <c r="D1833" s="30">
        <v>0</v>
      </c>
      <c r="E1833" s="30"/>
      <c r="F1833" s="30">
        <v>39762.31</v>
      </c>
      <c r="G1833" s="30">
        <v>0</v>
      </c>
      <c r="H1833" s="30">
        <f t="shared" si="29"/>
        <v>39762.31</v>
      </c>
      <c r="I1833" s="30"/>
      <c r="K1833" t="s">
        <v>37</v>
      </c>
    </row>
    <row r="1834" spans="2:11" ht="13" x14ac:dyDescent="0.15">
      <c r="B1834" s="29" t="s">
        <v>2472</v>
      </c>
      <c r="C1834" s="29" t="s">
        <v>1867</v>
      </c>
      <c r="D1834" s="31">
        <f>SUMIFS(D1835:D3130,K1835:K3130,"0",B1835:B3130,"5 1 1 3 4 12 31111 6 M78 05000*")-SUMIFS(E1835:E3130,K1835:K3130,"0",B1835:B3130,"5 1 1 3 4 12 31111 6 M78 05000*")</f>
        <v>0</v>
      </c>
      <c r="E1834"/>
      <c r="F1834" s="31">
        <f>SUMIFS(F1835:F3130,K1835:K3130,"0",B1835:B3130,"5 1 1 3 4 12 31111 6 M78 05000*")</f>
        <v>737869.98</v>
      </c>
      <c r="G1834" s="31">
        <f>SUMIFS(G1835:G3130,K1835:K3130,"0",B1835:B3130,"5 1 1 3 4 12 31111 6 M78 05000*")</f>
        <v>0</v>
      </c>
      <c r="H1834" s="31">
        <f t="shared" si="29"/>
        <v>737869.98</v>
      </c>
      <c r="I1834" s="31"/>
      <c r="K1834" t="s">
        <v>13</v>
      </c>
    </row>
    <row r="1835" spans="2:11" ht="13" x14ac:dyDescent="0.15">
      <c r="B1835" s="29" t="s">
        <v>2473</v>
      </c>
      <c r="C1835" s="29" t="s">
        <v>1869</v>
      </c>
      <c r="D1835" s="31">
        <f>SUMIFS(D1836:D3130,K1836:K3130,"0",B1836:B3130,"5 1 1 3 4 12 31111 6 M78 05000 111*")-SUMIFS(E1836:E3130,K1836:K3130,"0",B1836:B3130,"5 1 1 3 4 12 31111 6 M78 05000 111*")</f>
        <v>0</v>
      </c>
      <c r="E1835"/>
      <c r="F1835" s="31">
        <f>SUMIFS(F1836:F3130,K1836:K3130,"0",B1836:B3130,"5 1 1 3 4 12 31111 6 M78 05000 111*")</f>
        <v>737869.98</v>
      </c>
      <c r="G1835" s="31">
        <f>SUMIFS(G1836:G3130,K1836:K3130,"0",B1836:B3130,"5 1 1 3 4 12 31111 6 M78 05000 111*")</f>
        <v>0</v>
      </c>
      <c r="H1835" s="31">
        <f t="shared" si="29"/>
        <v>737869.98</v>
      </c>
      <c r="I1835" s="31"/>
      <c r="K1835" t="s">
        <v>13</v>
      </c>
    </row>
    <row r="1836" spans="2:11" ht="13" x14ac:dyDescent="0.15">
      <c r="B1836" s="29" t="s">
        <v>2474</v>
      </c>
      <c r="C1836" s="29" t="s">
        <v>265</v>
      </c>
      <c r="D1836" s="31">
        <f>SUMIFS(D1837:D3130,K1837:K3130,"0",B1837:B3130,"5 1 1 3 4 12 31111 6 M78 05000 111 00C*")-SUMIFS(E1837:E3130,K1837:K3130,"0",B1837:B3130,"5 1 1 3 4 12 31111 6 M78 05000 111 00C*")</f>
        <v>0</v>
      </c>
      <c r="E1836"/>
      <c r="F1836" s="31">
        <f>SUMIFS(F1837:F3130,K1837:K3130,"0",B1837:B3130,"5 1 1 3 4 12 31111 6 M78 05000 111 00C*")</f>
        <v>737869.98</v>
      </c>
      <c r="G1836" s="31">
        <f>SUMIFS(G1837:G3130,K1837:K3130,"0",B1837:B3130,"5 1 1 3 4 12 31111 6 M78 05000 111 00C*")</f>
        <v>0</v>
      </c>
      <c r="H1836" s="31">
        <f t="shared" si="29"/>
        <v>737869.98</v>
      </c>
      <c r="I1836" s="31"/>
      <c r="K1836" t="s">
        <v>13</v>
      </c>
    </row>
    <row r="1837" spans="2:11" ht="13" x14ac:dyDescent="0.15">
      <c r="B1837" s="29" t="s">
        <v>2475</v>
      </c>
      <c r="C1837" s="29" t="s">
        <v>32</v>
      </c>
      <c r="D1837" s="31">
        <f>SUMIFS(D1838:D3130,K1838:K3130,"0",B1838:B3130,"5 1 1 3 4 12 31111 6 M78 05000 111 00C 001*")-SUMIFS(E1838:E3130,K1838:K3130,"0",B1838:B3130,"5 1 1 3 4 12 31111 6 M78 05000 111 00C 001*")</f>
        <v>0</v>
      </c>
      <c r="E1837"/>
      <c r="F1837" s="31">
        <f>SUMIFS(F1838:F3130,K1838:K3130,"0",B1838:B3130,"5 1 1 3 4 12 31111 6 M78 05000 111 00C 001*")</f>
        <v>737869.98</v>
      </c>
      <c r="G1837" s="31">
        <f>SUMIFS(G1838:G3130,K1838:K3130,"0",B1838:B3130,"5 1 1 3 4 12 31111 6 M78 05000 111 00C 001*")</f>
        <v>0</v>
      </c>
      <c r="H1837" s="31">
        <f t="shared" si="29"/>
        <v>737869.98</v>
      </c>
      <c r="I1837" s="31"/>
      <c r="K1837" t="s">
        <v>13</v>
      </c>
    </row>
    <row r="1838" spans="2:11" ht="13" x14ac:dyDescent="0.15">
      <c r="B1838" s="29" t="s">
        <v>2476</v>
      </c>
      <c r="C1838" s="29" t="s">
        <v>2408</v>
      </c>
      <c r="D1838" s="31">
        <f>SUMIFS(D1839:D3130,K1839:K3130,"0",B1839:B3130,"5 1 1 3 4 12 31111 6 M78 05000 111 00C 001 13403*")-SUMIFS(E1839:E3130,K1839:K3130,"0",B1839:B3130,"5 1 1 3 4 12 31111 6 M78 05000 111 00C 001 13403*")</f>
        <v>0</v>
      </c>
      <c r="E1838"/>
      <c r="F1838" s="31">
        <f>SUMIFS(F1839:F3130,K1839:K3130,"0",B1839:B3130,"5 1 1 3 4 12 31111 6 M78 05000 111 00C 001 13403*")</f>
        <v>412631.79</v>
      </c>
      <c r="G1838" s="31">
        <f>SUMIFS(G1839:G3130,K1839:K3130,"0",B1839:B3130,"5 1 1 3 4 12 31111 6 M78 05000 111 00C 001 13403*")</f>
        <v>0</v>
      </c>
      <c r="H1838" s="31">
        <f t="shared" si="29"/>
        <v>412631.79</v>
      </c>
      <c r="I1838" s="31"/>
      <c r="K1838" t="s">
        <v>13</v>
      </c>
    </row>
    <row r="1839" spans="2:11" ht="22" x14ac:dyDescent="0.15">
      <c r="B1839" s="29" t="s">
        <v>2477</v>
      </c>
      <c r="C1839" s="29" t="s">
        <v>271</v>
      </c>
      <c r="D1839" s="31">
        <f>SUMIFS(D1840:D3130,K1840:K3130,"0",B1840:B3130,"5 1 1 3 4 12 31111 6 M78 05000 111 00C 001 13403 015*")-SUMIFS(E1840:E3130,K1840:K3130,"0",B1840:B3130,"5 1 1 3 4 12 31111 6 M78 05000 111 00C 001 13403 015*")</f>
        <v>0</v>
      </c>
      <c r="E1839"/>
      <c r="F1839" s="31">
        <f>SUMIFS(F1840:F3130,K1840:K3130,"0",B1840:B3130,"5 1 1 3 4 12 31111 6 M78 05000 111 00C 001 13403 015*")</f>
        <v>412631.79</v>
      </c>
      <c r="G1839" s="31">
        <f>SUMIFS(G1840:G3130,K1840:K3130,"0",B1840:B3130,"5 1 1 3 4 12 31111 6 M78 05000 111 00C 001 13403 015*")</f>
        <v>0</v>
      </c>
      <c r="H1839" s="31">
        <f t="shared" si="29"/>
        <v>412631.79</v>
      </c>
      <c r="I1839" s="31"/>
      <c r="K1839" t="s">
        <v>13</v>
      </c>
    </row>
    <row r="1840" spans="2:11" ht="22" x14ac:dyDescent="0.15">
      <c r="B1840" s="29" t="s">
        <v>2478</v>
      </c>
      <c r="C1840" s="29" t="s">
        <v>1813</v>
      </c>
      <c r="D1840" s="31">
        <f>SUMIFS(D1841:D3130,K1841:K3130,"0",B1841:B3130,"5 1 1 3 4 12 31111 6 M78 05000 111 00C 001 13403 015 2111100*")-SUMIFS(E1841:E3130,K1841:K3130,"0",B1841:B3130,"5 1 1 3 4 12 31111 6 M78 05000 111 00C 001 13403 015 2111100*")</f>
        <v>0</v>
      </c>
      <c r="E1840"/>
      <c r="F1840" s="31">
        <f>SUMIFS(F1841:F3130,K1841:K3130,"0",B1841:B3130,"5 1 1 3 4 12 31111 6 M78 05000 111 00C 001 13403 015 2111100*")</f>
        <v>412631.79</v>
      </c>
      <c r="G1840" s="31">
        <f>SUMIFS(G1841:G3130,K1841:K3130,"0",B1841:B3130,"5 1 1 3 4 12 31111 6 M78 05000 111 00C 001 13403 015 2111100*")</f>
        <v>0</v>
      </c>
      <c r="H1840" s="31">
        <f t="shared" si="29"/>
        <v>412631.79</v>
      </c>
      <c r="I1840" s="31"/>
      <c r="K1840" t="s">
        <v>13</v>
      </c>
    </row>
    <row r="1841" spans="2:11" ht="22" x14ac:dyDescent="0.15">
      <c r="B1841" s="29" t="s">
        <v>2479</v>
      </c>
      <c r="C1841" s="29" t="s">
        <v>275</v>
      </c>
      <c r="D1841" s="31">
        <f>SUMIFS(D1842:D3130,K1842:K3130,"0",B1842:B3130,"5 1 1 3 4 12 31111 6 M78 05000 111 00C 001 13403 015 2111100 2024*")-SUMIFS(E1842:E3130,K1842:K3130,"0",B1842:B3130,"5 1 1 3 4 12 31111 6 M78 05000 111 00C 001 13403 015 2111100 2024*")</f>
        <v>0</v>
      </c>
      <c r="E1841"/>
      <c r="F1841" s="31">
        <f>SUMIFS(F1842:F3130,K1842:K3130,"0",B1842:B3130,"5 1 1 3 4 12 31111 6 M78 05000 111 00C 001 13403 015 2111100 2024*")</f>
        <v>412631.79</v>
      </c>
      <c r="G1841" s="31">
        <f>SUMIFS(G1842:G3130,K1842:K3130,"0",B1842:B3130,"5 1 1 3 4 12 31111 6 M78 05000 111 00C 001 13403 015 2111100 2024*")</f>
        <v>0</v>
      </c>
      <c r="H1841" s="31">
        <f t="shared" si="29"/>
        <v>412631.79</v>
      </c>
      <c r="I1841" s="31"/>
      <c r="K1841" t="s">
        <v>13</v>
      </c>
    </row>
    <row r="1842" spans="2:11" ht="22" x14ac:dyDescent="0.15">
      <c r="B1842" s="29" t="s">
        <v>2480</v>
      </c>
      <c r="C1842" s="29" t="s">
        <v>277</v>
      </c>
      <c r="D1842" s="31">
        <f>SUMIFS(D1843:D3130,K1843:K3130,"0",B1843:B3130,"5 1 1 3 4 12 31111 6 M78 05000 111 00C 001 13403 015 2111100 2024 00000000*")-SUMIFS(E1843:E3130,K1843:K3130,"0",B1843:B3130,"5 1 1 3 4 12 31111 6 M78 05000 111 00C 001 13403 015 2111100 2024 00000000*")</f>
        <v>0</v>
      </c>
      <c r="E1842"/>
      <c r="F1842" s="31">
        <f>SUMIFS(F1843:F3130,K1843:K3130,"0",B1843:B3130,"5 1 1 3 4 12 31111 6 M78 05000 111 00C 001 13403 015 2111100 2024 00000000*")</f>
        <v>412631.79</v>
      </c>
      <c r="G1842" s="31">
        <f>SUMIFS(G1843:G3130,K1843:K3130,"0",B1843:B3130,"5 1 1 3 4 12 31111 6 M78 05000 111 00C 001 13403 015 2111100 2024 00000000*")</f>
        <v>0</v>
      </c>
      <c r="H1842" s="31">
        <f t="shared" si="29"/>
        <v>412631.79</v>
      </c>
      <c r="I1842" s="31"/>
      <c r="K1842" t="s">
        <v>13</v>
      </c>
    </row>
    <row r="1843" spans="2:11" ht="22" x14ac:dyDescent="0.15">
      <c r="B1843" s="29" t="s">
        <v>2481</v>
      </c>
      <c r="C1843" s="29" t="s">
        <v>32</v>
      </c>
      <c r="D1843" s="31">
        <f>SUMIFS(D1844:D3130,K1844:K3130,"0",B1844:B3130,"5 1 1 3 4 12 31111 6 M78 05000 111 00C 001 13403 015 2111100 2024 00000000 001*")-SUMIFS(E1844:E3130,K1844:K3130,"0",B1844:B3130,"5 1 1 3 4 12 31111 6 M78 05000 111 00C 001 13403 015 2111100 2024 00000000 001*")</f>
        <v>0</v>
      </c>
      <c r="E1843"/>
      <c r="F1843" s="31">
        <f>SUMIFS(F1844:F3130,K1844:K3130,"0",B1844:B3130,"5 1 1 3 4 12 31111 6 M78 05000 111 00C 001 13403 015 2111100 2024 00000000 001*")</f>
        <v>412631.79</v>
      </c>
      <c r="G1843" s="31">
        <f>SUMIFS(G1844:G3130,K1844:K3130,"0",B1844:B3130,"5 1 1 3 4 12 31111 6 M78 05000 111 00C 001 13403 015 2111100 2024 00000000 001*")</f>
        <v>0</v>
      </c>
      <c r="H1843" s="31">
        <f t="shared" si="29"/>
        <v>412631.79</v>
      </c>
      <c r="I1843" s="31"/>
      <c r="K1843" t="s">
        <v>13</v>
      </c>
    </row>
    <row r="1844" spans="2:11" ht="22" x14ac:dyDescent="0.15">
      <c r="B1844" s="29" t="s">
        <v>2482</v>
      </c>
      <c r="C1844" s="29" t="s">
        <v>1879</v>
      </c>
      <c r="D1844" s="31">
        <f>SUMIFS(D1845:D3130,K1845:K3130,"0",B1845:B3130,"5 1 1 3 4 12 31111 6 M78 05000 111 00C 001 13403 015 2111100 2024 00000000 001 001*")-SUMIFS(E1845:E3130,K1845:K3130,"0",B1845:B3130,"5 1 1 3 4 12 31111 6 M78 05000 111 00C 001 13403 015 2111100 2024 00000000 001 001*")</f>
        <v>0</v>
      </c>
      <c r="E1844"/>
      <c r="F1844" s="31">
        <f>SUMIFS(F1845:F3130,K1845:K3130,"0",B1845:B3130,"5 1 1 3 4 12 31111 6 M78 05000 111 00C 001 13403 015 2111100 2024 00000000 001 001*")</f>
        <v>412631.79</v>
      </c>
      <c r="G1844" s="31">
        <f>SUMIFS(G1845:G3130,K1845:K3130,"0",B1845:B3130,"5 1 1 3 4 12 31111 6 M78 05000 111 00C 001 13403 015 2111100 2024 00000000 001 001*")</f>
        <v>0</v>
      </c>
      <c r="H1844" s="31">
        <f t="shared" si="29"/>
        <v>412631.79</v>
      </c>
      <c r="I1844" s="31"/>
      <c r="K1844" t="s">
        <v>13</v>
      </c>
    </row>
    <row r="1845" spans="2:11" ht="22" x14ac:dyDescent="0.15">
      <c r="B1845" s="27" t="s">
        <v>2483</v>
      </c>
      <c r="C1845" s="27" t="s">
        <v>2416</v>
      </c>
      <c r="D1845" s="30">
        <v>0</v>
      </c>
      <c r="E1845" s="30"/>
      <c r="F1845" s="30">
        <v>412631.79</v>
      </c>
      <c r="G1845" s="30">
        <v>0</v>
      </c>
      <c r="H1845" s="30">
        <f t="shared" si="29"/>
        <v>412631.79</v>
      </c>
      <c r="I1845" s="30"/>
      <c r="K1845" t="s">
        <v>37</v>
      </c>
    </row>
    <row r="1846" spans="2:11" ht="13" x14ac:dyDescent="0.15">
      <c r="B1846" s="29" t="s">
        <v>2484</v>
      </c>
      <c r="C1846" s="29" t="s">
        <v>2418</v>
      </c>
      <c r="D1846" s="31">
        <f>SUMIFS(D1847:D3130,K1847:K3130,"0",B1847:B3130,"5 1 1 3 4 12 31111 6 M78 05000 111 00C 001 13406*")-SUMIFS(E1847:E3130,K1847:K3130,"0",B1847:B3130,"5 1 1 3 4 12 31111 6 M78 05000 111 00C 001 13406*")</f>
        <v>0</v>
      </c>
      <c r="E1846"/>
      <c r="F1846" s="31">
        <f>SUMIFS(F1847:F3130,K1847:K3130,"0",B1847:B3130,"5 1 1 3 4 12 31111 6 M78 05000 111 00C 001 13406*")</f>
        <v>325238.19</v>
      </c>
      <c r="G1846" s="31">
        <f>SUMIFS(G1847:G3130,K1847:K3130,"0",B1847:B3130,"5 1 1 3 4 12 31111 6 M78 05000 111 00C 001 13406*")</f>
        <v>0</v>
      </c>
      <c r="H1846" s="31">
        <f t="shared" si="29"/>
        <v>325238.19</v>
      </c>
      <c r="I1846" s="31"/>
      <c r="K1846" t="s">
        <v>13</v>
      </c>
    </row>
    <row r="1847" spans="2:11" ht="22" x14ac:dyDescent="0.15">
      <c r="B1847" s="29" t="s">
        <v>2485</v>
      </c>
      <c r="C1847" s="29" t="s">
        <v>271</v>
      </c>
      <c r="D1847" s="31">
        <f>SUMIFS(D1848:D3130,K1848:K3130,"0",B1848:B3130,"5 1 1 3 4 12 31111 6 M78 05000 111 00C 001 13406 015*")-SUMIFS(E1848:E3130,K1848:K3130,"0",B1848:B3130,"5 1 1 3 4 12 31111 6 M78 05000 111 00C 001 13406 015*")</f>
        <v>0</v>
      </c>
      <c r="E1847"/>
      <c r="F1847" s="31">
        <f>SUMIFS(F1848:F3130,K1848:K3130,"0",B1848:B3130,"5 1 1 3 4 12 31111 6 M78 05000 111 00C 001 13406 015*")</f>
        <v>325238.19</v>
      </c>
      <c r="G1847" s="31">
        <f>SUMIFS(G1848:G3130,K1848:K3130,"0",B1848:B3130,"5 1 1 3 4 12 31111 6 M78 05000 111 00C 001 13406 015*")</f>
        <v>0</v>
      </c>
      <c r="H1847" s="31">
        <f t="shared" si="29"/>
        <v>325238.19</v>
      </c>
      <c r="I1847" s="31"/>
      <c r="K1847" t="s">
        <v>13</v>
      </c>
    </row>
    <row r="1848" spans="2:11" ht="22" x14ac:dyDescent="0.15">
      <c r="B1848" s="29" t="s">
        <v>2486</v>
      </c>
      <c r="C1848" s="29" t="s">
        <v>1813</v>
      </c>
      <c r="D1848" s="31">
        <f>SUMIFS(D1849:D3130,K1849:K3130,"0",B1849:B3130,"5 1 1 3 4 12 31111 6 M78 05000 111 00C 001 13406 015 2111100*")-SUMIFS(E1849:E3130,K1849:K3130,"0",B1849:B3130,"5 1 1 3 4 12 31111 6 M78 05000 111 00C 001 13406 015 2111100*")</f>
        <v>0</v>
      </c>
      <c r="E1848"/>
      <c r="F1848" s="31">
        <f>SUMIFS(F1849:F3130,K1849:K3130,"0",B1849:B3130,"5 1 1 3 4 12 31111 6 M78 05000 111 00C 001 13406 015 2111100*")</f>
        <v>325238.19</v>
      </c>
      <c r="G1848" s="31">
        <f>SUMIFS(G1849:G3130,K1849:K3130,"0",B1849:B3130,"5 1 1 3 4 12 31111 6 M78 05000 111 00C 001 13406 015 2111100*")</f>
        <v>0</v>
      </c>
      <c r="H1848" s="31">
        <f t="shared" si="29"/>
        <v>325238.19</v>
      </c>
      <c r="I1848" s="31"/>
      <c r="K1848" t="s">
        <v>13</v>
      </c>
    </row>
    <row r="1849" spans="2:11" ht="22" x14ac:dyDescent="0.15">
      <c r="B1849" s="29" t="s">
        <v>2487</v>
      </c>
      <c r="C1849" s="29" t="s">
        <v>275</v>
      </c>
      <c r="D1849" s="31">
        <f>SUMIFS(D1850:D3130,K1850:K3130,"0",B1850:B3130,"5 1 1 3 4 12 31111 6 M78 05000 111 00C 001 13406 015 2111100 2024*")-SUMIFS(E1850:E3130,K1850:K3130,"0",B1850:B3130,"5 1 1 3 4 12 31111 6 M78 05000 111 00C 001 13406 015 2111100 2024*")</f>
        <v>0</v>
      </c>
      <c r="E1849"/>
      <c r="F1849" s="31">
        <f>SUMIFS(F1850:F3130,K1850:K3130,"0",B1850:B3130,"5 1 1 3 4 12 31111 6 M78 05000 111 00C 001 13406 015 2111100 2024*")</f>
        <v>325238.19</v>
      </c>
      <c r="G1849" s="31">
        <f>SUMIFS(G1850:G3130,K1850:K3130,"0",B1850:B3130,"5 1 1 3 4 12 31111 6 M78 05000 111 00C 001 13406 015 2111100 2024*")</f>
        <v>0</v>
      </c>
      <c r="H1849" s="31">
        <f t="shared" si="29"/>
        <v>325238.19</v>
      </c>
      <c r="I1849" s="31"/>
      <c r="K1849" t="s">
        <v>13</v>
      </c>
    </row>
    <row r="1850" spans="2:11" ht="22" x14ac:dyDescent="0.15">
      <c r="B1850" s="29" t="s">
        <v>2488</v>
      </c>
      <c r="C1850" s="29" t="s">
        <v>277</v>
      </c>
      <c r="D1850" s="31">
        <f>SUMIFS(D1851:D3130,K1851:K3130,"0",B1851:B3130,"5 1 1 3 4 12 31111 6 M78 05000 111 00C 001 13406 015 2111100 2024 00000000*")-SUMIFS(E1851:E3130,K1851:K3130,"0",B1851:B3130,"5 1 1 3 4 12 31111 6 M78 05000 111 00C 001 13406 015 2111100 2024 00000000*")</f>
        <v>0</v>
      </c>
      <c r="E1850"/>
      <c r="F1850" s="31">
        <f>SUMIFS(F1851:F3130,K1851:K3130,"0",B1851:B3130,"5 1 1 3 4 12 31111 6 M78 05000 111 00C 001 13406 015 2111100 2024 00000000*")</f>
        <v>325238.19</v>
      </c>
      <c r="G1850" s="31">
        <f>SUMIFS(G1851:G3130,K1851:K3130,"0",B1851:B3130,"5 1 1 3 4 12 31111 6 M78 05000 111 00C 001 13406 015 2111100 2024 00000000*")</f>
        <v>0</v>
      </c>
      <c r="H1850" s="31">
        <f t="shared" si="29"/>
        <v>325238.19</v>
      </c>
      <c r="I1850" s="31"/>
      <c r="K1850" t="s">
        <v>13</v>
      </c>
    </row>
    <row r="1851" spans="2:11" ht="22" x14ac:dyDescent="0.15">
      <c r="B1851" s="29" t="s">
        <v>2489</v>
      </c>
      <c r="C1851" s="29" t="s">
        <v>32</v>
      </c>
      <c r="D1851" s="31">
        <f>SUMIFS(D1852:D3130,K1852:K3130,"0",B1852:B3130,"5 1 1 3 4 12 31111 6 M78 05000 111 00C 001 13406 015 2111100 2024 00000000 001*")-SUMIFS(E1852:E3130,K1852:K3130,"0",B1852:B3130,"5 1 1 3 4 12 31111 6 M78 05000 111 00C 001 13406 015 2111100 2024 00000000 001*")</f>
        <v>0</v>
      </c>
      <c r="E1851"/>
      <c r="F1851" s="31">
        <f>SUMIFS(F1852:F3130,K1852:K3130,"0",B1852:B3130,"5 1 1 3 4 12 31111 6 M78 05000 111 00C 001 13406 015 2111100 2024 00000000 001*")</f>
        <v>325238.19</v>
      </c>
      <c r="G1851" s="31">
        <f>SUMIFS(G1852:G3130,K1852:K3130,"0",B1852:B3130,"5 1 1 3 4 12 31111 6 M78 05000 111 00C 001 13406 015 2111100 2024 00000000 001*")</f>
        <v>0</v>
      </c>
      <c r="H1851" s="31">
        <f t="shared" si="29"/>
        <v>325238.19</v>
      </c>
      <c r="I1851" s="31"/>
      <c r="K1851" t="s">
        <v>13</v>
      </c>
    </row>
    <row r="1852" spans="2:11" ht="22" x14ac:dyDescent="0.15">
      <c r="B1852" s="29" t="s">
        <v>2490</v>
      </c>
      <c r="C1852" s="29" t="s">
        <v>1879</v>
      </c>
      <c r="D1852" s="31">
        <f>SUMIFS(D1853:D3130,K1853:K3130,"0",B1853:B3130,"5 1 1 3 4 12 31111 6 M78 05000 111 00C 001 13406 015 2111100 2024 00000000 001 001*")-SUMIFS(E1853:E3130,K1853:K3130,"0",B1853:B3130,"5 1 1 3 4 12 31111 6 M78 05000 111 00C 001 13406 015 2111100 2024 00000000 001 001*")</f>
        <v>0</v>
      </c>
      <c r="E1852"/>
      <c r="F1852" s="31">
        <f>SUMIFS(F1853:F3130,K1853:K3130,"0",B1853:B3130,"5 1 1 3 4 12 31111 6 M78 05000 111 00C 001 13406 015 2111100 2024 00000000 001 001*")</f>
        <v>325238.19</v>
      </c>
      <c r="G1852" s="31">
        <f>SUMIFS(G1853:G3130,K1853:K3130,"0",B1853:B3130,"5 1 1 3 4 12 31111 6 M78 05000 111 00C 001 13406 015 2111100 2024 00000000 001 001*")</f>
        <v>0</v>
      </c>
      <c r="H1852" s="31">
        <f t="shared" si="29"/>
        <v>325238.19</v>
      </c>
      <c r="I1852" s="31"/>
      <c r="K1852" t="s">
        <v>13</v>
      </c>
    </row>
    <row r="1853" spans="2:11" ht="22" x14ac:dyDescent="0.15">
      <c r="B1853" s="27" t="s">
        <v>2491</v>
      </c>
      <c r="C1853" s="27" t="s">
        <v>2426</v>
      </c>
      <c r="D1853" s="30">
        <v>0</v>
      </c>
      <c r="E1853" s="30"/>
      <c r="F1853" s="30">
        <v>325238.19</v>
      </c>
      <c r="G1853" s="30">
        <v>0</v>
      </c>
      <c r="H1853" s="30">
        <f t="shared" si="29"/>
        <v>325238.19</v>
      </c>
      <c r="I1853" s="30"/>
      <c r="K1853" t="s">
        <v>37</v>
      </c>
    </row>
    <row r="1854" spans="2:11" ht="13" x14ac:dyDescent="0.15">
      <c r="B1854" s="29" t="s">
        <v>2492</v>
      </c>
      <c r="C1854" s="29" t="s">
        <v>1882</v>
      </c>
      <c r="D1854" s="31">
        <f>SUMIFS(D1855:D3130,K1855:K3130,"0",B1855:B3130,"5 1 1 3 4 12 31111 6 M78 06000*")-SUMIFS(E1855:E3130,K1855:K3130,"0",B1855:B3130,"5 1 1 3 4 12 31111 6 M78 06000*")</f>
        <v>0</v>
      </c>
      <c r="E1854"/>
      <c r="F1854" s="31">
        <f>SUMIFS(F1855:F3130,K1855:K3130,"0",B1855:B3130,"5 1 1 3 4 12 31111 6 M78 06000*")</f>
        <v>23963.99</v>
      </c>
      <c r="G1854" s="31">
        <f>SUMIFS(G1855:G3130,K1855:K3130,"0",B1855:B3130,"5 1 1 3 4 12 31111 6 M78 06000*")</f>
        <v>0</v>
      </c>
      <c r="H1854" s="31">
        <f t="shared" si="29"/>
        <v>23963.99</v>
      </c>
      <c r="I1854" s="31"/>
      <c r="K1854" t="s">
        <v>13</v>
      </c>
    </row>
    <row r="1855" spans="2:11" ht="13" x14ac:dyDescent="0.15">
      <c r="B1855" s="29" t="s">
        <v>2493</v>
      </c>
      <c r="C1855" s="29" t="s">
        <v>1884</v>
      </c>
      <c r="D1855" s="31">
        <f>SUMIFS(D1856:D3130,K1856:K3130,"0",B1856:B3130,"5 1 1 3 4 12 31111 6 M78 06000 132*")-SUMIFS(E1856:E3130,K1856:K3130,"0",B1856:B3130,"5 1 1 3 4 12 31111 6 M78 06000 132*")</f>
        <v>0</v>
      </c>
      <c r="E1855"/>
      <c r="F1855" s="31">
        <f>SUMIFS(F1856:F3130,K1856:K3130,"0",B1856:B3130,"5 1 1 3 4 12 31111 6 M78 06000 132*")</f>
        <v>23963.99</v>
      </c>
      <c r="G1855" s="31">
        <f>SUMIFS(G1856:G3130,K1856:K3130,"0",B1856:B3130,"5 1 1 3 4 12 31111 6 M78 06000 132*")</f>
        <v>0</v>
      </c>
      <c r="H1855" s="31">
        <f t="shared" si="29"/>
        <v>23963.99</v>
      </c>
      <c r="I1855" s="31"/>
      <c r="K1855" t="s">
        <v>13</v>
      </c>
    </row>
    <row r="1856" spans="2:11" ht="13" x14ac:dyDescent="0.15">
      <c r="B1856" s="29" t="s">
        <v>2494</v>
      </c>
      <c r="C1856" s="29" t="s">
        <v>265</v>
      </c>
      <c r="D1856" s="31">
        <f>SUMIFS(D1857:D3130,K1857:K3130,"0",B1857:B3130,"5 1 1 3 4 12 31111 6 M78 06000 132 00C*")-SUMIFS(E1857:E3130,K1857:K3130,"0",B1857:B3130,"5 1 1 3 4 12 31111 6 M78 06000 132 00C*")</f>
        <v>0</v>
      </c>
      <c r="E1856"/>
      <c r="F1856" s="31">
        <f>SUMIFS(F1857:F3130,K1857:K3130,"0",B1857:B3130,"5 1 1 3 4 12 31111 6 M78 06000 132 00C*")</f>
        <v>23963.99</v>
      </c>
      <c r="G1856" s="31">
        <f>SUMIFS(G1857:G3130,K1857:K3130,"0",B1857:B3130,"5 1 1 3 4 12 31111 6 M78 06000 132 00C*")</f>
        <v>0</v>
      </c>
      <c r="H1856" s="31">
        <f t="shared" si="29"/>
        <v>23963.99</v>
      </c>
      <c r="I1856" s="31"/>
      <c r="K1856" t="s">
        <v>13</v>
      </c>
    </row>
    <row r="1857" spans="2:11" ht="13" x14ac:dyDescent="0.15">
      <c r="B1857" s="29" t="s">
        <v>2495</v>
      </c>
      <c r="C1857" s="29" t="s">
        <v>32</v>
      </c>
      <c r="D1857" s="31">
        <f>SUMIFS(D1858:D3130,K1858:K3130,"0",B1858:B3130,"5 1 1 3 4 12 31111 6 M78 06000 132 00C 001*")-SUMIFS(E1858:E3130,K1858:K3130,"0",B1858:B3130,"5 1 1 3 4 12 31111 6 M78 06000 132 00C 001*")</f>
        <v>0</v>
      </c>
      <c r="E1857"/>
      <c r="F1857" s="31">
        <f>SUMIFS(F1858:F3130,K1858:K3130,"0",B1858:B3130,"5 1 1 3 4 12 31111 6 M78 06000 132 00C 001*")</f>
        <v>23963.99</v>
      </c>
      <c r="G1857" s="31">
        <f>SUMIFS(G1858:G3130,K1858:K3130,"0",B1858:B3130,"5 1 1 3 4 12 31111 6 M78 06000 132 00C 001*")</f>
        <v>0</v>
      </c>
      <c r="H1857" s="31">
        <f t="shared" si="29"/>
        <v>23963.99</v>
      </c>
      <c r="I1857" s="31"/>
      <c r="K1857" t="s">
        <v>13</v>
      </c>
    </row>
    <row r="1858" spans="2:11" ht="13" x14ac:dyDescent="0.15">
      <c r="B1858" s="29" t="s">
        <v>2496</v>
      </c>
      <c r="C1858" s="29" t="s">
        <v>2418</v>
      </c>
      <c r="D1858" s="31">
        <f>SUMIFS(D1859:D3130,K1859:K3130,"0",B1859:B3130,"5 1 1 3 4 12 31111 6 M78 06000 132 00C 001 13406*")-SUMIFS(E1859:E3130,K1859:K3130,"0",B1859:B3130,"5 1 1 3 4 12 31111 6 M78 06000 132 00C 001 13406*")</f>
        <v>0</v>
      </c>
      <c r="E1858"/>
      <c r="F1858" s="31">
        <f>SUMIFS(F1859:F3130,K1859:K3130,"0",B1859:B3130,"5 1 1 3 4 12 31111 6 M78 06000 132 00C 001 13406*")</f>
        <v>23963.99</v>
      </c>
      <c r="G1858" s="31">
        <f>SUMIFS(G1859:G3130,K1859:K3130,"0",B1859:B3130,"5 1 1 3 4 12 31111 6 M78 06000 132 00C 001 13406*")</f>
        <v>0</v>
      </c>
      <c r="H1858" s="31">
        <f t="shared" si="29"/>
        <v>23963.99</v>
      </c>
      <c r="I1858" s="31"/>
      <c r="K1858" t="s">
        <v>13</v>
      </c>
    </row>
    <row r="1859" spans="2:11" ht="22" x14ac:dyDescent="0.15">
      <c r="B1859" s="29" t="s">
        <v>2497</v>
      </c>
      <c r="C1859" s="29" t="s">
        <v>271</v>
      </c>
      <c r="D1859" s="31">
        <f>SUMIFS(D1860:D3130,K1860:K3130,"0",B1860:B3130,"5 1 1 3 4 12 31111 6 M78 06000 132 00C 001 13406 015*")-SUMIFS(E1860:E3130,K1860:K3130,"0",B1860:B3130,"5 1 1 3 4 12 31111 6 M78 06000 132 00C 001 13406 015*")</f>
        <v>0</v>
      </c>
      <c r="E1859"/>
      <c r="F1859" s="31">
        <f>SUMIFS(F1860:F3130,K1860:K3130,"0",B1860:B3130,"5 1 1 3 4 12 31111 6 M78 06000 132 00C 001 13406 015*")</f>
        <v>23963.99</v>
      </c>
      <c r="G1859" s="31">
        <f>SUMIFS(G1860:G3130,K1860:K3130,"0",B1860:B3130,"5 1 1 3 4 12 31111 6 M78 06000 132 00C 001 13406 015*")</f>
        <v>0</v>
      </c>
      <c r="H1859" s="31">
        <f t="shared" si="29"/>
        <v>23963.99</v>
      </c>
      <c r="I1859" s="31"/>
      <c r="K1859" t="s">
        <v>13</v>
      </c>
    </row>
    <row r="1860" spans="2:11" ht="22" x14ac:dyDescent="0.15">
      <c r="B1860" s="29" t="s">
        <v>2498</v>
      </c>
      <c r="C1860" s="29" t="s">
        <v>1813</v>
      </c>
      <c r="D1860" s="31">
        <f>SUMIFS(D1861:D3130,K1861:K3130,"0",B1861:B3130,"5 1 1 3 4 12 31111 6 M78 06000 132 00C 001 13406 015 2111100*")-SUMIFS(E1861:E3130,K1861:K3130,"0",B1861:B3130,"5 1 1 3 4 12 31111 6 M78 06000 132 00C 001 13406 015 2111100*")</f>
        <v>0</v>
      </c>
      <c r="E1860"/>
      <c r="F1860" s="31">
        <f>SUMIFS(F1861:F3130,K1861:K3130,"0",B1861:B3130,"5 1 1 3 4 12 31111 6 M78 06000 132 00C 001 13406 015 2111100*")</f>
        <v>23963.99</v>
      </c>
      <c r="G1860" s="31">
        <f>SUMIFS(G1861:G3130,K1861:K3130,"0",B1861:B3130,"5 1 1 3 4 12 31111 6 M78 06000 132 00C 001 13406 015 2111100*")</f>
        <v>0</v>
      </c>
      <c r="H1860" s="31">
        <f t="shared" si="29"/>
        <v>23963.99</v>
      </c>
      <c r="I1860" s="31"/>
      <c r="K1860" t="s">
        <v>13</v>
      </c>
    </row>
    <row r="1861" spans="2:11" ht="22" x14ac:dyDescent="0.15">
      <c r="B1861" s="29" t="s">
        <v>2499</v>
      </c>
      <c r="C1861" s="29" t="s">
        <v>275</v>
      </c>
      <c r="D1861" s="31">
        <f>SUMIFS(D1862:D3130,K1862:K3130,"0",B1862:B3130,"5 1 1 3 4 12 31111 6 M78 06000 132 00C 001 13406 015 2111100 2024*")-SUMIFS(E1862:E3130,K1862:K3130,"0",B1862:B3130,"5 1 1 3 4 12 31111 6 M78 06000 132 00C 001 13406 015 2111100 2024*")</f>
        <v>0</v>
      </c>
      <c r="E1861"/>
      <c r="F1861" s="31">
        <f>SUMIFS(F1862:F3130,K1862:K3130,"0",B1862:B3130,"5 1 1 3 4 12 31111 6 M78 06000 132 00C 001 13406 015 2111100 2024*")</f>
        <v>23963.99</v>
      </c>
      <c r="G1861" s="31">
        <f>SUMIFS(G1862:G3130,K1862:K3130,"0",B1862:B3130,"5 1 1 3 4 12 31111 6 M78 06000 132 00C 001 13406 015 2111100 2024*")</f>
        <v>0</v>
      </c>
      <c r="H1861" s="31">
        <f t="shared" si="29"/>
        <v>23963.99</v>
      </c>
      <c r="I1861" s="31"/>
      <c r="K1861" t="s">
        <v>13</v>
      </c>
    </row>
    <row r="1862" spans="2:11" ht="22" x14ac:dyDescent="0.15">
      <c r="B1862" s="29" t="s">
        <v>2500</v>
      </c>
      <c r="C1862" s="29" t="s">
        <v>277</v>
      </c>
      <c r="D1862" s="31">
        <f>SUMIFS(D1863:D3130,K1863:K3130,"0",B1863:B3130,"5 1 1 3 4 12 31111 6 M78 06000 132 00C 001 13406 015 2111100 2024 00000000*")-SUMIFS(E1863:E3130,K1863:K3130,"0",B1863:B3130,"5 1 1 3 4 12 31111 6 M78 06000 132 00C 001 13406 015 2111100 2024 00000000*")</f>
        <v>0</v>
      </c>
      <c r="E1862"/>
      <c r="F1862" s="31">
        <f>SUMIFS(F1863:F3130,K1863:K3130,"0",B1863:B3130,"5 1 1 3 4 12 31111 6 M78 06000 132 00C 001 13406 015 2111100 2024 00000000*")</f>
        <v>23963.99</v>
      </c>
      <c r="G1862" s="31">
        <f>SUMIFS(G1863:G3130,K1863:K3130,"0",B1863:B3130,"5 1 1 3 4 12 31111 6 M78 06000 132 00C 001 13406 015 2111100 2024 00000000*")</f>
        <v>0</v>
      </c>
      <c r="H1862" s="31">
        <f t="shared" si="29"/>
        <v>23963.99</v>
      </c>
      <c r="I1862" s="31"/>
      <c r="K1862" t="s">
        <v>13</v>
      </c>
    </row>
    <row r="1863" spans="2:11" ht="22" x14ac:dyDescent="0.15">
      <c r="B1863" s="29" t="s">
        <v>2501</v>
      </c>
      <c r="C1863" s="29" t="s">
        <v>32</v>
      </c>
      <c r="D1863" s="31">
        <f>SUMIFS(D1864:D3130,K1864:K3130,"0",B1864:B3130,"5 1 1 3 4 12 31111 6 M78 06000 132 00C 001 13406 015 2111100 2024 00000000 001*")-SUMIFS(E1864:E3130,K1864:K3130,"0",B1864:B3130,"5 1 1 3 4 12 31111 6 M78 06000 132 00C 001 13406 015 2111100 2024 00000000 001*")</f>
        <v>0</v>
      </c>
      <c r="E1863"/>
      <c r="F1863" s="31">
        <f>SUMIFS(F1864:F3130,K1864:K3130,"0",B1864:B3130,"5 1 1 3 4 12 31111 6 M78 06000 132 00C 001 13406 015 2111100 2024 00000000 001*")</f>
        <v>23963.99</v>
      </c>
      <c r="G1863" s="31">
        <f>SUMIFS(G1864:G3130,K1864:K3130,"0",B1864:B3130,"5 1 1 3 4 12 31111 6 M78 06000 132 00C 001 13406 015 2111100 2024 00000000 001*")</f>
        <v>0</v>
      </c>
      <c r="H1863" s="31">
        <f t="shared" si="29"/>
        <v>23963.99</v>
      </c>
      <c r="I1863" s="31"/>
      <c r="K1863" t="s">
        <v>13</v>
      </c>
    </row>
    <row r="1864" spans="2:11" ht="22" x14ac:dyDescent="0.15">
      <c r="B1864" s="29" t="s">
        <v>2502</v>
      </c>
      <c r="C1864" s="29" t="s">
        <v>1894</v>
      </c>
      <c r="D1864" s="31">
        <f>SUMIFS(D1865:D3130,K1865:K3130,"0",B1865:B3130,"5 1 1 3 4 12 31111 6 M78 06000 132 00C 001 13406 015 2111100 2024 00000000 001 001*")-SUMIFS(E1865:E3130,K1865:K3130,"0",B1865:B3130,"5 1 1 3 4 12 31111 6 M78 06000 132 00C 001 13406 015 2111100 2024 00000000 001 001*")</f>
        <v>0</v>
      </c>
      <c r="E1864"/>
      <c r="F1864" s="31">
        <f>SUMIFS(F1865:F3130,K1865:K3130,"0",B1865:B3130,"5 1 1 3 4 12 31111 6 M78 06000 132 00C 001 13406 015 2111100 2024 00000000 001 001*")</f>
        <v>23963.99</v>
      </c>
      <c r="G1864" s="31">
        <f>SUMIFS(G1865:G3130,K1865:K3130,"0",B1865:B3130,"5 1 1 3 4 12 31111 6 M78 06000 132 00C 001 13406 015 2111100 2024 00000000 001 001*")</f>
        <v>0</v>
      </c>
      <c r="H1864" s="31">
        <f t="shared" si="29"/>
        <v>23963.99</v>
      </c>
      <c r="I1864" s="31"/>
      <c r="K1864" t="s">
        <v>13</v>
      </c>
    </row>
    <row r="1865" spans="2:11" ht="22" x14ac:dyDescent="0.15">
      <c r="B1865" s="27" t="s">
        <v>2503</v>
      </c>
      <c r="C1865" s="27" t="s">
        <v>2426</v>
      </c>
      <c r="D1865" s="30">
        <v>0</v>
      </c>
      <c r="E1865" s="30"/>
      <c r="F1865" s="30">
        <v>23963.99</v>
      </c>
      <c r="G1865" s="30">
        <v>0</v>
      </c>
      <c r="H1865" s="30">
        <f t="shared" si="29"/>
        <v>23963.99</v>
      </c>
      <c r="I1865" s="30"/>
      <c r="K1865" t="s">
        <v>37</v>
      </c>
    </row>
    <row r="1866" spans="2:11" ht="13" x14ac:dyDescent="0.15">
      <c r="B1866" s="29" t="s">
        <v>2504</v>
      </c>
      <c r="C1866" s="29" t="s">
        <v>8</v>
      </c>
      <c r="D1866" s="31">
        <f>SUMIFS(D1867:D3130,K1867:K3130,"0",B1867:B3130,"5 1 1 3 4 12 31111 6 M78 07000*")-SUMIFS(E1867:E3130,K1867:K3130,"0",B1867:B3130,"5 1 1 3 4 12 31111 6 M78 07000*")</f>
        <v>0</v>
      </c>
      <c r="E1866"/>
      <c r="F1866" s="31">
        <f>SUMIFS(F1867:F3130,K1867:K3130,"0",B1867:B3130,"5 1 1 3 4 12 31111 6 M78 07000*")</f>
        <v>356813.2</v>
      </c>
      <c r="G1866" s="31">
        <f>SUMIFS(G1867:G3130,K1867:K3130,"0",B1867:B3130,"5 1 1 3 4 12 31111 6 M78 07000*")</f>
        <v>0</v>
      </c>
      <c r="H1866" s="31">
        <f t="shared" si="29"/>
        <v>356813.2</v>
      </c>
      <c r="I1866" s="31"/>
      <c r="K1866" t="s">
        <v>13</v>
      </c>
    </row>
    <row r="1867" spans="2:11" ht="13" x14ac:dyDescent="0.15">
      <c r="B1867" s="29" t="s">
        <v>2505</v>
      </c>
      <c r="C1867" s="29" t="s">
        <v>588</v>
      </c>
      <c r="D1867" s="31">
        <f>SUMIFS(D1868:D3130,K1868:K3130,"0",B1868:B3130,"5 1 1 3 4 12 31111 6 M78 07000 151*")-SUMIFS(E1868:E3130,K1868:K3130,"0",B1868:B3130,"5 1 1 3 4 12 31111 6 M78 07000 151*")</f>
        <v>0</v>
      </c>
      <c r="E1867"/>
      <c r="F1867" s="31">
        <f>SUMIFS(F1868:F3130,K1868:K3130,"0",B1868:B3130,"5 1 1 3 4 12 31111 6 M78 07000 151*")</f>
        <v>356813.2</v>
      </c>
      <c r="G1867" s="31">
        <f>SUMIFS(G1868:G3130,K1868:K3130,"0",B1868:B3130,"5 1 1 3 4 12 31111 6 M78 07000 151*")</f>
        <v>0</v>
      </c>
      <c r="H1867" s="31">
        <f t="shared" ref="H1867:H1930" si="30">D1867 + F1867 - G1867</f>
        <v>356813.2</v>
      </c>
      <c r="I1867" s="31"/>
      <c r="K1867" t="s">
        <v>13</v>
      </c>
    </row>
    <row r="1868" spans="2:11" ht="13" x14ac:dyDescent="0.15">
      <c r="B1868" s="29" t="s">
        <v>2506</v>
      </c>
      <c r="C1868" s="29" t="s">
        <v>265</v>
      </c>
      <c r="D1868" s="31">
        <f>SUMIFS(D1869:D3130,K1869:K3130,"0",B1869:B3130,"5 1 1 3 4 12 31111 6 M78 07000 151 00C*")-SUMIFS(E1869:E3130,K1869:K3130,"0",B1869:B3130,"5 1 1 3 4 12 31111 6 M78 07000 151 00C*")</f>
        <v>0</v>
      </c>
      <c r="E1868"/>
      <c r="F1868" s="31">
        <f>SUMIFS(F1869:F3130,K1869:K3130,"0",B1869:B3130,"5 1 1 3 4 12 31111 6 M78 07000 151 00C*")</f>
        <v>356813.2</v>
      </c>
      <c r="G1868" s="31">
        <f>SUMIFS(G1869:G3130,K1869:K3130,"0",B1869:B3130,"5 1 1 3 4 12 31111 6 M78 07000 151 00C*")</f>
        <v>0</v>
      </c>
      <c r="H1868" s="31">
        <f t="shared" si="30"/>
        <v>356813.2</v>
      </c>
      <c r="I1868" s="31"/>
      <c r="K1868" t="s">
        <v>13</v>
      </c>
    </row>
    <row r="1869" spans="2:11" ht="13" x14ac:dyDescent="0.15">
      <c r="B1869" s="29" t="s">
        <v>2507</v>
      </c>
      <c r="C1869" s="29" t="s">
        <v>32</v>
      </c>
      <c r="D1869" s="31">
        <f>SUMIFS(D1870:D3130,K1870:K3130,"0",B1870:B3130,"5 1 1 3 4 12 31111 6 M78 07000 151 00C 001*")-SUMIFS(E1870:E3130,K1870:K3130,"0",B1870:B3130,"5 1 1 3 4 12 31111 6 M78 07000 151 00C 001*")</f>
        <v>0</v>
      </c>
      <c r="E1869"/>
      <c r="F1869" s="31">
        <f>SUMIFS(F1870:F3130,K1870:K3130,"0",B1870:B3130,"5 1 1 3 4 12 31111 6 M78 07000 151 00C 001*")</f>
        <v>356813.2</v>
      </c>
      <c r="G1869" s="31">
        <f>SUMIFS(G1870:G3130,K1870:K3130,"0",B1870:B3130,"5 1 1 3 4 12 31111 6 M78 07000 151 00C 001*")</f>
        <v>0</v>
      </c>
      <c r="H1869" s="31">
        <f t="shared" si="30"/>
        <v>356813.2</v>
      </c>
      <c r="I1869" s="31"/>
      <c r="K1869" t="s">
        <v>13</v>
      </c>
    </row>
    <row r="1870" spans="2:11" ht="13" x14ac:dyDescent="0.15">
      <c r="B1870" s="29" t="s">
        <v>2508</v>
      </c>
      <c r="C1870" s="29" t="s">
        <v>2408</v>
      </c>
      <c r="D1870" s="31">
        <f>SUMIFS(D1871:D3130,K1871:K3130,"0",B1871:B3130,"5 1 1 3 4 12 31111 6 M78 07000 151 00C 001 13403*")-SUMIFS(E1871:E3130,K1871:K3130,"0",B1871:B3130,"5 1 1 3 4 12 31111 6 M78 07000 151 00C 001 13403*")</f>
        <v>0</v>
      </c>
      <c r="E1870"/>
      <c r="F1870" s="31">
        <f>SUMIFS(F1871:F3130,K1871:K3130,"0",B1871:B3130,"5 1 1 3 4 12 31111 6 M78 07000 151 00C 001 13403*")</f>
        <v>261528.7</v>
      </c>
      <c r="G1870" s="31">
        <f>SUMIFS(G1871:G3130,K1871:K3130,"0",B1871:B3130,"5 1 1 3 4 12 31111 6 M78 07000 151 00C 001 13403*")</f>
        <v>0</v>
      </c>
      <c r="H1870" s="31">
        <f t="shared" si="30"/>
        <v>261528.7</v>
      </c>
      <c r="I1870" s="31"/>
      <c r="K1870" t="s">
        <v>13</v>
      </c>
    </row>
    <row r="1871" spans="2:11" ht="22" x14ac:dyDescent="0.15">
      <c r="B1871" s="29" t="s">
        <v>2509</v>
      </c>
      <c r="C1871" s="29" t="s">
        <v>271</v>
      </c>
      <c r="D1871" s="31">
        <f>SUMIFS(D1872:D3130,K1872:K3130,"0",B1872:B3130,"5 1 1 3 4 12 31111 6 M78 07000 151 00C 001 13403 015*")-SUMIFS(E1872:E3130,K1872:K3130,"0",B1872:B3130,"5 1 1 3 4 12 31111 6 M78 07000 151 00C 001 13403 015*")</f>
        <v>0</v>
      </c>
      <c r="E1871"/>
      <c r="F1871" s="31">
        <f>SUMIFS(F1872:F3130,K1872:K3130,"0",B1872:B3130,"5 1 1 3 4 12 31111 6 M78 07000 151 00C 001 13403 015*")</f>
        <v>261528.7</v>
      </c>
      <c r="G1871" s="31">
        <f>SUMIFS(G1872:G3130,K1872:K3130,"0",B1872:B3130,"5 1 1 3 4 12 31111 6 M78 07000 151 00C 001 13403 015*")</f>
        <v>0</v>
      </c>
      <c r="H1871" s="31">
        <f t="shared" si="30"/>
        <v>261528.7</v>
      </c>
      <c r="I1871" s="31"/>
      <c r="K1871" t="s">
        <v>13</v>
      </c>
    </row>
    <row r="1872" spans="2:11" ht="22" x14ac:dyDescent="0.15">
      <c r="B1872" s="29" t="s">
        <v>2510</v>
      </c>
      <c r="C1872" s="29" t="s">
        <v>1813</v>
      </c>
      <c r="D1872" s="31">
        <f>SUMIFS(D1873:D3130,K1873:K3130,"0",B1873:B3130,"5 1 1 3 4 12 31111 6 M78 07000 151 00C 001 13403 015 2111100*")-SUMIFS(E1873:E3130,K1873:K3130,"0",B1873:B3130,"5 1 1 3 4 12 31111 6 M78 07000 151 00C 001 13403 015 2111100*")</f>
        <v>0</v>
      </c>
      <c r="E1872"/>
      <c r="F1872" s="31">
        <f>SUMIFS(F1873:F3130,K1873:K3130,"0",B1873:B3130,"5 1 1 3 4 12 31111 6 M78 07000 151 00C 001 13403 015 2111100*")</f>
        <v>261528.7</v>
      </c>
      <c r="G1872" s="31">
        <f>SUMIFS(G1873:G3130,K1873:K3130,"0",B1873:B3130,"5 1 1 3 4 12 31111 6 M78 07000 151 00C 001 13403 015 2111100*")</f>
        <v>0</v>
      </c>
      <c r="H1872" s="31">
        <f t="shared" si="30"/>
        <v>261528.7</v>
      </c>
      <c r="I1872" s="31"/>
      <c r="K1872" t="s">
        <v>13</v>
      </c>
    </row>
    <row r="1873" spans="2:11" ht="22" x14ac:dyDescent="0.15">
      <c r="B1873" s="29" t="s">
        <v>2511</v>
      </c>
      <c r="C1873" s="29" t="s">
        <v>275</v>
      </c>
      <c r="D1873" s="31">
        <f>SUMIFS(D1874:D3130,K1874:K3130,"0",B1874:B3130,"5 1 1 3 4 12 31111 6 M78 07000 151 00C 001 13403 015 2111100 2024*")-SUMIFS(E1874:E3130,K1874:K3130,"0",B1874:B3130,"5 1 1 3 4 12 31111 6 M78 07000 151 00C 001 13403 015 2111100 2024*")</f>
        <v>0</v>
      </c>
      <c r="E1873"/>
      <c r="F1873" s="31">
        <f>SUMIFS(F1874:F3130,K1874:K3130,"0",B1874:B3130,"5 1 1 3 4 12 31111 6 M78 07000 151 00C 001 13403 015 2111100 2024*")</f>
        <v>261528.7</v>
      </c>
      <c r="G1873" s="31">
        <f>SUMIFS(G1874:G3130,K1874:K3130,"0",B1874:B3130,"5 1 1 3 4 12 31111 6 M78 07000 151 00C 001 13403 015 2111100 2024*")</f>
        <v>0</v>
      </c>
      <c r="H1873" s="31">
        <f t="shared" si="30"/>
        <v>261528.7</v>
      </c>
      <c r="I1873" s="31"/>
      <c r="K1873" t="s">
        <v>13</v>
      </c>
    </row>
    <row r="1874" spans="2:11" ht="22" x14ac:dyDescent="0.15">
      <c r="B1874" s="29" t="s">
        <v>2512</v>
      </c>
      <c r="C1874" s="29" t="s">
        <v>277</v>
      </c>
      <c r="D1874" s="31">
        <f>SUMIFS(D1875:D3130,K1875:K3130,"0",B1875:B3130,"5 1 1 3 4 12 31111 6 M78 07000 151 00C 001 13403 015 2111100 2024 00000000*")-SUMIFS(E1875:E3130,K1875:K3130,"0",B1875:B3130,"5 1 1 3 4 12 31111 6 M78 07000 151 00C 001 13403 015 2111100 2024 00000000*")</f>
        <v>0</v>
      </c>
      <c r="E1874"/>
      <c r="F1874" s="31">
        <f>SUMIFS(F1875:F3130,K1875:K3130,"0",B1875:B3130,"5 1 1 3 4 12 31111 6 M78 07000 151 00C 001 13403 015 2111100 2024 00000000*")</f>
        <v>261528.7</v>
      </c>
      <c r="G1874" s="31">
        <f>SUMIFS(G1875:G3130,K1875:K3130,"0",B1875:B3130,"5 1 1 3 4 12 31111 6 M78 07000 151 00C 001 13403 015 2111100 2024 00000000*")</f>
        <v>0</v>
      </c>
      <c r="H1874" s="31">
        <f t="shared" si="30"/>
        <v>261528.7</v>
      </c>
      <c r="I1874" s="31"/>
      <c r="K1874" t="s">
        <v>13</v>
      </c>
    </row>
    <row r="1875" spans="2:11" ht="22" x14ac:dyDescent="0.15">
      <c r="B1875" s="29" t="s">
        <v>2513</v>
      </c>
      <c r="C1875" s="29" t="s">
        <v>32</v>
      </c>
      <c r="D1875" s="31">
        <f>SUMIFS(D1876:D3130,K1876:K3130,"0",B1876:B3130,"5 1 1 3 4 12 31111 6 M78 07000 151 00C 001 13403 015 2111100 2024 00000000 001*")-SUMIFS(E1876:E3130,K1876:K3130,"0",B1876:B3130,"5 1 1 3 4 12 31111 6 M78 07000 151 00C 001 13403 015 2111100 2024 00000000 001*")</f>
        <v>0</v>
      </c>
      <c r="E1875"/>
      <c r="F1875" s="31">
        <f>SUMIFS(F1876:F3130,K1876:K3130,"0",B1876:B3130,"5 1 1 3 4 12 31111 6 M78 07000 151 00C 001 13403 015 2111100 2024 00000000 001*")</f>
        <v>261528.7</v>
      </c>
      <c r="G1875" s="31">
        <f>SUMIFS(G1876:G3130,K1876:K3130,"0",B1876:B3130,"5 1 1 3 4 12 31111 6 M78 07000 151 00C 001 13403 015 2111100 2024 00000000 001*")</f>
        <v>0</v>
      </c>
      <c r="H1875" s="31">
        <f t="shared" si="30"/>
        <v>261528.7</v>
      </c>
      <c r="I1875" s="31"/>
      <c r="K1875" t="s">
        <v>13</v>
      </c>
    </row>
    <row r="1876" spans="2:11" ht="22" x14ac:dyDescent="0.15">
      <c r="B1876" s="29" t="s">
        <v>2514</v>
      </c>
      <c r="C1876" s="29" t="s">
        <v>1913</v>
      </c>
      <c r="D1876" s="31">
        <f>SUMIFS(D1877:D3130,K1877:K3130,"0",B1877:B3130,"5 1 1 3 4 12 31111 6 M78 07000 151 00C 001 13403 015 2111100 2024 00000000 001 001*")-SUMIFS(E1877:E3130,K1877:K3130,"0",B1877:B3130,"5 1 1 3 4 12 31111 6 M78 07000 151 00C 001 13403 015 2111100 2024 00000000 001 001*")</f>
        <v>0</v>
      </c>
      <c r="E1876"/>
      <c r="F1876" s="31">
        <f>SUMIFS(F1877:F3130,K1877:K3130,"0",B1877:B3130,"5 1 1 3 4 12 31111 6 M78 07000 151 00C 001 13403 015 2111100 2024 00000000 001 001*")</f>
        <v>261528.7</v>
      </c>
      <c r="G1876" s="31">
        <f>SUMIFS(G1877:G3130,K1877:K3130,"0",B1877:B3130,"5 1 1 3 4 12 31111 6 M78 07000 151 00C 001 13403 015 2111100 2024 00000000 001 001*")</f>
        <v>0</v>
      </c>
      <c r="H1876" s="31">
        <f t="shared" si="30"/>
        <v>261528.7</v>
      </c>
      <c r="I1876" s="31"/>
      <c r="K1876" t="s">
        <v>13</v>
      </c>
    </row>
    <row r="1877" spans="2:11" ht="22" x14ac:dyDescent="0.15">
      <c r="B1877" s="27" t="s">
        <v>2515</v>
      </c>
      <c r="C1877" s="27" t="s">
        <v>2416</v>
      </c>
      <c r="D1877" s="30">
        <v>0</v>
      </c>
      <c r="E1877" s="30"/>
      <c r="F1877" s="30">
        <v>261528.7</v>
      </c>
      <c r="G1877" s="30">
        <v>0</v>
      </c>
      <c r="H1877" s="30">
        <f t="shared" si="30"/>
        <v>261528.7</v>
      </c>
      <c r="I1877" s="30"/>
      <c r="K1877" t="s">
        <v>37</v>
      </c>
    </row>
    <row r="1878" spans="2:11" ht="13" x14ac:dyDescent="0.15">
      <c r="B1878" s="29" t="s">
        <v>2516</v>
      </c>
      <c r="C1878" s="29" t="s">
        <v>2418</v>
      </c>
      <c r="D1878" s="31">
        <f>SUMIFS(D1879:D3130,K1879:K3130,"0",B1879:B3130,"5 1 1 3 4 12 31111 6 M78 07000 151 00C 001 13406*")-SUMIFS(E1879:E3130,K1879:K3130,"0",B1879:B3130,"5 1 1 3 4 12 31111 6 M78 07000 151 00C 001 13406*")</f>
        <v>0</v>
      </c>
      <c r="E1878"/>
      <c r="F1878" s="31">
        <f>SUMIFS(F1879:F3130,K1879:K3130,"0",B1879:B3130,"5 1 1 3 4 12 31111 6 M78 07000 151 00C 001 13406*")</f>
        <v>95284.5</v>
      </c>
      <c r="G1878" s="31">
        <f>SUMIFS(G1879:G3130,K1879:K3130,"0",B1879:B3130,"5 1 1 3 4 12 31111 6 M78 07000 151 00C 001 13406*")</f>
        <v>0</v>
      </c>
      <c r="H1878" s="31">
        <f t="shared" si="30"/>
        <v>95284.5</v>
      </c>
      <c r="I1878" s="31"/>
      <c r="K1878" t="s">
        <v>13</v>
      </c>
    </row>
    <row r="1879" spans="2:11" ht="22" x14ac:dyDescent="0.15">
      <c r="B1879" s="29" t="s">
        <v>2517</v>
      </c>
      <c r="C1879" s="29" t="s">
        <v>271</v>
      </c>
      <c r="D1879" s="31">
        <f>SUMIFS(D1880:D3130,K1880:K3130,"0",B1880:B3130,"5 1 1 3 4 12 31111 6 M78 07000 151 00C 001 13406 015*")-SUMIFS(E1880:E3130,K1880:K3130,"0",B1880:B3130,"5 1 1 3 4 12 31111 6 M78 07000 151 00C 001 13406 015*")</f>
        <v>0</v>
      </c>
      <c r="E1879"/>
      <c r="F1879" s="31">
        <f>SUMIFS(F1880:F3130,K1880:K3130,"0",B1880:B3130,"5 1 1 3 4 12 31111 6 M78 07000 151 00C 001 13406 015*")</f>
        <v>95284.5</v>
      </c>
      <c r="G1879" s="31">
        <f>SUMIFS(G1880:G3130,K1880:K3130,"0",B1880:B3130,"5 1 1 3 4 12 31111 6 M78 07000 151 00C 001 13406 015*")</f>
        <v>0</v>
      </c>
      <c r="H1879" s="31">
        <f t="shared" si="30"/>
        <v>95284.5</v>
      </c>
      <c r="I1879" s="31"/>
      <c r="K1879" t="s">
        <v>13</v>
      </c>
    </row>
    <row r="1880" spans="2:11" ht="22" x14ac:dyDescent="0.15">
      <c r="B1880" s="29" t="s">
        <v>2518</v>
      </c>
      <c r="C1880" s="29" t="s">
        <v>1813</v>
      </c>
      <c r="D1880" s="31">
        <f>SUMIFS(D1881:D3130,K1881:K3130,"0",B1881:B3130,"5 1 1 3 4 12 31111 6 M78 07000 151 00C 001 13406 015 2111100*")-SUMIFS(E1881:E3130,K1881:K3130,"0",B1881:B3130,"5 1 1 3 4 12 31111 6 M78 07000 151 00C 001 13406 015 2111100*")</f>
        <v>0</v>
      </c>
      <c r="E1880"/>
      <c r="F1880" s="31">
        <f>SUMIFS(F1881:F3130,K1881:K3130,"0",B1881:B3130,"5 1 1 3 4 12 31111 6 M78 07000 151 00C 001 13406 015 2111100*")</f>
        <v>95284.5</v>
      </c>
      <c r="G1880" s="31">
        <f>SUMIFS(G1881:G3130,K1881:K3130,"0",B1881:B3130,"5 1 1 3 4 12 31111 6 M78 07000 151 00C 001 13406 015 2111100*")</f>
        <v>0</v>
      </c>
      <c r="H1880" s="31">
        <f t="shared" si="30"/>
        <v>95284.5</v>
      </c>
      <c r="I1880" s="31"/>
      <c r="K1880" t="s">
        <v>13</v>
      </c>
    </row>
    <row r="1881" spans="2:11" ht="22" x14ac:dyDescent="0.15">
      <c r="B1881" s="29" t="s">
        <v>2519</v>
      </c>
      <c r="C1881" s="29" t="s">
        <v>275</v>
      </c>
      <c r="D1881" s="31">
        <f>SUMIFS(D1882:D3130,K1882:K3130,"0",B1882:B3130,"5 1 1 3 4 12 31111 6 M78 07000 151 00C 001 13406 015 2111100 2024*")-SUMIFS(E1882:E3130,K1882:K3130,"0",B1882:B3130,"5 1 1 3 4 12 31111 6 M78 07000 151 00C 001 13406 015 2111100 2024*")</f>
        <v>0</v>
      </c>
      <c r="E1881"/>
      <c r="F1881" s="31">
        <f>SUMIFS(F1882:F3130,K1882:K3130,"0",B1882:B3130,"5 1 1 3 4 12 31111 6 M78 07000 151 00C 001 13406 015 2111100 2024*")</f>
        <v>95284.5</v>
      </c>
      <c r="G1881" s="31">
        <f>SUMIFS(G1882:G3130,K1882:K3130,"0",B1882:B3130,"5 1 1 3 4 12 31111 6 M78 07000 151 00C 001 13406 015 2111100 2024*")</f>
        <v>0</v>
      </c>
      <c r="H1881" s="31">
        <f t="shared" si="30"/>
        <v>95284.5</v>
      </c>
      <c r="I1881" s="31"/>
      <c r="K1881" t="s">
        <v>13</v>
      </c>
    </row>
    <row r="1882" spans="2:11" ht="22" x14ac:dyDescent="0.15">
      <c r="B1882" s="29" t="s">
        <v>2520</v>
      </c>
      <c r="C1882" s="29" t="s">
        <v>277</v>
      </c>
      <c r="D1882" s="31">
        <f>SUMIFS(D1883:D3130,K1883:K3130,"0",B1883:B3130,"5 1 1 3 4 12 31111 6 M78 07000 151 00C 001 13406 015 2111100 2024 00000000*")-SUMIFS(E1883:E3130,K1883:K3130,"0",B1883:B3130,"5 1 1 3 4 12 31111 6 M78 07000 151 00C 001 13406 015 2111100 2024 00000000*")</f>
        <v>0</v>
      </c>
      <c r="E1882"/>
      <c r="F1882" s="31">
        <f>SUMIFS(F1883:F3130,K1883:K3130,"0",B1883:B3130,"5 1 1 3 4 12 31111 6 M78 07000 151 00C 001 13406 015 2111100 2024 00000000*")</f>
        <v>95284.5</v>
      </c>
      <c r="G1882" s="31">
        <f>SUMIFS(G1883:G3130,K1883:K3130,"0",B1883:B3130,"5 1 1 3 4 12 31111 6 M78 07000 151 00C 001 13406 015 2111100 2024 00000000*")</f>
        <v>0</v>
      </c>
      <c r="H1882" s="31">
        <f t="shared" si="30"/>
        <v>95284.5</v>
      </c>
      <c r="I1882" s="31"/>
      <c r="K1882" t="s">
        <v>13</v>
      </c>
    </row>
    <row r="1883" spans="2:11" ht="22" x14ac:dyDescent="0.15">
      <c r="B1883" s="29" t="s">
        <v>2521</v>
      </c>
      <c r="C1883" s="29" t="s">
        <v>32</v>
      </c>
      <c r="D1883" s="31">
        <f>SUMIFS(D1884:D3130,K1884:K3130,"0",B1884:B3130,"5 1 1 3 4 12 31111 6 M78 07000 151 00C 001 13406 015 2111100 2024 00000000 001*")-SUMIFS(E1884:E3130,K1884:K3130,"0",B1884:B3130,"5 1 1 3 4 12 31111 6 M78 07000 151 00C 001 13406 015 2111100 2024 00000000 001*")</f>
        <v>0</v>
      </c>
      <c r="E1883"/>
      <c r="F1883" s="31">
        <f>SUMIFS(F1884:F3130,K1884:K3130,"0",B1884:B3130,"5 1 1 3 4 12 31111 6 M78 07000 151 00C 001 13406 015 2111100 2024 00000000 001*")</f>
        <v>95284.5</v>
      </c>
      <c r="G1883" s="31">
        <f>SUMIFS(G1884:G3130,K1884:K3130,"0",B1884:B3130,"5 1 1 3 4 12 31111 6 M78 07000 151 00C 001 13406 015 2111100 2024 00000000 001*")</f>
        <v>0</v>
      </c>
      <c r="H1883" s="31">
        <f t="shared" si="30"/>
        <v>95284.5</v>
      </c>
      <c r="I1883" s="31"/>
      <c r="K1883" t="s">
        <v>13</v>
      </c>
    </row>
    <row r="1884" spans="2:11" ht="22" x14ac:dyDescent="0.15">
      <c r="B1884" s="29" t="s">
        <v>2522</v>
      </c>
      <c r="C1884" s="29" t="s">
        <v>1913</v>
      </c>
      <c r="D1884" s="31">
        <f>SUMIFS(D1885:D3130,K1885:K3130,"0",B1885:B3130,"5 1 1 3 4 12 31111 6 M78 07000 151 00C 001 13406 015 2111100 2024 00000000 001 001*")-SUMIFS(E1885:E3130,K1885:K3130,"0",B1885:B3130,"5 1 1 3 4 12 31111 6 M78 07000 151 00C 001 13406 015 2111100 2024 00000000 001 001*")</f>
        <v>0</v>
      </c>
      <c r="E1884"/>
      <c r="F1884" s="31">
        <f>SUMIFS(F1885:F3130,K1885:K3130,"0",B1885:B3130,"5 1 1 3 4 12 31111 6 M78 07000 151 00C 001 13406 015 2111100 2024 00000000 001 001*")</f>
        <v>95284.5</v>
      </c>
      <c r="G1884" s="31">
        <f>SUMIFS(G1885:G3130,K1885:K3130,"0",B1885:B3130,"5 1 1 3 4 12 31111 6 M78 07000 151 00C 001 13406 015 2111100 2024 00000000 001 001*")</f>
        <v>0</v>
      </c>
      <c r="H1884" s="31">
        <f t="shared" si="30"/>
        <v>95284.5</v>
      </c>
      <c r="I1884" s="31"/>
      <c r="K1884" t="s">
        <v>13</v>
      </c>
    </row>
    <row r="1885" spans="2:11" ht="22" x14ac:dyDescent="0.15">
      <c r="B1885" s="27" t="s">
        <v>2523</v>
      </c>
      <c r="C1885" s="27" t="s">
        <v>2426</v>
      </c>
      <c r="D1885" s="30">
        <v>0</v>
      </c>
      <c r="E1885" s="30"/>
      <c r="F1885" s="30">
        <v>95284.5</v>
      </c>
      <c r="G1885" s="30">
        <v>0</v>
      </c>
      <c r="H1885" s="30">
        <f t="shared" si="30"/>
        <v>95284.5</v>
      </c>
      <c r="I1885" s="30"/>
      <c r="K1885" t="s">
        <v>37</v>
      </c>
    </row>
    <row r="1886" spans="2:11" ht="13" x14ac:dyDescent="0.15">
      <c r="B1886" s="29" t="s">
        <v>2524</v>
      </c>
      <c r="C1886" s="29" t="s">
        <v>1916</v>
      </c>
      <c r="D1886" s="31">
        <f>SUMIFS(D1887:D3130,K1887:K3130,"0",B1887:B3130,"5 1 1 3 4 12 31111 6 M78 08000*")-SUMIFS(E1887:E3130,K1887:K3130,"0",B1887:B3130,"5 1 1 3 4 12 31111 6 M78 08000*")</f>
        <v>0</v>
      </c>
      <c r="E1886"/>
      <c r="F1886" s="31">
        <f>SUMIFS(F1887:F3130,K1887:K3130,"0",B1887:B3130,"5 1 1 3 4 12 31111 6 M78 08000*")</f>
        <v>52907.9</v>
      </c>
      <c r="G1886" s="31">
        <f>SUMIFS(G1887:G3130,K1887:K3130,"0",B1887:B3130,"5 1 1 3 4 12 31111 6 M78 08000*")</f>
        <v>0</v>
      </c>
      <c r="H1886" s="31">
        <f t="shared" si="30"/>
        <v>52907.9</v>
      </c>
      <c r="I1886" s="31"/>
      <c r="K1886" t="s">
        <v>13</v>
      </c>
    </row>
    <row r="1887" spans="2:11" ht="13" x14ac:dyDescent="0.15">
      <c r="B1887" s="29" t="s">
        <v>2525</v>
      </c>
      <c r="C1887" s="29" t="s">
        <v>263</v>
      </c>
      <c r="D1887" s="31">
        <f>SUMIFS(D1888:D3130,K1888:K3130,"0",B1888:B3130,"5 1 1 3 4 12 31111 6 M78 08000 134*")-SUMIFS(E1888:E3130,K1888:K3130,"0",B1888:B3130,"5 1 1 3 4 12 31111 6 M78 08000 134*")</f>
        <v>0</v>
      </c>
      <c r="E1887"/>
      <c r="F1887" s="31">
        <f>SUMIFS(F1888:F3130,K1888:K3130,"0",B1888:B3130,"5 1 1 3 4 12 31111 6 M78 08000 134*")</f>
        <v>52907.9</v>
      </c>
      <c r="G1887" s="31">
        <f>SUMIFS(G1888:G3130,K1888:K3130,"0",B1888:B3130,"5 1 1 3 4 12 31111 6 M78 08000 134*")</f>
        <v>0</v>
      </c>
      <c r="H1887" s="31">
        <f t="shared" si="30"/>
        <v>52907.9</v>
      </c>
      <c r="I1887" s="31"/>
      <c r="K1887" t="s">
        <v>13</v>
      </c>
    </row>
    <row r="1888" spans="2:11" ht="13" x14ac:dyDescent="0.15">
      <c r="B1888" s="29" t="s">
        <v>2526</v>
      </c>
      <c r="C1888" s="29" t="s">
        <v>265</v>
      </c>
      <c r="D1888" s="31">
        <f>SUMIFS(D1889:D3130,K1889:K3130,"0",B1889:B3130,"5 1 1 3 4 12 31111 6 M78 08000 134 00C*")-SUMIFS(E1889:E3130,K1889:K3130,"0",B1889:B3130,"5 1 1 3 4 12 31111 6 M78 08000 134 00C*")</f>
        <v>0</v>
      </c>
      <c r="E1888"/>
      <c r="F1888" s="31">
        <f>SUMIFS(F1889:F3130,K1889:K3130,"0",B1889:B3130,"5 1 1 3 4 12 31111 6 M78 08000 134 00C*")</f>
        <v>52907.9</v>
      </c>
      <c r="G1888" s="31">
        <f>SUMIFS(G1889:G3130,K1889:K3130,"0",B1889:B3130,"5 1 1 3 4 12 31111 6 M78 08000 134 00C*")</f>
        <v>0</v>
      </c>
      <c r="H1888" s="31">
        <f t="shared" si="30"/>
        <v>52907.9</v>
      </c>
      <c r="I1888" s="31"/>
      <c r="K1888" t="s">
        <v>13</v>
      </c>
    </row>
    <row r="1889" spans="2:11" ht="13" x14ac:dyDescent="0.15">
      <c r="B1889" s="29" t="s">
        <v>2527</v>
      </c>
      <c r="C1889" s="29" t="s">
        <v>32</v>
      </c>
      <c r="D1889" s="31">
        <f>SUMIFS(D1890:D3130,K1890:K3130,"0",B1890:B3130,"5 1 1 3 4 12 31111 6 M78 08000 134 00C 001*")-SUMIFS(E1890:E3130,K1890:K3130,"0",B1890:B3130,"5 1 1 3 4 12 31111 6 M78 08000 134 00C 001*")</f>
        <v>0</v>
      </c>
      <c r="E1889"/>
      <c r="F1889" s="31">
        <f>SUMIFS(F1890:F3130,K1890:K3130,"0",B1890:B3130,"5 1 1 3 4 12 31111 6 M78 08000 134 00C 001*")</f>
        <v>52907.9</v>
      </c>
      <c r="G1889" s="31">
        <f>SUMIFS(G1890:G3130,K1890:K3130,"0",B1890:B3130,"5 1 1 3 4 12 31111 6 M78 08000 134 00C 001*")</f>
        <v>0</v>
      </c>
      <c r="H1889" s="31">
        <f t="shared" si="30"/>
        <v>52907.9</v>
      </c>
      <c r="I1889" s="31"/>
      <c r="K1889" t="s">
        <v>13</v>
      </c>
    </row>
    <row r="1890" spans="2:11" ht="13" x14ac:dyDescent="0.15">
      <c r="B1890" s="29" t="s">
        <v>2528</v>
      </c>
      <c r="C1890" s="29" t="s">
        <v>2408</v>
      </c>
      <c r="D1890" s="31">
        <f>SUMIFS(D1891:D3130,K1891:K3130,"0",B1891:B3130,"5 1 1 3 4 12 31111 6 M78 08000 134 00C 001 13403*")-SUMIFS(E1891:E3130,K1891:K3130,"0",B1891:B3130,"5 1 1 3 4 12 31111 6 M78 08000 134 00C 001 13403*")</f>
        <v>0</v>
      </c>
      <c r="E1890"/>
      <c r="F1890" s="31">
        <f>SUMIFS(F1891:F3130,K1891:K3130,"0",B1891:B3130,"5 1 1 3 4 12 31111 6 M78 08000 134 00C 001 13403*")</f>
        <v>43570.86</v>
      </c>
      <c r="G1890" s="31">
        <f>SUMIFS(G1891:G3130,K1891:K3130,"0",B1891:B3130,"5 1 1 3 4 12 31111 6 M78 08000 134 00C 001 13403*")</f>
        <v>0</v>
      </c>
      <c r="H1890" s="31">
        <f t="shared" si="30"/>
        <v>43570.86</v>
      </c>
      <c r="I1890" s="31"/>
      <c r="K1890" t="s">
        <v>13</v>
      </c>
    </row>
    <row r="1891" spans="2:11" ht="22" x14ac:dyDescent="0.15">
      <c r="B1891" s="29" t="s">
        <v>2529</v>
      </c>
      <c r="C1891" s="29" t="s">
        <v>271</v>
      </c>
      <c r="D1891" s="31">
        <f>SUMIFS(D1892:D3130,K1892:K3130,"0",B1892:B3130,"5 1 1 3 4 12 31111 6 M78 08000 134 00C 001 13403 015*")-SUMIFS(E1892:E3130,K1892:K3130,"0",B1892:B3130,"5 1 1 3 4 12 31111 6 M78 08000 134 00C 001 13403 015*")</f>
        <v>0</v>
      </c>
      <c r="E1891"/>
      <c r="F1891" s="31">
        <f>SUMIFS(F1892:F3130,K1892:K3130,"0",B1892:B3130,"5 1 1 3 4 12 31111 6 M78 08000 134 00C 001 13403 015*")</f>
        <v>43570.86</v>
      </c>
      <c r="G1891" s="31">
        <f>SUMIFS(G1892:G3130,K1892:K3130,"0",B1892:B3130,"5 1 1 3 4 12 31111 6 M78 08000 134 00C 001 13403 015*")</f>
        <v>0</v>
      </c>
      <c r="H1891" s="31">
        <f t="shared" si="30"/>
        <v>43570.86</v>
      </c>
      <c r="I1891" s="31"/>
      <c r="K1891" t="s">
        <v>13</v>
      </c>
    </row>
    <row r="1892" spans="2:11" ht="22" x14ac:dyDescent="0.15">
      <c r="B1892" s="29" t="s">
        <v>2530</v>
      </c>
      <c r="C1892" s="29" t="s">
        <v>1813</v>
      </c>
      <c r="D1892" s="31">
        <f>SUMIFS(D1893:D3130,K1893:K3130,"0",B1893:B3130,"5 1 1 3 4 12 31111 6 M78 08000 134 00C 001 13403 015 2111100*")-SUMIFS(E1893:E3130,K1893:K3130,"0",B1893:B3130,"5 1 1 3 4 12 31111 6 M78 08000 134 00C 001 13403 015 2111100*")</f>
        <v>0</v>
      </c>
      <c r="E1892"/>
      <c r="F1892" s="31">
        <f>SUMIFS(F1893:F3130,K1893:K3130,"0",B1893:B3130,"5 1 1 3 4 12 31111 6 M78 08000 134 00C 001 13403 015 2111100*")</f>
        <v>43570.86</v>
      </c>
      <c r="G1892" s="31">
        <f>SUMIFS(G1893:G3130,K1893:K3130,"0",B1893:B3130,"5 1 1 3 4 12 31111 6 M78 08000 134 00C 001 13403 015 2111100*")</f>
        <v>0</v>
      </c>
      <c r="H1892" s="31">
        <f t="shared" si="30"/>
        <v>43570.86</v>
      </c>
      <c r="I1892" s="31"/>
      <c r="K1892" t="s">
        <v>13</v>
      </c>
    </row>
    <row r="1893" spans="2:11" ht="22" x14ac:dyDescent="0.15">
      <c r="B1893" s="29" t="s">
        <v>2531</v>
      </c>
      <c r="C1893" s="29" t="s">
        <v>275</v>
      </c>
      <c r="D1893" s="31">
        <f>SUMIFS(D1894:D3130,K1894:K3130,"0",B1894:B3130,"5 1 1 3 4 12 31111 6 M78 08000 134 00C 001 13403 015 2111100 2024*")-SUMIFS(E1894:E3130,K1894:K3130,"0",B1894:B3130,"5 1 1 3 4 12 31111 6 M78 08000 134 00C 001 13403 015 2111100 2024*")</f>
        <v>0</v>
      </c>
      <c r="E1893"/>
      <c r="F1893" s="31">
        <f>SUMIFS(F1894:F3130,K1894:K3130,"0",B1894:B3130,"5 1 1 3 4 12 31111 6 M78 08000 134 00C 001 13403 015 2111100 2024*")</f>
        <v>43570.86</v>
      </c>
      <c r="G1893" s="31">
        <f>SUMIFS(G1894:G3130,K1894:K3130,"0",B1894:B3130,"5 1 1 3 4 12 31111 6 M78 08000 134 00C 001 13403 015 2111100 2024*")</f>
        <v>0</v>
      </c>
      <c r="H1893" s="31">
        <f t="shared" si="30"/>
        <v>43570.86</v>
      </c>
      <c r="I1893" s="31"/>
      <c r="K1893" t="s">
        <v>13</v>
      </c>
    </row>
    <row r="1894" spans="2:11" ht="22" x14ac:dyDescent="0.15">
      <c r="B1894" s="29" t="s">
        <v>2532</v>
      </c>
      <c r="C1894" s="29" t="s">
        <v>277</v>
      </c>
      <c r="D1894" s="31">
        <f>SUMIFS(D1895:D3130,K1895:K3130,"0",B1895:B3130,"5 1 1 3 4 12 31111 6 M78 08000 134 00C 001 13403 015 2111100 2024 00000000*")-SUMIFS(E1895:E3130,K1895:K3130,"0",B1895:B3130,"5 1 1 3 4 12 31111 6 M78 08000 134 00C 001 13403 015 2111100 2024 00000000*")</f>
        <v>0</v>
      </c>
      <c r="E1894"/>
      <c r="F1894" s="31">
        <f>SUMIFS(F1895:F3130,K1895:K3130,"0",B1895:B3130,"5 1 1 3 4 12 31111 6 M78 08000 134 00C 001 13403 015 2111100 2024 00000000*")</f>
        <v>43570.86</v>
      </c>
      <c r="G1894" s="31">
        <f>SUMIFS(G1895:G3130,K1895:K3130,"0",B1895:B3130,"5 1 1 3 4 12 31111 6 M78 08000 134 00C 001 13403 015 2111100 2024 00000000*")</f>
        <v>0</v>
      </c>
      <c r="H1894" s="31">
        <f t="shared" si="30"/>
        <v>43570.86</v>
      </c>
      <c r="I1894" s="31"/>
      <c r="K1894" t="s">
        <v>13</v>
      </c>
    </row>
    <row r="1895" spans="2:11" ht="22" x14ac:dyDescent="0.15">
      <c r="B1895" s="29" t="s">
        <v>2533</v>
      </c>
      <c r="C1895" s="29" t="s">
        <v>32</v>
      </c>
      <c r="D1895" s="31">
        <f>SUMIFS(D1896:D3130,K1896:K3130,"0",B1896:B3130,"5 1 1 3 4 12 31111 6 M78 08000 134 00C 001 13403 015 2111100 2024 00000000 001*")-SUMIFS(E1896:E3130,K1896:K3130,"0",B1896:B3130,"5 1 1 3 4 12 31111 6 M78 08000 134 00C 001 13403 015 2111100 2024 00000000 001*")</f>
        <v>0</v>
      </c>
      <c r="E1895"/>
      <c r="F1895" s="31">
        <f>SUMIFS(F1896:F3130,K1896:K3130,"0",B1896:B3130,"5 1 1 3 4 12 31111 6 M78 08000 134 00C 001 13403 015 2111100 2024 00000000 001*")</f>
        <v>43570.86</v>
      </c>
      <c r="G1895" s="31">
        <f>SUMIFS(G1896:G3130,K1896:K3130,"0",B1896:B3130,"5 1 1 3 4 12 31111 6 M78 08000 134 00C 001 13403 015 2111100 2024 00000000 001*")</f>
        <v>0</v>
      </c>
      <c r="H1895" s="31">
        <f t="shared" si="30"/>
        <v>43570.86</v>
      </c>
      <c r="I1895" s="31"/>
      <c r="K1895" t="s">
        <v>13</v>
      </c>
    </row>
    <row r="1896" spans="2:11" ht="22" x14ac:dyDescent="0.15">
      <c r="B1896" s="29" t="s">
        <v>2534</v>
      </c>
      <c r="C1896" s="29" t="s">
        <v>2535</v>
      </c>
      <c r="D1896" s="31">
        <f>SUMIFS(D1897:D3130,K1897:K3130,"0",B1897:B3130,"5 1 1 3 4 12 31111 6 M78 08000 134 00C 001 13403 015 2111100 2024 00000000 001 001*")-SUMIFS(E1897:E3130,K1897:K3130,"0",B1897:B3130,"5 1 1 3 4 12 31111 6 M78 08000 134 00C 001 13403 015 2111100 2024 00000000 001 001*")</f>
        <v>0</v>
      </c>
      <c r="E1896"/>
      <c r="F1896" s="31">
        <f>SUMIFS(F1897:F3130,K1897:K3130,"0",B1897:B3130,"5 1 1 3 4 12 31111 6 M78 08000 134 00C 001 13403 015 2111100 2024 00000000 001 001*")</f>
        <v>43570.86</v>
      </c>
      <c r="G1896" s="31">
        <f>SUMIFS(G1897:G3130,K1897:K3130,"0",B1897:B3130,"5 1 1 3 4 12 31111 6 M78 08000 134 00C 001 13403 015 2111100 2024 00000000 001 001*")</f>
        <v>0</v>
      </c>
      <c r="H1896" s="31">
        <f t="shared" si="30"/>
        <v>43570.86</v>
      </c>
      <c r="I1896" s="31"/>
      <c r="K1896" t="s">
        <v>13</v>
      </c>
    </row>
    <row r="1897" spans="2:11" ht="22" x14ac:dyDescent="0.15">
      <c r="B1897" s="27" t="s">
        <v>2536</v>
      </c>
      <c r="C1897" s="27" t="s">
        <v>2416</v>
      </c>
      <c r="D1897" s="30">
        <v>0</v>
      </c>
      <c r="E1897" s="30"/>
      <c r="F1897" s="30">
        <v>43570.86</v>
      </c>
      <c r="G1897" s="30">
        <v>0</v>
      </c>
      <c r="H1897" s="30">
        <f t="shared" si="30"/>
        <v>43570.86</v>
      </c>
      <c r="I1897" s="30"/>
      <c r="K1897" t="s">
        <v>37</v>
      </c>
    </row>
    <row r="1898" spans="2:11" ht="13" x14ac:dyDescent="0.15">
      <c r="B1898" s="29" t="s">
        <v>2537</v>
      </c>
      <c r="C1898" s="29" t="s">
        <v>2418</v>
      </c>
      <c r="D1898" s="31">
        <f>SUMIFS(D1899:D3130,K1899:K3130,"0",B1899:B3130,"5 1 1 3 4 12 31111 6 M78 08000 134 00C 001 13406*")-SUMIFS(E1899:E3130,K1899:K3130,"0",B1899:B3130,"5 1 1 3 4 12 31111 6 M78 08000 134 00C 001 13406*")</f>
        <v>0</v>
      </c>
      <c r="E1898"/>
      <c r="F1898" s="31">
        <f>SUMIFS(F1899:F3130,K1899:K3130,"0",B1899:B3130,"5 1 1 3 4 12 31111 6 M78 08000 134 00C 001 13406*")</f>
        <v>9337.0400000000009</v>
      </c>
      <c r="G1898" s="31">
        <f>SUMIFS(G1899:G3130,K1899:K3130,"0",B1899:B3130,"5 1 1 3 4 12 31111 6 M78 08000 134 00C 001 13406*")</f>
        <v>0</v>
      </c>
      <c r="H1898" s="31">
        <f t="shared" si="30"/>
        <v>9337.0400000000009</v>
      </c>
      <c r="I1898" s="31"/>
      <c r="K1898" t="s">
        <v>13</v>
      </c>
    </row>
    <row r="1899" spans="2:11" ht="22" x14ac:dyDescent="0.15">
      <c r="B1899" s="29" t="s">
        <v>2538</v>
      </c>
      <c r="C1899" s="29" t="s">
        <v>271</v>
      </c>
      <c r="D1899" s="31">
        <f>SUMIFS(D1900:D3130,K1900:K3130,"0",B1900:B3130,"5 1 1 3 4 12 31111 6 M78 08000 134 00C 001 13406 015*")-SUMIFS(E1900:E3130,K1900:K3130,"0",B1900:B3130,"5 1 1 3 4 12 31111 6 M78 08000 134 00C 001 13406 015*")</f>
        <v>0</v>
      </c>
      <c r="E1899"/>
      <c r="F1899" s="31">
        <f>SUMIFS(F1900:F3130,K1900:K3130,"0",B1900:B3130,"5 1 1 3 4 12 31111 6 M78 08000 134 00C 001 13406 015*")</f>
        <v>9337.0400000000009</v>
      </c>
      <c r="G1899" s="31">
        <f>SUMIFS(G1900:G3130,K1900:K3130,"0",B1900:B3130,"5 1 1 3 4 12 31111 6 M78 08000 134 00C 001 13406 015*")</f>
        <v>0</v>
      </c>
      <c r="H1899" s="31">
        <f t="shared" si="30"/>
        <v>9337.0400000000009</v>
      </c>
      <c r="I1899" s="31"/>
      <c r="K1899" t="s">
        <v>13</v>
      </c>
    </row>
    <row r="1900" spans="2:11" ht="22" x14ac:dyDescent="0.15">
      <c r="B1900" s="29" t="s">
        <v>2539</v>
      </c>
      <c r="C1900" s="29" t="s">
        <v>1813</v>
      </c>
      <c r="D1900" s="31">
        <f>SUMIFS(D1901:D3130,K1901:K3130,"0",B1901:B3130,"5 1 1 3 4 12 31111 6 M78 08000 134 00C 001 13406 015 2111100*")-SUMIFS(E1901:E3130,K1901:K3130,"0",B1901:B3130,"5 1 1 3 4 12 31111 6 M78 08000 134 00C 001 13406 015 2111100*")</f>
        <v>0</v>
      </c>
      <c r="E1900"/>
      <c r="F1900" s="31">
        <f>SUMIFS(F1901:F3130,K1901:K3130,"0",B1901:B3130,"5 1 1 3 4 12 31111 6 M78 08000 134 00C 001 13406 015 2111100*")</f>
        <v>9337.0400000000009</v>
      </c>
      <c r="G1900" s="31">
        <f>SUMIFS(G1901:G3130,K1901:K3130,"0",B1901:B3130,"5 1 1 3 4 12 31111 6 M78 08000 134 00C 001 13406 015 2111100*")</f>
        <v>0</v>
      </c>
      <c r="H1900" s="31">
        <f t="shared" si="30"/>
        <v>9337.0400000000009</v>
      </c>
      <c r="I1900" s="31"/>
      <c r="K1900" t="s">
        <v>13</v>
      </c>
    </row>
    <row r="1901" spans="2:11" ht="22" x14ac:dyDescent="0.15">
      <c r="B1901" s="29" t="s">
        <v>2540</v>
      </c>
      <c r="C1901" s="29" t="s">
        <v>275</v>
      </c>
      <c r="D1901" s="31">
        <f>SUMIFS(D1902:D3130,K1902:K3130,"0",B1902:B3130,"5 1 1 3 4 12 31111 6 M78 08000 134 00C 001 13406 015 2111100 2024*")-SUMIFS(E1902:E3130,K1902:K3130,"0",B1902:B3130,"5 1 1 3 4 12 31111 6 M78 08000 134 00C 001 13406 015 2111100 2024*")</f>
        <v>0</v>
      </c>
      <c r="E1901"/>
      <c r="F1901" s="31">
        <f>SUMIFS(F1902:F3130,K1902:K3130,"0",B1902:B3130,"5 1 1 3 4 12 31111 6 M78 08000 134 00C 001 13406 015 2111100 2024*")</f>
        <v>9337.0400000000009</v>
      </c>
      <c r="G1901" s="31">
        <f>SUMIFS(G1902:G3130,K1902:K3130,"0",B1902:B3130,"5 1 1 3 4 12 31111 6 M78 08000 134 00C 001 13406 015 2111100 2024*")</f>
        <v>0</v>
      </c>
      <c r="H1901" s="31">
        <f t="shared" si="30"/>
        <v>9337.0400000000009</v>
      </c>
      <c r="I1901" s="31"/>
      <c r="K1901" t="s">
        <v>13</v>
      </c>
    </row>
    <row r="1902" spans="2:11" ht="22" x14ac:dyDescent="0.15">
      <c r="B1902" s="29" t="s">
        <v>2541</v>
      </c>
      <c r="C1902" s="29" t="s">
        <v>277</v>
      </c>
      <c r="D1902" s="31">
        <f>SUMIFS(D1903:D3130,K1903:K3130,"0",B1903:B3130,"5 1 1 3 4 12 31111 6 M78 08000 134 00C 001 13406 015 2111100 2024 00000000*")-SUMIFS(E1903:E3130,K1903:K3130,"0",B1903:B3130,"5 1 1 3 4 12 31111 6 M78 08000 134 00C 001 13406 015 2111100 2024 00000000*")</f>
        <v>0</v>
      </c>
      <c r="E1902"/>
      <c r="F1902" s="31">
        <f>SUMIFS(F1903:F3130,K1903:K3130,"0",B1903:B3130,"5 1 1 3 4 12 31111 6 M78 08000 134 00C 001 13406 015 2111100 2024 00000000*")</f>
        <v>9337.0400000000009</v>
      </c>
      <c r="G1902" s="31">
        <f>SUMIFS(G1903:G3130,K1903:K3130,"0",B1903:B3130,"5 1 1 3 4 12 31111 6 M78 08000 134 00C 001 13406 015 2111100 2024 00000000*")</f>
        <v>0</v>
      </c>
      <c r="H1902" s="31">
        <f t="shared" si="30"/>
        <v>9337.0400000000009</v>
      </c>
      <c r="I1902" s="31"/>
      <c r="K1902" t="s">
        <v>13</v>
      </c>
    </row>
    <row r="1903" spans="2:11" ht="22" x14ac:dyDescent="0.15">
      <c r="B1903" s="29" t="s">
        <v>2542</v>
      </c>
      <c r="C1903" s="29" t="s">
        <v>32</v>
      </c>
      <c r="D1903" s="31">
        <f>SUMIFS(D1904:D3130,K1904:K3130,"0",B1904:B3130,"5 1 1 3 4 12 31111 6 M78 08000 134 00C 001 13406 015 2111100 2024 00000000 001*")-SUMIFS(E1904:E3130,K1904:K3130,"0",B1904:B3130,"5 1 1 3 4 12 31111 6 M78 08000 134 00C 001 13406 015 2111100 2024 00000000 001*")</f>
        <v>0</v>
      </c>
      <c r="E1903"/>
      <c r="F1903" s="31">
        <f>SUMIFS(F1904:F3130,K1904:K3130,"0",B1904:B3130,"5 1 1 3 4 12 31111 6 M78 08000 134 00C 001 13406 015 2111100 2024 00000000 001*")</f>
        <v>9337.0400000000009</v>
      </c>
      <c r="G1903" s="31">
        <f>SUMIFS(G1904:G3130,K1904:K3130,"0",B1904:B3130,"5 1 1 3 4 12 31111 6 M78 08000 134 00C 001 13406 015 2111100 2024 00000000 001*")</f>
        <v>0</v>
      </c>
      <c r="H1903" s="31">
        <f t="shared" si="30"/>
        <v>9337.0400000000009</v>
      </c>
      <c r="I1903" s="31"/>
      <c r="K1903" t="s">
        <v>13</v>
      </c>
    </row>
    <row r="1904" spans="2:11" ht="22" x14ac:dyDescent="0.15">
      <c r="B1904" s="29" t="s">
        <v>2543</v>
      </c>
      <c r="C1904" s="29" t="s">
        <v>1927</v>
      </c>
      <c r="D1904" s="31">
        <f>SUMIFS(D1905:D3130,K1905:K3130,"0",B1905:B3130,"5 1 1 3 4 12 31111 6 M78 08000 134 00C 001 13406 015 2111100 2024 00000000 001 001*")-SUMIFS(E1905:E3130,K1905:K3130,"0",B1905:B3130,"5 1 1 3 4 12 31111 6 M78 08000 134 00C 001 13406 015 2111100 2024 00000000 001 001*")</f>
        <v>0</v>
      </c>
      <c r="E1904"/>
      <c r="F1904" s="31">
        <f>SUMIFS(F1905:F3130,K1905:K3130,"0",B1905:B3130,"5 1 1 3 4 12 31111 6 M78 08000 134 00C 001 13406 015 2111100 2024 00000000 001 001*")</f>
        <v>9337.0400000000009</v>
      </c>
      <c r="G1904" s="31">
        <f>SUMIFS(G1905:G3130,K1905:K3130,"0",B1905:B3130,"5 1 1 3 4 12 31111 6 M78 08000 134 00C 001 13406 015 2111100 2024 00000000 001 001*")</f>
        <v>0</v>
      </c>
      <c r="H1904" s="31">
        <f t="shared" si="30"/>
        <v>9337.0400000000009</v>
      </c>
      <c r="I1904" s="31"/>
      <c r="K1904" t="s">
        <v>13</v>
      </c>
    </row>
    <row r="1905" spans="2:11" ht="22" x14ac:dyDescent="0.15">
      <c r="B1905" s="27" t="s">
        <v>2544</v>
      </c>
      <c r="C1905" s="27" t="s">
        <v>2426</v>
      </c>
      <c r="D1905" s="30">
        <v>0</v>
      </c>
      <c r="E1905" s="30"/>
      <c r="F1905" s="30">
        <v>9337.0400000000009</v>
      </c>
      <c r="G1905" s="30">
        <v>0</v>
      </c>
      <c r="H1905" s="30">
        <f t="shared" si="30"/>
        <v>9337.0400000000009</v>
      </c>
      <c r="I1905" s="30"/>
      <c r="K1905" t="s">
        <v>37</v>
      </c>
    </row>
    <row r="1906" spans="2:11" ht="13" x14ac:dyDescent="0.15">
      <c r="B1906" s="29" t="s">
        <v>2545</v>
      </c>
      <c r="C1906" s="29" t="s">
        <v>261</v>
      </c>
      <c r="D1906" s="31">
        <f>SUMIFS(D1907:D3130,K1907:K3130,"0",B1907:B3130,"5 1 1 3 4 12 31111 6 M78 09000*")-SUMIFS(E1907:E3130,K1907:K3130,"0",B1907:B3130,"5 1 1 3 4 12 31111 6 M78 09000*")</f>
        <v>0</v>
      </c>
      <c r="E1906"/>
      <c r="F1906" s="31">
        <f>SUMIFS(F1907:F3130,K1907:K3130,"0",B1907:B3130,"5 1 1 3 4 12 31111 6 M78 09000*")</f>
        <v>172290.78</v>
      </c>
      <c r="G1906" s="31">
        <f>SUMIFS(G1907:G3130,K1907:K3130,"0",B1907:B3130,"5 1 1 3 4 12 31111 6 M78 09000*")</f>
        <v>0</v>
      </c>
      <c r="H1906" s="31">
        <f t="shared" si="30"/>
        <v>172290.78</v>
      </c>
      <c r="I1906" s="31"/>
      <c r="K1906" t="s">
        <v>13</v>
      </c>
    </row>
    <row r="1907" spans="2:11" ht="13" x14ac:dyDescent="0.15">
      <c r="B1907" s="29" t="s">
        <v>2546</v>
      </c>
      <c r="C1907" s="29" t="s">
        <v>263</v>
      </c>
      <c r="D1907" s="31">
        <f>SUMIFS(D1908:D3130,K1908:K3130,"0",B1908:B3130,"5 1 1 3 4 12 31111 6 M78 09000 134*")-SUMIFS(E1908:E3130,K1908:K3130,"0",B1908:B3130,"5 1 1 3 4 12 31111 6 M78 09000 134*")</f>
        <v>0</v>
      </c>
      <c r="E1907"/>
      <c r="F1907" s="31">
        <f>SUMIFS(F1908:F3130,K1908:K3130,"0",B1908:B3130,"5 1 1 3 4 12 31111 6 M78 09000 134*")</f>
        <v>172290.78</v>
      </c>
      <c r="G1907" s="31">
        <f>SUMIFS(G1908:G3130,K1908:K3130,"0",B1908:B3130,"5 1 1 3 4 12 31111 6 M78 09000 134*")</f>
        <v>0</v>
      </c>
      <c r="H1907" s="31">
        <f t="shared" si="30"/>
        <v>172290.78</v>
      </c>
      <c r="I1907" s="31"/>
      <c r="K1907" t="s">
        <v>13</v>
      </c>
    </row>
    <row r="1908" spans="2:11" ht="13" x14ac:dyDescent="0.15">
      <c r="B1908" s="29" t="s">
        <v>2547</v>
      </c>
      <c r="C1908" s="29" t="s">
        <v>265</v>
      </c>
      <c r="D1908" s="31">
        <f>SUMIFS(D1909:D3130,K1909:K3130,"0",B1909:B3130,"5 1 1 3 4 12 31111 6 M78 09000 134 00C*")-SUMIFS(E1909:E3130,K1909:K3130,"0",B1909:B3130,"5 1 1 3 4 12 31111 6 M78 09000 134 00C*")</f>
        <v>0</v>
      </c>
      <c r="E1908"/>
      <c r="F1908" s="31">
        <f>SUMIFS(F1909:F3130,K1909:K3130,"0",B1909:B3130,"5 1 1 3 4 12 31111 6 M78 09000 134 00C*")</f>
        <v>172290.78</v>
      </c>
      <c r="G1908" s="31">
        <f>SUMIFS(G1909:G3130,K1909:K3130,"0",B1909:B3130,"5 1 1 3 4 12 31111 6 M78 09000 134 00C*")</f>
        <v>0</v>
      </c>
      <c r="H1908" s="31">
        <f t="shared" si="30"/>
        <v>172290.78</v>
      </c>
      <c r="I1908" s="31"/>
      <c r="K1908" t="s">
        <v>13</v>
      </c>
    </row>
    <row r="1909" spans="2:11" ht="13" x14ac:dyDescent="0.15">
      <c r="B1909" s="29" t="s">
        <v>2548</v>
      </c>
      <c r="C1909" s="29" t="s">
        <v>32</v>
      </c>
      <c r="D1909" s="31">
        <f>SUMIFS(D1910:D3130,K1910:K3130,"0",B1910:B3130,"5 1 1 3 4 12 31111 6 M78 09000 134 00C 001*")-SUMIFS(E1910:E3130,K1910:K3130,"0",B1910:B3130,"5 1 1 3 4 12 31111 6 M78 09000 134 00C 001*")</f>
        <v>0</v>
      </c>
      <c r="E1909"/>
      <c r="F1909" s="31">
        <f>SUMIFS(F1910:F3130,K1910:K3130,"0",B1910:B3130,"5 1 1 3 4 12 31111 6 M78 09000 134 00C 001*")</f>
        <v>172290.78</v>
      </c>
      <c r="G1909" s="31">
        <f>SUMIFS(G1910:G3130,K1910:K3130,"0",B1910:B3130,"5 1 1 3 4 12 31111 6 M78 09000 134 00C 001*")</f>
        <v>0</v>
      </c>
      <c r="H1909" s="31">
        <f t="shared" si="30"/>
        <v>172290.78</v>
      </c>
      <c r="I1909" s="31"/>
      <c r="K1909" t="s">
        <v>13</v>
      </c>
    </row>
    <row r="1910" spans="2:11" ht="13" x14ac:dyDescent="0.15">
      <c r="B1910" s="29" t="s">
        <v>2549</v>
      </c>
      <c r="C1910" s="29" t="s">
        <v>2408</v>
      </c>
      <c r="D1910" s="31">
        <f>SUMIFS(D1911:D3130,K1911:K3130,"0",B1911:B3130,"5 1 1 3 4 12 31111 6 M78 09000 134 00C 001 13403*")-SUMIFS(E1911:E3130,K1911:K3130,"0",B1911:B3130,"5 1 1 3 4 12 31111 6 M78 09000 134 00C 001 13403*")</f>
        <v>0</v>
      </c>
      <c r="E1910"/>
      <c r="F1910" s="31">
        <f>SUMIFS(F1911:F3130,K1911:K3130,"0",B1911:B3130,"5 1 1 3 4 12 31111 6 M78 09000 134 00C 001 13403*")</f>
        <v>87244.88</v>
      </c>
      <c r="G1910" s="31">
        <f>SUMIFS(G1911:G3130,K1911:K3130,"0",B1911:B3130,"5 1 1 3 4 12 31111 6 M78 09000 134 00C 001 13403*")</f>
        <v>0</v>
      </c>
      <c r="H1910" s="31">
        <f t="shared" si="30"/>
        <v>87244.88</v>
      </c>
      <c r="I1910" s="31"/>
      <c r="K1910" t="s">
        <v>13</v>
      </c>
    </row>
    <row r="1911" spans="2:11" ht="22" x14ac:dyDescent="0.15">
      <c r="B1911" s="29" t="s">
        <v>2550</v>
      </c>
      <c r="C1911" s="29" t="s">
        <v>271</v>
      </c>
      <c r="D1911" s="31">
        <f>SUMIFS(D1912:D3130,K1912:K3130,"0",B1912:B3130,"5 1 1 3 4 12 31111 6 M78 09000 134 00C 001 13403 015*")-SUMIFS(E1912:E3130,K1912:K3130,"0",B1912:B3130,"5 1 1 3 4 12 31111 6 M78 09000 134 00C 001 13403 015*")</f>
        <v>0</v>
      </c>
      <c r="E1911"/>
      <c r="F1911" s="31">
        <f>SUMIFS(F1912:F3130,K1912:K3130,"0",B1912:B3130,"5 1 1 3 4 12 31111 6 M78 09000 134 00C 001 13403 015*")</f>
        <v>87244.88</v>
      </c>
      <c r="G1911" s="31">
        <f>SUMIFS(G1912:G3130,K1912:K3130,"0",B1912:B3130,"5 1 1 3 4 12 31111 6 M78 09000 134 00C 001 13403 015*")</f>
        <v>0</v>
      </c>
      <c r="H1911" s="31">
        <f t="shared" si="30"/>
        <v>87244.88</v>
      </c>
      <c r="I1911" s="31"/>
      <c r="K1911" t="s">
        <v>13</v>
      </c>
    </row>
    <row r="1912" spans="2:11" ht="22" x14ac:dyDescent="0.15">
      <c r="B1912" s="29" t="s">
        <v>2551</v>
      </c>
      <c r="C1912" s="29" t="s">
        <v>1813</v>
      </c>
      <c r="D1912" s="31">
        <f>SUMIFS(D1913:D3130,K1913:K3130,"0",B1913:B3130,"5 1 1 3 4 12 31111 6 M78 09000 134 00C 001 13403 015 2111100*")-SUMIFS(E1913:E3130,K1913:K3130,"0",B1913:B3130,"5 1 1 3 4 12 31111 6 M78 09000 134 00C 001 13403 015 2111100*")</f>
        <v>0</v>
      </c>
      <c r="E1912"/>
      <c r="F1912" s="31">
        <f>SUMIFS(F1913:F3130,K1913:K3130,"0",B1913:B3130,"5 1 1 3 4 12 31111 6 M78 09000 134 00C 001 13403 015 2111100*")</f>
        <v>87244.88</v>
      </c>
      <c r="G1912" s="31">
        <f>SUMIFS(G1913:G3130,K1913:K3130,"0",B1913:B3130,"5 1 1 3 4 12 31111 6 M78 09000 134 00C 001 13403 015 2111100*")</f>
        <v>0</v>
      </c>
      <c r="H1912" s="31">
        <f t="shared" si="30"/>
        <v>87244.88</v>
      </c>
      <c r="I1912" s="31"/>
      <c r="K1912" t="s">
        <v>13</v>
      </c>
    </row>
    <row r="1913" spans="2:11" ht="22" x14ac:dyDescent="0.15">
      <c r="B1913" s="29" t="s">
        <v>2552</v>
      </c>
      <c r="C1913" s="29" t="s">
        <v>275</v>
      </c>
      <c r="D1913" s="31">
        <f>SUMIFS(D1914:D3130,K1914:K3130,"0",B1914:B3130,"5 1 1 3 4 12 31111 6 M78 09000 134 00C 001 13403 015 2111100 2024*")-SUMIFS(E1914:E3130,K1914:K3130,"0",B1914:B3130,"5 1 1 3 4 12 31111 6 M78 09000 134 00C 001 13403 015 2111100 2024*")</f>
        <v>0</v>
      </c>
      <c r="E1913"/>
      <c r="F1913" s="31">
        <f>SUMIFS(F1914:F3130,K1914:K3130,"0",B1914:B3130,"5 1 1 3 4 12 31111 6 M78 09000 134 00C 001 13403 015 2111100 2024*")</f>
        <v>87244.88</v>
      </c>
      <c r="G1913" s="31">
        <f>SUMIFS(G1914:G3130,K1914:K3130,"0",B1914:B3130,"5 1 1 3 4 12 31111 6 M78 09000 134 00C 001 13403 015 2111100 2024*")</f>
        <v>0</v>
      </c>
      <c r="H1913" s="31">
        <f t="shared" si="30"/>
        <v>87244.88</v>
      </c>
      <c r="I1913" s="31"/>
      <c r="K1913" t="s">
        <v>13</v>
      </c>
    </row>
    <row r="1914" spans="2:11" ht="22" x14ac:dyDescent="0.15">
      <c r="B1914" s="29" t="s">
        <v>2553</v>
      </c>
      <c r="C1914" s="29" t="s">
        <v>277</v>
      </c>
      <c r="D1914" s="31">
        <f>SUMIFS(D1915:D3130,K1915:K3130,"0",B1915:B3130,"5 1 1 3 4 12 31111 6 M78 09000 134 00C 001 13403 015 2111100 2024 00000000*")-SUMIFS(E1915:E3130,K1915:K3130,"0",B1915:B3130,"5 1 1 3 4 12 31111 6 M78 09000 134 00C 001 13403 015 2111100 2024 00000000*")</f>
        <v>0</v>
      </c>
      <c r="E1914"/>
      <c r="F1914" s="31">
        <f>SUMIFS(F1915:F3130,K1915:K3130,"0",B1915:B3130,"5 1 1 3 4 12 31111 6 M78 09000 134 00C 001 13403 015 2111100 2024 00000000*")</f>
        <v>87244.88</v>
      </c>
      <c r="G1914" s="31">
        <f>SUMIFS(G1915:G3130,K1915:K3130,"0",B1915:B3130,"5 1 1 3 4 12 31111 6 M78 09000 134 00C 001 13403 015 2111100 2024 00000000*")</f>
        <v>0</v>
      </c>
      <c r="H1914" s="31">
        <f t="shared" si="30"/>
        <v>87244.88</v>
      </c>
      <c r="I1914" s="31"/>
      <c r="K1914" t="s">
        <v>13</v>
      </c>
    </row>
    <row r="1915" spans="2:11" ht="22" x14ac:dyDescent="0.15">
      <c r="B1915" s="29" t="s">
        <v>2554</v>
      </c>
      <c r="C1915" s="29" t="s">
        <v>32</v>
      </c>
      <c r="D1915" s="31">
        <f>SUMIFS(D1916:D3130,K1916:K3130,"0",B1916:B3130,"5 1 1 3 4 12 31111 6 M78 09000 134 00C 001 13403 015 2111100 2024 00000000 001*")-SUMIFS(E1916:E3130,K1916:K3130,"0",B1916:B3130,"5 1 1 3 4 12 31111 6 M78 09000 134 00C 001 13403 015 2111100 2024 00000000 001*")</f>
        <v>0</v>
      </c>
      <c r="E1915"/>
      <c r="F1915" s="31">
        <f>SUMIFS(F1916:F3130,K1916:K3130,"0",B1916:B3130,"5 1 1 3 4 12 31111 6 M78 09000 134 00C 001 13403 015 2111100 2024 00000000 001*")</f>
        <v>87244.88</v>
      </c>
      <c r="G1915" s="31">
        <f>SUMIFS(G1916:G3130,K1916:K3130,"0",B1916:B3130,"5 1 1 3 4 12 31111 6 M78 09000 134 00C 001 13403 015 2111100 2024 00000000 001*")</f>
        <v>0</v>
      </c>
      <c r="H1915" s="31">
        <f t="shared" si="30"/>
        <v>87244.88</v>
      </c>
      <c r="I1915" s="31"/>
      <c r="K1915" t="s">
        <v>13</v>
      </c>
    </row>
    <row r="1916" spans="2:11" ht="22" x14ac:dyDescent="0.15">
      <c r="B1916" s="29" t="s">
        <v>2555</v>
      </c>
      <c r="C1916" s="29" t="s">
        <v>1940</v>
      </c>
      <c r="D1916" s="31">
        <f>SUMIFS(D1917:D3130,K1917:K3130,"0",B1917:B3130,"5 1 1 3 4 12 31111 6 M78 09000 134 00C 001 13403 015 2111100 2024 00000000 001 001*")-SUMIFS(E1917:E3130,K1917:K3130,"0",B1917:B3130,"5 1 1 3 4 12 31111 6 M78 09000 134 00C 001 13403 015 2111100 2024 00000000 001 001*")</f>
        <v>0</v>
      </c>
      <c r="E1916"/>
      <c r="F1916" s="31">
        <f>SUMIFS(F1917:F3130,K1917:K3130,"0",B1917:B3130,"5 1 1 3 4 12 31111 6 M78 09000 134 00C 001 13403 015 2111100 2024 00000000 001 001*")</f>
        <v>87244.88</v>
      </c>
      <c r="G1916" s="31">
        <f>SUMIFS(G1917:G3130,K1917:K3130,"0",B1917:B3130,"5 1 1 3 4 12 31111 6 M78 09000 134 00C 001 13403 015 2111100 2024 00000000 001 001*")</f>
        <v>0</v>
      </c>
      <c r="H1916" s="31">
        <f t="shared" si="30"/>
        <v>87244.88</v>
      </c>
      <c r="I1916" s="31"/>
      <c r="K1916" t="s">
        <v>13</v>
      </c>
    </row>
    <row r="1917" spans="2:11" ht="22" x14ac:dyDescent="0.15">
      <c r="B1917" s="27" t="s">
        <v>2556</v>
      </c>
      <c r="C1917" s="27" t="s">
        <v>2408</v>
      </c>
      <c r="D1917" s="30">
        <v>0</v>
      </c>
      <c r="E1917" s="30"/>
      <c r="F1917" s="30">
        <v>87244.88</v>
      </c>
      <c r="G1917" s="30">
        <v>0</v>
      </c>
      <c r="H1917" s="30">
        <f t="shared" si="30"/>
        <v>87244.88</v>
      </c>
      <c r="I1917" s="30"/>
      <c r="K1917" t="s">
        <v>37</v>
      </c>
    </row>
    <row r="1918" spans="2:11" ht="13" x14ac:dyDescent="0.15">
      <c r="B1918" s="29" t="s">
        <v>2557</v>
      </c>
      <c r="C1918" s="29" t="s">
        <v>2418</v>
      </c>
      <c r="D1918" s="31">
        <f>SUMIFS(D1919:D3130,K1919:K3130,"0",B1919:B3130,"5 1 1 3 4 12 31111 6 M78 09000 134 00C 001 13406*")-SUMIFS(E1919:E3130,K1919:K3130,"0",B1919:B3130,"5 1 1 3 4 12 31111 6 M78 09000 134 00C 001 13406*")</f>
        <v>0</v>
      </c>
      <c r="E1918"/>
      <c r="F1918" s="31">
        <f>SUMIFS(F1919:F3130,K1919:K3130,"0",B1919:B3130,"5 1 1 3 4 12 31111 6 M78 09000 134 00C 001 13406*")</f>
        <v>85045.9</v>
      </c>
      <c r="G1918" s="31">
        <f>SUMIFS(G1919:G3130,K1919:K3130,"0",B1919:B3130,"5 1 1 3 4 12 31111 6 M78 09000 134 00C 001 13406*")</f>
        <v>0</v>
      </c>
      <c r="H1918" s="31">
        <f t="shared" si="30"/>
        <v>85045.9</v>
      </c>
      <c r="I1918" s="31"/>
      <c r="K1918" t="s">
        <v>13</v>
      </c>
    </row>
    <row r="1919" spans="2:11" ht="22" x14ac:dyDescent="0.15">
      <c r="B1919" s="29" t="s">
        <v>2558</v>
      </c>
      <c r="C1919" s="29" t="s">
        <v>271</v>
      </c>
      <c r="D1919" s="31">
        <f>SUMIFS(D1920:D3130,K1920:K3130,"0",B1920:B3130,"5 1 1 3 4 12 31111 6 M78 09000 134 00C 001 13406 015*")-SUMIFS(E1920:E3130,K1920:K3130,"0",B1920:B3130,"5 1 1 3 4 12 31111 6 M78 09000 134 00C 001 13406 015*")</f>
        <v>0</v>
      </c>
      <c r="E1919"/>
      <c r="F1919" s="31">
        <f>SUMIFS(F1920:F3130,K1920:K3130,"0",B1920:B3130,"5 1 1 3 4 12 31111 6 M78 09000 134 00C 001 13406 015*")</f>
        <v>85045.9</v>
      </c>
      <c r="G1919" s="31">
        <f>SUMIFS(G1920:G3130,K1920:K3130,"0",B1920:B3130,"5 1 1 3 4 12 31111 6 M78 09000 134 00C 001 13406 015*")</f>
        <v>0</v>
      </c>
      <c r="H1919" s="31">
        <f t="shared" si="30"/>
        <v>85045.9</v>
      </c>
      <c r="I1919" s="31"/>
      <c r="K1919" t="s">
        <v>13</v>
      </c>
    </row>
    <row r="1920" spans="2:11" ht="22" x14ac:dyDescent="0.15">
      <c r="B1920" s="29" t="s">
        <v>2559</v>
      </c>
      <c r="C1920" s="29" t="s">
        <v>1813</v>
      </c>
      <c r="D1920" s="31">
        <f>SUMIFS(D1921:D3130,K1921:K3130,"0",B1921:B3130,"5 1 1 3 4 12 31111 6 M78 09000 134 00C 001 13406 015 2111100*")-SUMIFS(E1921:E3130,K1921:K3130,"0",B1921:B3130,"5 1 1 3 4 12 31111 6 M78 09000 134 00C 001 13406 015 2111100*")</f>
        <v>0</v>
      </c>
      <c r="E1920"/>
      <c r="F1920" s="31">
        <f>SUMIFS(F1921:F3130,K1921:K3130,"0",B1921:B3130,"5 1 1 3 4 12 31111 6 M78 09000 134 00C 001 13406 015 2111100*")</f>
        <v>85045.9</v>
      </c>
      <c r="G1920" s="31">
        <f>SUMIFS(G1921:G3130,K1921:K3130,"0",B1921:B3130,"5 1 1 3 4 12 31111 6 M78 09000 134 00C 001 13406 015 2111100*")</f>
        <v>0</v>
      </c>
      <c r="H1920" s="31">
        <f t="shared" si="30"/>
        <v>85045.9</v>
      </c>
      <c r="I1920" s="31"/>
      <c r="K1920" t="s">
        <v>13</v>
      </c>
    </row>
    <row r="1921" spans="2:11" ht="22" x14ac:dyDescent="0.15">
      <c r="B1921" s="29" t="s">
        <v>2560</v>
      </c>
      <c r="C1921" s="29" t="s">
        <v>275</v>
      </c>
      <c r="D1921" s="31">
        <f>SUMIFS(D1922:D3130,K1922:K3130,"0",B1922:B3130,"5 1 1 3 4 12 31111 6 M78 09000 134 00C 001 13406 015 2111100 2024*")-SUMIFS(E1922:E3130,K1922:K3130,"0",B1922:B3130,"5 1 1 3 4 12 31111 6 M78 09000 134 00C 001 13406 015 2111100 2024*")</f>
        <v>0</v>
      </c>
      <c r="E1921"/>
      <c r="F1921" s="31">
        <f>SUMIFS(F1922:F3130,K1922:K3130,"0",B1922:B3130,"5 1 1 3 4 12 31111 6 M78 09000 134 00C 001 13406 015 2111100 2024*")</f>
        <v>85045.9</v>
      </c>
      <c r="G1921" s="31">
        <f>SUMIFS(G1922:G3130,K1922:K3130,"0",B1922:B3130,"5 1 1 3 4 12 31111 6 M78 09000 134 00C 001 13406 015 2111100 2024*")</f>
        <v>0</v>
      </c>
      <c r="H1921" s="31">
        <f t="shared" si="30"/>
        <v>85045.9</v>
      </c>
      <c r="I1921" s="31"/>
      <c r="K1921" t="s">
        <v>13</v>
      </c>
    </row>
    <row r="1922" spans="2:11" ht="22" x14ac:dyDescent="0.15">
      <c r="B1922" s="29" t="s">
        <v>2561</v>
      </c>
      <c r="C1922" s="29" t="s">
        <v>277</v>
      </c>
      <c r="D1922" s="31">
        <f>SUMIFS(D1923:D3130,K1923:K3130,"0",B1923:B3130,"5 1 1 3 4 12 31111 6 M78 09000 134 00C 001 13406 015 2111100 2024 00000000*")-SUMIFS(E1923:E3130,K1923:K3130,"0",B1923:B3130,"5 1 1 3 4 12 31111 6 M78 09000 134 00C 001 13406 015 2111100 2024 00000000*")</f>
        <v>0</v>
      </c>
      <c r="E1922"/>
      <c r="F1922" s="31">
        <f>SUMIFS(F1923:F3130,K1923:K3130,"0",B1923:B3130,"5 1 1 3 4 12 31111 6 M78 09000 134 00C 001 13406 015 2111100 2024 00000000*")</f>
        <v>85045.9</v>
      </c>
      <c r="G1922" s="31">
        <f>SUMIFS(G1923:G3130,K1923:K3130,"0",B1923:B3130,"5 1 1 3 4 12 31111 6 M78 09000 134 00C 001 13406 015 2111100 2024 00000000*")</f>
        <v>0</v>
      </c>
      <c r="H1922" s="31">
        <f t="shared" si="30"/>
        <v>85045.9</v>
      </c>
      <c r="I1922" s="31"/>
      <c r="K1922" t="s">
        <v>13</v>
      </c>
    </row>
    <row r="1923" spans="2:11" ht="22" x14ac:dyDescent="0.15">
      <c r="B1923" s="29" t="s">
        <v>2562</v>
      </c>
      <c r="C1923" s="29" t="s">
        <v>32</v>
      </c>
      <c r="D1923" s="31">
        <f>SUMIFS(D1924:D3130,K1924:K3130,"0",B1924:B3130,"5 1 1 3 4 12 31111 6 M78 09000 134 00C 001 13406 015 2111100 2024 00000000 001*")-SUMIFS(E1924:E3130,K1924:K3130,"0",B1924:B3130,"5 1 1 3 4 12 31111 6 M78 09000 134 00C 001 13406 015 2111100 2024 00000000 001*")</f>
        <v>0</v>
      </c>
      <c r="E1923"/>
      <c r="F1923" s="31">
        <f>SUMIFS(F1924:F3130,K1924:K3130,"0",B1924:B3130,"5 1 1 3 4 12 31111 6 M78 09000 134 00C 001 13406 015 2111100 2024 00000000 001*")</f>
        <v>85045.9</v>
      </c>
      <c r="G1923" s="31">
        <f>SUMIFS(G1924:G3130,K1924:K3130,"0",B1924:B3130,"5 1 1 3 4 12 31111 6 M78 09000 134 00C 001 13406 015 2111100 2024 00000000 001*")</f>
        <v>0</v>
      </c>
      <c r="H1923" s="31">
        <f t="shared" si="30"/>
        <v>85045.9</v>
      </c>
      <c r="I1923" s="31"/>
      <c r="K1923" t="s">
        <v>13</v>
      </c>
    </row>
    <row r="1924" spans="2:11" ht="22" x14ac:dyDescent="0.15">
      <c r="B1924" s="29" t="s">
        <v>2563</v>
      </c>
      <c r="C1924" s="29" t="s">
        <v>1940</v>
      </c>
      <c r="D1924" s="31">
        <f>SUMIFS(D1925:D3130,K1925:K3130,"0",B1925:B3130,"5 1 1 3 4 12 31111 6 M78 09000 134 00C 001 13406 015 2111100 2024 00000000 001 001*")-SUMIFS(E1925:E3130,K1925:K3130,"0",B1925:B3130,"5 1 1 3 4 12 31111 6 M78 09000 134 00C 001 13406 015 2111100 2024 00000000 001 001*")</f>
        <v>0</v>
      </c>
      <c r="E1924"/>
      <c r="F1924" s="31">
        <f>SUMIFS(F1925:F3130,K1925:K3130,"0",B1925:B3130,"5 1 1 3 4 12 31111 6 M78 09000 134 00C 001 13406 015 2111100 2024 00000000 001 001*")</f>
        <v>85045.9</v>
      </c>
      <c r="G1924" s="31">
        <f>SUMIFS(G1925:G3130,K1925:K3130,"0",B1925:B3130,"5 1 1 3 4 12 31111 6 M78 09000 134 00C 001 13406 015 2111100 2024 00000000 001 001*")</f>
        <v>0</v>
      </c>
      <c r="H1924" s="31">
        <f t="shared" si="30"/>
        <v>85045.9</v>
      </c>
      <c r="I1924" s="31"/>
      <c r="K1924" t="s">
        <v>13</v>
      </c>
    </row>
    <row r="1925" spans="2:11" ht="22" x14ac:dyDescent="0.15">
      <c r="B1925" s="27" t="s">
        <v>2564</v>
      </c>
      <c r="C1925" s="27" t="s">
        <v>2418</v>
      </c>
      <c r="D1925" s="30">
        <v>0</v>
      </c>
      <c r="E1925" s="30"/>
      <c r="F1925" s="30">
        <v>85045.9</v>
      </c>
      <c r="G1925" s="30">
        <v>0</v>
      </c>
      <c r="H1925" s="30">
        <f t="shared" si="30"/>
        <v>85045.9</v>
      </c>
      <c r="I1925" s="30"/>
      <c r="K1925" t="s">
        <v>37</v>
      </c>
    </row>
    <row r="1926" spans="2:11" ht="13" x14ac:dyDescent="0.15">
      <c r="B1926" s="29" t="s">
        <v>2565</v>
      </c>
      <c r="C1926" s="29" t="s">
        <v>1943</v>
      </c>
      <c r="D1926" s="31">
        <f>SUMIFS(D1927:D3130,K1927:K3130,"0",B1927:B3130,"5 1 1 3 4 12 31111 6 M78 11000*")-SUMIFS(E1927:E3130,K1927:K3130,"0",B1927:B3130,"5 1 1 3 4 12 31111 6 M78 11000*")</f>
        <v>0</v>
      </c>
      <c r="E1926"/>
      <c r="F1926" s="31">
        <f>SUMIFS(F1927:F3130,K1927:K3130,"0",B1927:B3130,"5 1 1 3 4 12 31111 6 M78 11000*")</f>
        <v>174208.37</v>
      </c>
      <c r="G1926" s="31">
        <f>SUMIFS(G1927:G3130,K1927:K3130,"0",B1927:B3130,"5 1 1 3 4 12 31111 6 M78 11000*")</f>
        <v>0</v>
      </c>
      <c r="H1926" s="31">
        <f t="shared" si="30"/>
        <v>174208.37</v>
      </c>
      <c r="I1926" s="31"/>
      <c r="K1926" t="s">
        <v>13</v>
      </c>
    </row>
    <row r="1927" spans="2:11" ht="13" x14ac:dyDescent="0.15">
      <c r="B1927" s="29" t="s">
        <v>2566</v>
      </c>
      <c r="C1927" s="29" t="s">
        <v>1945</v>
      </c>
      <c r="D1927" s="31">
        <f>SUMIFS(D1928:D3130,K1928:K3130,"0",B1928:B3130,"5 1 1 3 4 12 31111 6 M78 11000 263*")-SUMIFS(E1928:E3130,K1928:K3130,"0",B1928:B3130,"5 1 1 3 4 12 31111 6 M78 11000 263*")</f>
        <v>0</v>
      </c>
      <c r="E1927"/>
      <c r="F1927" s="31">
        <f>SUMIFS(F1928:F3130,K1928:K3130,"0",B1928:B3130,"5 1 1 3 4 12 31111 6 M78 11000 263*")</f>
        <v>174208.37</v>
      </c>
      <c r="G1927" s="31">
        <f>SUMIFS(G1928:G3130,K1928:K3130,"0",B1928:B3130,"5 1 1 3 4 12 31111 6 M78 11000 263*")</f>
        <v>0</v>
      </c>
      <c r="H1927" s="31">
        <f t="shared" si="30"/>
        <v>174208.37</v>
      </c>
      <c r="I1927" s="31"/>
      <c r="K1927" t="s">
        <v>13</v>
      </c>
    </row>
    <row r="1928" spans="2:11" ht="13" x14ac:dyDescent="0.15">
      <c r="B1928" s="29" t="s">
        <v>2567</v>
      </c>
      <c r="C1928" s="29" t="s">
        <v>265</v>
      </c>
      <c r="D1928" s="31">
        <f>SUMIFS(D1929:D3130,K1929:K3130,"0",B1929:B3130,"5 1 1 3 4 12 31111 6 M78 11000 263 00C*")-SUMIFS(E1929:E3130,K1929:K3130,"0",B1929:B3130,"5 1 1 3 4 12 31111 6 M78 11000 263 00C*")</f>
        <v>0</v>
      </c>
      <c r="E1928"/>
      <c r="F1928" s="31">
        <f>SUMIFS(F1929:F3130,K1929:K3130,"0",B1929:B3130,"5 1 1 3 4 12 31111 6 M78 11000 263 00C*")</f>
        <v>174208.37</v>
      </c>
      <c r="G1928" s="31">
        <f>SUMIFS(G1929:G3130,K1929:K3130,"0",B1929:B3130,"5 1 1 3 4 12 31111 6 M78 11000 263 00C*")</f>
        <v>0</v>
      </c>
      <c r="H1928" s="31">
        <f t="shared" si="30"/>
        <v>174208.37</v>
      </c>
      <c r="I1928" s="31"/>
      <c r="K1928" t="s">
        <v>13</v>
      </c>
    </row>
    <row r="1929" spans="2:11" ht="13" x14ac:dyDescent="0.15">
      <c r="B1929" s="29" t="s">
        <v>2568</v>
      </c>
      <c r="C1929" s="29" t="s">
        <v>32</v>
      </c>
      <c r="D1929" s="31">
        <f>SUMIFS(D1930:D3130,K1930:K3130,"0",B1930:B3130,"5 1 1 3 4 12 31111 6 M78 11000 263 00C 001*")-SUMIFS(E1930:E3130,K1930:K3130,"0",B1930:B3130,"5 1 1 3 4 12 31111 6 M78 11000 263 00C 001*")</f>
        <v>0</v>
      </c>
      <c r="E1929"/>
      <c r="F1929" s="31">
        <f>SUMIFS(F1930:F3130,K1930:K3130,"0",B1930:B3130,"5 1 1 3 4 12 31111 6 M78 11000 263 00C 001*")</f>
        <v>174208.37</v>
      </c>
      <c r="G1929" s="31">
        <f>SUMIFS(G1930:G3130,K1930:K3130,"0",B1930:B3130,"5 1 1 3 4 12 31111 6 M78 11000 263 00C 001*")</f>
        <v>0</v>
      </c>
      <c r="H1929" s="31">
        <f t="shared" si="30"/>
        <v>174208.37</v>
      </c>
      <c r="I1929" s="31"/>
      <c r="K1929" t="s">
        <v>13</v>
      </c>
    </row>
    <row r="1930" spans="2:11" ht="13" x14ac:dyDescent="0.15">
      <c r="B1930" s="29" t="s">
        <v>2569</v>
      </c>
      <c r="C1930" s="29" t="s">
        <v>2570</v>
      </c>
      <c r="D1930" s="31">
        <f>SUMIFS(D1931:D3130,K1931:K3130,"0",B1931:B3130,"5 1 1 3 4 12 31111 6 M78 11000 263 00C 001 13403*")-SUMIFS(E1931:E3130,K1931:K3130,"0",B1931:B3130,"5 1 1 3 4 12 31111 6 M78 11000 263 00C 001 13403*")</f>
        <v>0</v>
      </c>
      <c r="E1930"/>
      <c r="F1930" s="31">
        <f>SUMIFS(F1931:F3130,K1931:K3130,"0",B1931:B3130,"5 1 1 3 4 12 31111 6 M78 11000 263 00C 001 13403*")</f>
        <v>155827.13</v>
      </c>
      <c r="G1930" s="31">
        <f>SUMIFS(G1931:G3130,K1931:K3130,"0",B1931:B3130,"5 1 1 3 4 12 31111 6 M78 11000 263 00C 001 13403*")</f>
        <v>0</v>
      </c>
      <c r="H1930" s="31">
        <f t="shared" si="30"/>
        <v>155827.13</v>
      </c>
      <c r="I1930" s="31"/>
      <c r="K1930" t="s">
        <v>13</v>
      </c>
    </row>
    <row r="1931" spans="2:11" ht="22" x14ac:dyDescent="0.15">
      <c r="B1931" s="29" t="s">
        <v>2571</v>
      </c>
      <c r="C1931" s="29" t="s">
        <v>2572</v>
      </c>
      <c r="D1931" s="31">
        <f>SUMIFS(D1932:D3130,K1932:K3130,"0",B1932:B3130,"5 1 1 3 4 12 31111 6 M78 11000 263 00C 001 13403 015*")-SUMIFS(E1932:E3130,K1932:K3130,"0",B1932:B3130,"5 1 1 3 4 12 31111 6 M78 11000 263 00C 001 13403 015*")</f>
        <v>0</v>
      </c>
      <c r="E1931"/>
      <c r="F1931" s="31">
        <f>SUMIFS(F1932:F3130,K1932:K3130,"0",B1932:B3130,"5 1 1 3 4 12 31111 6 M78 11000 263 00C 001 13403 015*")</f>
        <v>155827.13</v>
      </c>
      <c r="G1931" s="31">
        <f>SUMIFS(G1932:G3130,K1932:K3130,"0",B1932:B3130,"5 1 1 3 4 12 31111 6 M78 11000 263 00C 001 13403 015*")</f>
        <v>0</v>
      </c>
      <c r="H1931" s="31">
        <f t="shared" ref="H1931:H1994" si="31">D1931 + F1931 - G1931</f>
        <v>155827.13</v>
      </c>
      <c r="I1931" s="31"/>
      <c r="K1931" t="s">
        <v>13</v>
      </c>
    </row>
    <row r="1932" spans="2:11" ht="22" x14ac:dyDescent="0.15">
      <c r="B1932" s="29" t="s">
        <v>2573</v>
      </c>
      <c r="C1932" s="29" t="s">
        <v>1813</v>
      </c>
      <c r="D1932" s="31">
        <f>SUMIFS(D1933:D3130,K1933:K3130,"0",B1933:B3130,"5 1 1 3 4 12 31111 6 M78 11000 263 00C 001 13403 015 2111100*")-SUMIFS(E1933:E3130,K1933:K3130,"0",B1933:B3130,"5 1 1 3 4 12 31111 6 M78 11000 263 00C 001 13403 015 2111100*")</f>
        <v>0</v>
      </c>
      <c r="E1932"/>
      <c r="F1932" s="31">
        <f>SUMIFS(F1933:F3130,K1933:K3130,"0",B1933:B3130,"5 1 1 3 4 12 31111 6 M78 11000 263 00C 001 13403 015 2111100*")</f>
        <v>155827.13</v>
      </c>
      <c r="G1932" s="31">
        <f>SUMIFS(G1933:G3130,K1933:K3130,"0",B1933:B3130,"5 1 1 3 4 12 31111 6 M78 11000 263 00C 001 13403 015 2111100*")</f>
        <v>0</v>
      </c>
      <c r="H1932" s="31">
        <f t="shared" si="31"/>
        <v>155827.13</v>
      </c>
      <c r="I1932" s="31"/>
      <c r="K1932" t="s">
        <v>13</v>
      </c>
    </row>
    <row r="1933" spans="2:11" ht="22" x14ac:dyDescent="0.15">
      <c r="B1933" s="29" t="s">
        <v>2574</v>
      </c>
      <c r="C1933" s="29" t="s">
        <v>275</v>
      </c>
      <c r="D1933" s="31">
        <f>SUMIFS(D1934:D3130,K1934:K3130,"0",B1934:B3130,"5 1 1 3 4 12 31111 6 M78 11000 263 00C 001 13403 015 2111100 2024*")-SUMIFS(E1934:E3130,K1934:K3130,"0",B1934:B3130,"5 1 1 3 4 12 31111 6 M78 11000 263 00C 001 13403 015 2111100 2024*")</f>
        <v>0</v>
      </c>
      <c r="E1933"/>
      <c r="F1933" s="31">
        <f>SUMIFS(F1934:F3130,K1934:K3130,"0",B1934:B3130,"5 1 1 3 4 12 31111 6 M78 11000 263 00C 001 13403 015 2111100 2024*")</f>
        <v>155827.13</v>
      </c>
      <c r="G1933" s="31">
        <f>SUMIFS(G1934:G3130,K1934:K3130,"0",B1934:B3130,"5 1 1 3 4 12 31111 6 M78 11000 263 00C 001 13403 015 2111100 2024*")</f>
        <v>0</v>
      </c>
      <c r="H1933" s="31">
        <f t="shared" si="31"/>
        <v>155827.13</v>
      </c>
      <c r="I1933" s="31"/>
      <c r="K1933" t="s">
        <v>13</v>
      </c>
    </row>
    <row r="1934" spans="2:11" ht="22" x14ac:dyDescent="0.15">
      <c r="B1934" s="29" t="s">
        <v>2575</v>
      </c>
      <c r="C1934" s="29" t="s">
        <v>277</v>
      </c>
      <c r="D1934" s="31">
        <f>SUMIFS(D1935:D3130,K1935:K3130,"0",B1935:B3130,"5 1 1 3 4 12 31111 6 M78 11000 263 00C 001 13403 015 2111100 2024 00000000*")-SUMIFS(E1935:E3130,K1935:K3130,"0",B1935:B3130,"5 1 1 3 4 12 31111 6 M78 11000 263 00C 001 13403 015 2111100 2024 00000000*")</f>
        <v>0</v>
      </c>
      <c r="E1934"/>
      <c r="F1934" s="31">
        <f>SUMIFS(F1935:F3130,K1935:K3130,"0",B1935:B3130,"5 1 1 3 4 12 31111 6 M78 11000 263 00C 001 13403 015 2111100 2024 00000000*")</f>
        <v>155827.13</v>
      </c>
      <c r="G1934" s="31">
        <f>SUMIFS(G1935:G3130,K1935:K3130,"0",B1935:B3130,"5 1 1 3 4 12 31111 6 M78 11000 263 00C 001 13403 015 2111100 2024 00000000*")</f>
        <v>0</v>
      </c>
      <c r="H1934" s="31">
        <f t="shared" si="31"/>
        <v>155827.13</v>
      </c>
      <c r="I1934" s="31"/>
      <c r="K1934" t="s">
        <v>13</v>
      </c>
    </row>
    <row r="1935" spans="2:11" ht="22" x14ac:dyDescent="0.15">
      <c r="B1935" s="29" t="s">
        <v>2576</v>
      </c>
      <c r="C1935" s="29" t="s">
        <v>32</v>
      </c>
      <c r="D1935" s="31">
        <f>SUMIFS(D1936:D3130,K1936:K3130,"0",B1936:B3130,"5 1 1 3 4 12 31111 6 M78 11000 263 00C 001 13403 015 2111100 2024 00000000 001*")-SUMIFS(E1936:E3130,K1936:K3130,"0",B1936:B3130,"5 1 1 3 4 12 31111 6 M78 11000 263 00C 001 13403 015 2111100 2024 00000000 001*")</f>
        <v>0</v>
      </c>
      <c r="E1935"/>
      <c r="F1935" s="31">
        <f>SUMIFS(F1936:F3130,K1936:K3130,"0",B1936:B3130,"5 1 1 3 4 12 31111 6 M78 11000 263 00C 001 13403 015 2111100 2024 00000000 001*")</f>
        <v>155827.13</v>
      </c>
      <c r="G1935" s="31">
        <f>SUMIFS(G1936:G3130,K1936:K3130,"0",B1936:B3130,"5 1 1 3 4 12 31111 6 M78 11000 263 00C 001 13403 015 2111100 2024 00000000 001*")</f>
        <v>0</v>
      </c>
      <c r="H1935" s="31">
        <f t="shared" si="31"/>
        <v>155827.13</v>
      </c>
      <c r="I1935" s="31"/>
      <c r="K1935" t="s">
        <v>13</v>
      </c>
    </row>
    <row r="1936" spans="2:11" ht="22" x14ac:dyDescent="0.15">
      <c r="B1936" s="29" t="s">
        <v>2577</v>
      </c>
      <c r="C1936" s="29" t="s">
        <v>2578</v>
      </c>
      <c r="D1936" s="31">
        <f>SUMIFS(D1937:D3130,K1937:K3130,"0",B1937:B3130,"5 1 1 3 4 12 31111 6 M78 11000 263 00C 001 13403 015 2111100 2024 00000000 001 001*")-SUMIFS(E1937:E3130,K1937:K3130,"0",B1937:B3130,"5 1 1 3 4 12 31111 6 M78 11000 263 00C 001 13403 015 2111100 2024 00000000 001 001*")</f>
        <v>0</v>
      </c>
      <c r="E1936"/>
      <c r="F1936" s="31">
        <f>SUMIFS(F1937:F3130,K1937:K3130,"0",B1937:B3130,"5 1 1 3 4 12 31111 6 M78 11000 263 00C 001 13403 015 2111100 2024 00000000 001 001*")</f>
        <v>155827.13</v>
      </c>
      <c r="G1936" s="31">
        <f>SUMIFS(G1937:G3130,K1937:K3130,"0",B1937:B3130,"5 1 1 3 4 12 31111 6 M78 11000 263 00C 001 13403 015 2111100 2024 00000000 001 001*")</f>
        <v>0</v>
      </c>
      <c r="H1936" s="31">
        <f t="shared" si="31"/>
        <v>155827.13</v>
      </c>
      <c r="I1936" s="31"/>
      <c r="K1936" t="s">
        <v>13</v>
      </c>
    </row>
    <row r="1937" spans="2:11" ht="22" x14ac:dyDescent="0.15">
      <c r="B1937" s="27" t="s">
        <v>2579</v>
      </c>
      <c r="C1937" s="27" t="s">
        <v>2570</v>
      </c>
      <c r="D1937" s="30">
        <v>0</v>
      </c>
      <c r="E1937" s="30"/>
      <c r="F1937" s="30">
        <v>155827.13</v>
      </c>
      <c r="G1937" s="30">
        <v>0</v>
      </c>
      <c r="H1937" s="30">
        <f t="shared" si="31"/>
        <v>155827.13</v>
      </c>
      <c r="I1937" s="30"/>
      <c r="K1937" t="s">
        <v>37</v>
      </c>
    </row>
    <row r="1938" spans="2:11" ht="13" x14ac:dyDescent="0.15">
      <c r="B1938" s="29" t="s">
        <v>2580</v>
      </c>
      <c r="C1938" s="29" t="s">
        <v>2418</v>
      </c>
      <c r="D1938" s="31">
        <f>SUMIFS(D1939:D3130,K1939:K3130,"0",B1939:B3130,"5 1 1 3 4 12 31111 6 M78 11000 263 00C 001 13406*")-SUMIFS(E1939:E3130,K1939:K3130,"0",B1939:B3130,"5 1 1 3 4 12 31111 6 M78 11000 263 00C 001 13406*")</f>
        <v>0</v>
      </c>
      <c r="E1938"/>
      <c r="F1938" s="31">
        <f>SUMIFS(F1939:F3130,K1939:K3130,"0",B1939:B3130,"5 1 1 3 4 12 31111 6 M78 11000 263 00C 001 13406*")</f>
        <v>18381.240000000002</v>
      </c>
      <c r="G1938" s="31">
        <f>SUMIFS(G1939:G3130,K1939:K3130,"0",B1939:B3130,"5 1 1 3 4 12 31111 6 M78 11000 263 00C 001 13406*")</f>
        <v>0</v>
      </c>
      <c r="H1938" s="31">
        <f t="shared" si="31"/>
        <v>18381.240000000002</v>
      </c>
      <c r="I1938" s="31"/>
      <c r="K1938" t="s">
        <v>13</v>
      </c>
    </row>
    <row r="1939" spans="2:11" ht="22" x14ac:dyDescent="0.15">
      <c r="B1939" s="29" t="s">
        <v>2581</v>
      </c>
      <c r="C1939" s="29" t="s">
        <v>271</v>
      </c>
      <c r="D1939" s="31">
        <f>SUMIFS(D1940:D3130,K1940:K3130,"0",B1940:B3130,"5 1 1 3 4 12 31111 6 M78 11000 263 00C 001 13406 015*")-SUMIFS(E1940:E3130,K1940:K3130,"0",B1940:B3130,"5 1 1 3 4 12 31111 6 M78 11000 263 00C 001 13406 015*")</f>
        <v>0</v>
      </c>
      <c r="E1939"/>
      <c r="F1939" s="31">
        <f>SUMIFS(F1940:F3130,K1940:K3130,"0",B1940:B3130,"5 1 1 3 4 12 31111 6 M78 11000 263 00C 001 13406 015*")</f>
        <v>18381.240000000002</v>
      </c>
      <c r="G1939" s="31">
        <f>SUMIFS(G1940:G3130,K1940:K3130,"0",B1940:B3130,"5 1 1 3 4 12 31111 6 M78 11000 263 00C 001 13406 015*")</f>
        <v>0</v>
      </c>
      <c r="H1939" s="31">
        <f t="shared" si="31"/>
        <v>18381.240000000002</v>
      </c>
      <c r="I1939" s="31"/>
      <c r="K1939" t="s">
        <v>13</v>
      </c>
    </row>
    <row r="1940" spans="2:11" ht="22" x14ac:dyDescent="0.15">
      <c r="B1940" s="29" t="s">
        <v>2582</v>
      </c>
      <c r="C1940" s="29" t="s">
        <v>1813</v>
      </c>
      <c r="D1940" s="31">
        <f>SUMIFS(D1941:D3130,K1941:K3130,"0",B1941:B3130,"5 1 1 3 4 12 31111 6 M78 11000 263 00C 001 13406 015 2111100*")-SUMIFS(E1941:E3130,K1941:K3130,"0",B1941:B3130,"5 1 1 3 4 12 31111 6 M78 11000 263 00C 001 13406 015 2111100*")</f>
        <v>0</v>
      </c>
      <c r="E1940"/>
      <c r="F1940" s="31">
        <f>SUMIFS(F1941:F3130,K1941:K3130,"0",B1941:B3130,"5 1 1 3 4 12 31111 6 M78 11000 263 00C 001 13406 015 2111100*")</f>
        <v>18381.240000000002</v>
      </c>
      <c r="G1940" s="31">
        <f>SUMIFS(G1941:G3130,K1941:K3130,"0",B1941:B3130,"5 1 1 3 4 12 31111 6 M78 11000 263 00C 001 13406 015 2111100*")</f>
        <v>0</v>
      </c>
      <c r="H1940" s="31">
        <f t="shared" si="31"/>
        <v>18381.240000000002</v>
      </c>
      <c r="I1940" s="31"/>
      <c r="K1940" t="s">
        <v>13</v>
      </c>
    </row>
    <row r="1941" spans="2:11" ht="22" x14ac:dyDescent="0.15">
      <c r="B1941" s="29" t="s">
        <v>2583</v>
      </c>
      <c r="C1941" s="29" t="s">
        <v>275</v>
      </c>
      <c r="D1941" s="31">
        <f>SUMIFS(D1942:D3130,K1942:K3130,"0",B1942:B3130,"5 1 1 3 4 12 31111 6 M78 11000 263 00C 001 13406 015 2111100 2024*")-SUMIFS(E1942:E3130,K1942:K3130,"0",B1942:B3130,"5 1 1 3 4 12 31111 6 M78 11000 263 00C 001 13406 015 2111100 2024*")</f>
        <v>0</v>
      </c>
      <c r="E1941"/>
      <c r="F1941" s="31">
        <f>SUMIFS(F1942:F3130,K1942:K3130,"0",B1942:B3130,"5 1 1 3 4 12 31111 6 M78 11000 263 00C 001 13406 015 2111100 2024*")</f>
        <v>18381.240000000002</v>
      </c>
      <c r="G1941" s="31">
        <f>SUMIFS(G1942:G3130,K1942:K3130,"0",B1942:B3130,"5 1 1 3 4 12 31111 6 M78 11000 263 00C 001 13406 015 2111100 2024*")</f>
        <v>0</v>
      </c>
      <c r="H1941" s="31">
        <f t="shared" si="31"/>
        <v>18381.240000000002</v>
      </c>
      <c r="I1941" s="31"/>
      <c r="K1941" t="s">
        <v>13</v>
      </c>
    </row>
    <row r="1942" spans="2:11" ht="22" x14ac:dyDescent="0.15">
      <c r="B1942" s="29" t="s">
        <v>2584</v>
      </c>
      <c r="C1942" s="29" t="s">
        <v>277</v>
      </c>
      <c r="D1942" s="31">
        <f>SUMIFS(D1943:D3130,K1943:K3130,"0",B1943:B3130,"5 1 1 3 4 12 31111 6 M78 11000 263 00C 001 13406 015 2111100 2024 00000000*")-SUMIFS(E1943:E3130,K1943:K3130,"0",B1943:B3130,"5 1 1 3 4 12 31111 6 M78 11000 263 00C 001 13406 015 2111100 2024 00000000*")</f>
        <v>0</v>
      </c>
      <c r="E1942"/>
      <c r="F1942" s="31">
        <f>SUMIFS(F1943:F3130,K1943:K3130,"0",B1943:B3130,"5 1 1 3 4 12 31111 6 M78 11000 263 00C 001 13406 015 2111100 2024 00000000*")</f>
        <v>18381.240000000002</v>
      </c>
      <c r="G1942" s="31">
        <f>SUMIFS(G1943:G3130,K1943:K3130,"0",B1943:B3130,"5 1 1 3 4 12 31111 6 M78 11000 263 00C 001 13406 015 2111100 2024 00000000*")</f>
        <v>0</v>
      </c>
      <c r="H1942" s="31">
        <f t="shared" si="31"/>
        <v>18381.240000000002</v>
      </c>
      <c r="I1942" s="31"/>
      <c r="K1942" t="s">
        <v>13</v>
      </c>
    </row>
    <row r="1943" spans="2:11" ht="22" x14ac:dyDescent="0.15">
      <c r="B1943" s="29" t="s">
        <v>2585</v>
      </c>
      <c r="C1943" s="29" t="s">
        <v>32</v>
      </c>
      <c r="D1943" s="31">
        <f>SUMIFS(D1944:D3130,K1944:K3130,"0",B1944:B3130,"5 1 1 3 4 12 31111 6 M78 11000 263 00C 001 13406 015 2111100 2024 00000000 001*")-SUMIFS(E1944:E3130,K1944:K3130,"0",B1944:B3130,"5 1 1 3 4 12 31111 6 M78 11000 263 00C 001 13406 015 2111100 2024 00000000 001*")</f>
        <v>0</v>
      </c>
      <c r="E1943"/>
      <c r="F1943" s="31">
        <f>SUMIFS(F1944:F3130,K1944:K3130,"0",B1944:B3130,"5 1 1 3 4 12 31111 6 M78 11000 263 00C 001 13406 015 2111100 2024 00000000 001*")</f>
        <v>18381.240000000002</v>
      </c>
      <c r="G1943" s="31">
        <f>SUMIFS(G1944:G3130,K1944:K3130,"0",B1944:B3130,"5 1 1 3 4 12 31111 6 M78 11000 263 00C 001 13406 015 2111100 2024 00000000 001*")</f>
        <v>0</v>
      </c>
      <c r="H1943" s="31">
        <f t="shared" si="31"/>
        <v>18381.240000000002</v>
      </c>
      <c r="I1943" s="31"/>
      <c r="K1943" t="s">
        <v>13</v>
      </c>
    </row>
    <row r="1944" spans="2:11" ht="22" x14ac:dyDescent="0.15">
      <c r="B1944" s="29" t="s">
        <v>2586</v>
      </c>
      <c r="C1944" s="29" t="s">
        <v>1955</v>
      </c>
      <c r="D1944" s="31">
        <f>SUMIFS(D1945:D3130,K1945:K3130,"0",B1945:B3130,"5 1 1 3 4 12 31111 6 M78 11000 263 00C 001 13406 015 2111100 2024 00000000 001 001*")-SUMIFS(E1945:E3130,K1945:K3130,"0",B1945:B3130,"5 1 1 3 4 12 31111 6 M78 11000 263 00C 001 13406 015 2111100 2024 00000000 001 001*")</f>
        <v>0</v>
      </c>
      <c r="E1944"/>
      <c r="F1944" s="31">
        <f>SUMIFS(F1945:F3130,K1945:K3130,"0",B1945:B3130,"5 1 1 3 4 12 31111 6 M78 11000 263 00C 001 13406 015 2111100 2024 00000000 001 001*")</f>
        <v>18381.240000000002</v>
      </c>
      <c r="G1944" s="31">
        <f>SUMIFS(G1945:G3130,K1945:K3130,"0",B1945:B3130,"5 1 1 3 4 12 31111 6 M78 11000 263 00C 001 13406 015 2111100 2024 00000000 001 001*")</f>
        <v>0</v>
      </c>
      <c r="H1944" s="31">
        <f t="shared" si="31"/>
        <v>18381.240000000002</v>
      </c>
      <c r="I1944" s="31"/>
      <c r="K1944" t="s">
        <v>13</v>
      </c>
    </row>
    <row r="1945" spans="2:11" ht="22" x14ac:dyDescent="0.15">
      <c r="B1945" s="27" t="s">
        <v>2587</v>
      </c>
      <c r="C1945" s="27" t="s">
        <v>2426</v>
      </c>
      <c r="D1945" s="30">
        <v>0</v>
      </c>
      <c r="E1945" s="30"/>
      <c r="F1945" s="30">
        <v>18381.240000000002</v>
      </c>
      <c r="G1945" s="30">
        <v>0</v>
      </c>
      <c r="H1945" s="30">
        <f t="shared" si="31"/>
        <v>18381.240000000002</v>
      </c>
      <c r="I1945" s="30"/>
      <c r="K1945" t="s">
        <v>37</v>
      </c>
    </row>
    <row r="1946" spans="2:11" ht="13" x14ac:dyDescent="0.15">
      <c r="B1946" s="29" t="s">
        <v>2588</v>
      </c>
      <c r="C1946" s="29" t="s">
        <v>1958</v>
      </c>
      <c r="D1946" s="31">
        <f>SUMIFS(D1947:D3130,K1947:K3130,"0",B1947:B3130,"5 1 1 3 4 12 31111 6 M78 12000*")-SUMIFS(E1947:E3130,K1947:K3130,"0",B1947:B3130,"5 1 1 3 4 12 31111 6 M78 12000*")</f>
        <v>0</v>
      </c>
      <c r="E1946"/>
      <c r="F1946" s="31">
        <f>SUMIFS(F1947:F3130,K1947:K3130,"0",B1947:B3130,"5 1 1 3 4 12 31111 6 M78 12000*")</f>
        <v>567050.28</v>
      </c>
      <c r="G1946" s="31">
        <f>SUMIFS(G1947:G3130,K1947:K3130,"0",B1947:B3130,"5 1 1 3 4 12 31111 6 M78 12000*")</f>
        <v>0</v>
      </c>
      <c r="H1946" s="31">
        <f t="shared" si="31"/>
        <v>567050.28</v>
      </c>
      <c r="I1946" s="31"/>
      <c r="K1946" t="s">
        <v>13</v>
      </c>
    </row>
    <row r="1947" spans="2:11" ht="13" x14ac:dyDescent="0.15">
      <c r="B1947" s="29" t="s">
        <v>2589</v>
      </c>
      <c r="C1947" s="29" t="s">
        <v>1960</v>
      </c>
      <c r="D1947" s="31">
        <f>SUMIFS(D1948:D3130,K1948:K3130,"0",B1948:B3130,"5 1 1 3 4 12 31111 6 M78 12000 265*")-SUMIFS(E1948:E3130,K1948:K3130,"0",B1948:B3130,"5 1 1 3 4 12 31111 6 M78 12000 265*")</f>
        <v>0</v>
      </c>
      <c r="E1947"/>
      <c r="F1947" s="31">
        <f>SUMIFS(F1948:F3130,K1948:K3130,"0",B1948:B3130,"5 1 1 3 4 12 31111 6 M78 12000 265*")</f>
        <v>567050.28</v>
      </c>
      <c r="G1947" s="31">
        <f>SUMIFS(G1948:G3130,K1948:K3130,"0",B1948:B3130,"5 1 1 3 4 12 31111 6 M78 12000 265*")</f>
        <v>0</v>
      </c>
      <c r="H1947" s="31">
        <f t="shared" si="31"/>
        <v>567050.28</v>
      </c>
      <c r="I1947" s="31"/>
      <c r="K1947" t="s">
        <v>13</v>
      </c>
    </row>
    <row r="1948" spans="2:11" ht="13" x14ac:dyDescent="0.15">
      <c r="B1948" s="29" t="s">
        <v>2590</v>
      </c>
      <c r="C1948" s="29" t="s">
        <v>265</v>
      </c>
      <c r="D1948" s="31">
        <f>SUMIFS(D1949:D3130,K1949:K3130,"0",B1949:B3130,"5 1 1 3 4 12 31111 6 M78 12000 265 00C*")-SUMIFS(E1949:E3130,K1949:K3130,"0",B1949:B3130,"5 1 1 3 4 12 31111 6 M78 12000 265 00C*")</f>
        <v>0</v>
      </c>
      <c r="E1948"/>
      <c r="F1948" s="31">
        <f>SUMIFS(F1949:F3130,K1949:K3130,"0",B1949:B3130,"5 1 1 3 4 12 31111 6 M78 12000 265 00C*")</f>
        <v>567050.28</v>
      </c>
      <c r="G1948" s="31">
        <f>SUMIFS(G1949:G3130,K1949:K3130,"0",B1949:B3130,"5 1 1 3 4 12 31111 6 M78 12000 265 00C*")</f>
        <v>0</v>
      </c>
      <c r="H1948" s="31">
        <f t="shared" si="31"/>
        <v>567050.28</v>
      </c>
      <c r="I1948" s="31"/>
      <c r="K1948" t="s">
        <v>13</v>
      </c>
    </row>
    <row r="1949" spans="2:11" ht="13" x14ac:dyDescent="0.15">
      <c r="B1949" s="29" t="s">
        <v>2591</v>
      </c>
      <c r="C1949" s="29" t="s">
        <v>32</v>
      </c>
      <c r="D1949" s="31">
        <f>SUMIFS(D1950:D3130,K1950:K3130,"0",B1950:B3130,"5 1 1 3 4 12 31111 6 M78 12000 265 00C 001*")-SUMIFS(E1950:E3130,K1950:K3130,"0",B1950:B3130,"5 1 1 3 4 12 31111 6 M78 12000 265 00C 001*")</f>
        <v>0</v>
      </c>
      <c r="E1949"/>
      <c r="F1949" s="31">
        <f>SUMIFS(F1950:F3130,K1950:K3130,"0",B1950:B3130,"5 1 1 3 4 12 31111 6 M78 12000 265 00C 001*")</f>
        <v>567050.28</v>
      </c>
      <c r="G1949" s="31">
        <f>SUMIFS(G1950:G3130,K1950:K3130,"0",B1950:B3130,"5 1 1 3 4 12 31111 6 M78 12000 265 00C 001*")</f>
        <v>0</v>
      </c>
      <c r="H1949" s="31">
        <f t="shared" si="31"/>
        <v>567050.28</v>
      </c>
      <c r="I1949" s="31"/>
      <c r="K1949" t="s">
        <v>13</v>
      </c>
    </row>
    <row r="1950" spans="2:11" ht="13" x14ac:dyDescent="0.15">
      <c r="B1950" s="29" t="s">
        <v>2592</v>
      </c>
      <c r="C1950" s="29" t="s">
        <v>2408</v>
      </c>
      <c r="D1950" s="31">
        <f>SUMIFS(D1951:D3130,K1951:K3130,"0",B1951:B3130,"5 1 1 3 4 12 31111 6 M78 12000 265 00C 001 13403*")-SUMIFS(E1951:E3130,K1951:K3130,"0",B1951:B3130,"5 1 1 3 4 12 31111 6 M78 12000 265 00C 001 13403*")</f>
        <v>0</v>
      </c>
      <c r="E1950"/>
      <c r="F1950" s="31">
        <f>SUMIFS(F1951:F3130,K1951:K3130,"0",B1951:B3130,"5 1 1 3 4 12 31111 6 M78 12000 265 00C 001 13403*")</f>
        <v>507607.99</v>
      </c>
      <c r="G1950" s="31">
        <f>SUMIFS(G1951:G3130,K1951:K3130,"0",B1951:B3130,"5 1 1 3 4 12 31111 6 M78 12000 265 00C 001 13403*")</f>
        <v>0</v>
      </c>
      <c r="H1950" s="31">
        <f t="shared" si="31"/>
        <v>507607.99</v>
      </c>
      <c r="I1950" s="31"/>
      <c r="K1950" t="s">
        <v>13</v>
      </c>
    </row>
    <row r="1951" spans="2:11" ht="22" x14ac:dyDescent="0.15">
      <c r="B1951" s="29" t="s">
        <v>2593</v>
      </c>
      <c r="C1951" s="29" t="s">
        <v>271</v>
      </c>
      <c r="D1951" s="31">
        <f>SUMIFS(D1952:D3130,K1952:K3130,"0",B1952:B3130,"5 1 1 3 4 12 31111 6 M78 12000 265 00C 001 13403 015*")-SUMIFS(E1952:E3130,K1952:K3130,"0",B1952:B3130,"5 1 1 3 4 12 31111 6 M78 12000 265 00C 001 13403 015*")</f>
        <v>0</v>
      </c>
      <c r="E1951"/>
      <c r="F1951" s="31">
        <f>SUMIFS(F1952:F3130,K1952:K3130,"0",B1952:B3130,"5 1 1 3 4 12 31111 6 M78 12000 265 00C 001 13403 015*")</f>
        <v>507607.99</v>
      </c>
      <c r="G1951" s="31">
        <f>SUMIFS(G1952:G3130,K1952:K3130,"0",B1952:B3130,"5 1 1 3 4 12 31111 6 M78 12000 265 00C 001 13403 015*")</f>
        <v>0</v>
      </c>
      <c r="H1951" s="31">
        <f t="shared" si="31"/>
        <v>507607.99</v>
      </c>
      <c r="I1951" s="31"/>
      <c r="K1951" t="s">
        <v>13</v>
      </c>
    </row>
    <row r="1952" spans="2:11" ht="22" x14ac:dyDescent="0.15">
      <c r="B1952" s="29" t="s">
        <v>2594</v>
      </c>
      <c r="C1952" s="29" t="s">
        <v>1813</v>
      </c>
      <c r="D1952" s="31">
        <f>SUMIFS(D1953:D3130,K1953:K3130,"0",B1953:B3130,"5 1 1 3 4 12 31111 6 M78 12000 265 00C 001 13403 015 2111100*")-SUMIFS(E1953:E3130,K1953:K3130,"0",B1953:B3130,"5 1 1 3 4 12 31111 6 M78 12000 265 00C 001 13403 015 2111100*")</f>
        <v>0</v>
      </c>
      <c r="E1952"/>
      <c r="F1952" s="31">
        <f>SUMIFS(F1953:F3130,K1953:K3130,"0",B1953:B3130,"5 1 1 3 4 12 31111 6 M78 12000 265 00C 001 13403 015 2111100*")</f>
        <v>507607.99</v>
      </c>
      <c r="G1952" s="31">
        <f>SUMIFS(G1953:G3130,K1953:K3130,"0",B1953:B3130,"5 1 1 3 4 12 31111 6 M78 12000 265 00C 001 13403 015 2111100*")</f>
        <v>0</v>
      </c>
      <c r="H1952" s="31">
        <f t="shared" si="31"/>
        <v>507607.99</v>
      </c>
      <c r="I1952" s="31"/>
      <c r="K1952" t="s">
        <v>13</v>
      </c>
    </row>
    <row r="1953" spans="2:11" ht="22" x14ac:dyDescent="0.15">
      <c r="B1953" s="29" t="s">
        <v>2595</v>
      </c>
      <c r="C1953" s="29" t="s">
        <v>275</v>
      </c>
      <c r="D1953" s="31">
        <f>SUMIFS(D1954:D3130,K1954:K3130,"0",B1954:B3130,"5 1 1 3 4 12 31111 6 M78 12000 265 00C 001 13403 015 2111100 2024*")-SUMIFS(E1954:E3130,K1954:K3130,"0",B1954:B3130,"5 1 1 3 4 12 31111 6 M78 12000 265 00C 001 13403 015 2111100 2024*")</f>
        <v>0</v>
      </c>
      <c r="E1953"/>
      <c r="F1953" s="31">
        <f>SUMIFS(F1954:F3130,K1954:K3130,"0",B1954:B3130,"5 1 1 3 4 12 31111 6 M78 12000 265 00C 001 13403 015 2111100 2024*")</f>
        <v>507607.99</v>
      </c>
      <c r="G1953" s="31">
        <f>SUMIFS(G1954:G3130,K1954:K3130,"0",B1954:B3130,"5 1 1 3 4 12 31111 6 M78 12000 265 00C 001 13403 015 2111100 2024*")</f>
        <v>0</v>
      </c>
      <c r="H1953" s="31">
        <f t="shared" si="31"/>
        <v>507607.99</v>
      </c>
      <c r="I1953" s="31"/>
      <c r="K1953" t="s">
        <v>13</v>
      </c>
    </row>
    <row r="1954" spans="2:11" ht="22" x14ac:dyDescent="0.15">
      <c r="B1954" s="29" t="s">
        <v>2596</v>
      </c>
      <c r="C1954" s="29" t="s">
        <v>277</v>
      </c>
      <c r="D1954" s="31">
        <f>SUMIFS(D1955:D3130,K1955:K3130,"0",B1955:B3130,"5 1 1 3 4 12 31111 6 M78 12000 265 00C 001 13403 015 2111100 2024 00000000*")-SUMIFS(E1955:E3130,K1955:K3130,"0",B1955:B3130,"5 1 1 3 4 12 31111 6 M78 12000 265 00C 001 13403 015 2111100 2024 00000000*")</f>
        <v>0</v>
      </c>
      <c r="E1954"/>
      <c r="F1954" s="31">
        <f>SUMIFS(F1955:F3130,K1955:K3130,"0",B1955:B3130,"5 1 1 3 4 12 31111 6 M78 12000 265 00C 001 13403 015 2111100 2024 00000000*")</f>
        <v>507607.99</v>
      </c>
      <c r="G1954" s="31">
        <f>SUMIFS(G1955:G3130,K1955:K3130,"0",B1955:B3130,"5 1 1 3 4 12 31111 6 M78 12000 265 00C 001 13403 015 2111100 2024 00000000*")</f>
        <v>0</v>
      </c>
      <c r="H1954" s="31">
        <f t="shared" si="31"/>
        <v>507607.99</v>
      </c>
      <c r="I1954" s="31"/>
      <c r="K1954" t="s">
        <v>13</v>
      </c>
    </row>
    <row r="1955" spans="2:11" ht="22" x14ac:dyDescent="0.15">
      <c r="B1955" s="29" t="s">
        <v>2597</v>
      </c>
      <c r="C1955" s="29" t="s">
        <v>32</v>
      </c>
      <c r="D1955" s="31">
        <f>SUMIFS(D1956:D3130,K1956:K3130,"0",B1956:B3130,"5 1 1 3 4 12 31111 6 M78 12000 265 00C 001 13403 015 2111100 2024 00000000 001*")-SUMIFS(E1956:E3130,K1956:K3130,"0",B1956:B3130,"5 1 1 3 4 12 31111 6 M78 12000 265 00C 001 13403 015 2111100 2024 00000000 001*")</f>
        <v>0</v>
      </c>
      <c r="E1955"/>
      <c r="F1955" s="31">
        <f>SUMIFS(F1956:F3130,K1956:K3130,"0",B1956:B3130,"5 1 1 3 4 12 31111 6 M78 12000 265 00C 001 13403 015 2111100 2024 00000000 001*")</f>
        <v>507607.99</v>
      </c>
      <c r="G1955" s="31">
        <f>SUMIFS(G1956:G3130,K1956:K3130,"0",B1956:B3130,"5 1 1 3 4 12 31111 6 M78 12000 265 00C 001 13403 015 2111100 2024 00000000 001*")</f>
        <v>0</v>
      </c>
      <c r="H1955" s="31">
        <f t="shared" si="31"/>
        <v>507607.99</v>
      </c>
      <c r="I1955" s="31"/>
      <c r="K1955" t="s">
        <v>13</v>
      </c>
    </row>
    <row r="1956" spans="2:11" ht="22" x14ac:dyDescent="0.15">
      <c r="B1956" s="29" t="s">
        <v>2598</v>
      </c>
      <c r="C1956" s="29" t="s">
        <v>1970</v>
      </c>
      <c r="D1956" s="31">
        <f>SUMIFS(D1957:D3130,K1957:K3130,"0",B1957:B3130,"5 1 1 3 4 12 31111 6 M78 12000 265 00C 001 13403 015 2111100 2024 00000000 001 001*")-SUMIFS(E1957:E3130,K1957:K3130,"0",B1957:B3130,"5 1 1 3 4 12 31111 6 M78 12000 265 00C 001 13403 015 2111100 2024 00000000 001 001*")</f>
        <v>0</v>
      </c>
      <c r="E1956"/>
      <c r="F1956" s="31">
        <f>SUMIFS(F1957:F3130,K1957:K3130,"0",B1957:B3130,"5 1 1 3 4 12 31111 6 M78 12000 265 00C 001 13403 015 2111100 2024 00000000 001 001*")</f>
        <v>507607.99</v>
      </c>
      <c r="G1956" s="31">
        <f>SUMIFS(G1957:G3130,K1957:K3130,"0",B1957:B3130,"5 1 1 3 4 12 31111 6 M78 12000 265 00C 001 13403 015 2111100 2024 00000000 001 001*")</f>
        <v>0</v>
      </c>
      <c r="H1956" s="31">
        <f t="shared" si="31"/>
        <v>507607.99</v>
      </c>
      <c r="I1956" s="31"/>
      <c r="K1956" t="s">
        <v>13</v>
      </c>
    </row>
    <row r="1957" spans="2:11" ht="22" x14ac:dyDescent="0.15">
      <c r="B1957" s="27" t="s">
        <v>2599</v>
      </c>
      <c r="C1957" s="27" t="s">
        <v>2408</v>
      </c>
      <c r="D1957" s="30">
        <v>0</v>
      </c>
      <c r="E1957" s="30"/>
      <c r="F1957" s="30">
        <v>507607.99</v>
      </c>
      <c r="G1957" s="30">
        <v>0</v>
      </c>
      <c r="H1957" s="30">
        <f t="shared" si="31"/>
        <v>507607.99</v>
      </c>
      <c r="I1957" s="30"/>
      <c r="K1957" t="s">
        <v>37</v>
      </c>
    </row>
    <row r="1958" spans="2:11" ht="13" x14ac:dyDescent="0.15">
      <c r="B1958" s="29" t="s">
        <v>2600</v>
      </c>
      <c r="C1958" s="29" t="s">
        <v>2418</v>
      </c>
      <c r="D1958" s="31">
        <f>SUMIFS(D1959:D3130,K1959:K3130,"0",B1959:B3130,"5 1 1 3 4 12 31111 6 M78 12000 265 00C 001 13406*")-SUMIFS(E1959:E3130,K1959:K3130,"0",B1959:B3130,"5 1 1 3 4 12 31111 6 M78 12000 265 00C 001 13406*")</f>
        <v>0</v>
      </c>
      <c r="E1958"/>
      <c r="F1958" s="31">
        <f>SUMIFS(F1959:F3130,K1959:K3130,"0",B1959:B3130,"5 1 1 3 4 12 31111 6 M78 12000 265 00C 001 13406*")</f>
        <v>59442.29</v>
      </c>
      <c r="G1958" s="31">
        <f>SUMIFS(G1959:G3130,K1959:K3130,"0",B1959:B3130,"5 1 1 3 4 12 31111 6 M78 12000 265 00C 001 13406*")</f>
        <v>0</v>
      </c>
      <c r="H1958" s="31">
        <f t="shared" si="31"/>
        <v>59442.29</v>
      </c>
      <c r="I1958" s="31"/>
      <c r="K1958" t="s">
        <v>13</v>
      </c>
    </row>
    <row r="1959" spans="2:11" ht="22" x14ac:dyDescent="0.15">
      <c r="B1959" s="29" t="s">
        <v>2601</v>
      </c>
      <c r="C1959" s="29" t="s">
        <v>271</v>
      </c>
      <c r="D1959" s="31">
        <f>SUMIFS(D1960:D3130,K1960:K3130,"0",B1960:B3130,"5 1 1 3 4 12 31111 6 M78 12000 265 00C 001 13406 015*")-SUMIFS(E1960:E3130,K1960:K3130,"0",B1960:B3130,"5 1 1 3 4 12 31111 6 M78 12000 265 00C 001 13406 015*")</f>
        <v>0</v>
      </c>
      <c r="E1959"/>
      <c r="F1959" s="31">
        <f>SUMIFS(F1960:F3130,K1960:K3130,"0",B1960:B3130,"5 1 1 3 4 12 31111 6 M78 12000 265 00C 001 13406 015*")</f>
        <v>59442.29</v>
      </c>
      <c r="G1959" s="31">
        <f>SUMIFS(G1960:G3130,K1960:K3130,"0",B1960:B3130,"5 1 1 3 4 12 31111 6 M78 12000 265 00C 001 13406 015*")</f>
        <v>0</v>
      </c>
      <c r="H1959" s="31">
        <f t="shared" si="31"/>
        <v>59442.29</v>
      </c>
      <c r="I1959" s="31"/>
      <c r="K1959" t="s">
        <v>13</v>
      </c>
    </row>
    <row r="1960" spans="2:11" ht="22" x14ac:dyDescent="0.15">
      <c r="B1960" s="29" t="s">
        <v>2602</v>
      </c>
      <c r="C1960" s="29" t="s">
        <v>1813</v>
      </c>
      <c r="D1960" s="31">
        <f>SUMIFS(D1961:D3130,K1961:K3130,"0",B1961:B3130,"5 1 1 3 4 12 31111 6 M78 12000 265 00C 001 13406 015 2111100*")-SUMIFS(E1961:E3130,K1961:K3130,"0",B1961:B3130,"5 1 1 3 4 12 31111 6 M78 12000 265 00C 001 13406 015 2111100*")</f>
        <v>0</v>
      </c>
      <c r="E1960"/>
      <c r="F1960" s="31">
        <f>SUMIFS(F1961:F3130,K1961:K3130,"0",B1961:B3130,"5 1 1 3 4 12 31111 6 M78 12000 265 00C 001 13406 015 2111100*")</f>
        <v>59442.29</v>
      </c>
      <c r="G1960" s="31">
        <f>SUMIFS(G1961:G3130,K1961:K3130,"0",B1961:B3130,"5 1 1 3 4 12 31111 6 M78 12000 265 00C 001 13406 015 2111100*")</f>
        <v>0</v>
      </c>
      <c r="H1960" s="31">
        <f t="shared" si="31"/>
        <v>59442.29</v>
      </c>
      <c r="I1960" s="31"/>
      <c r="K1960" t="s">
        <v>13</v>
      </c>
    </row>
    <row r="1961" spans="2:11" ht="22" x14ac:dyDescent="0.15">
      <c r="B1961" s="29" t="s">
        <v>2603</v>
      </c>
      <c r="C1961" s="29" t="s">
        <v>275</v>
      </c>
      <c r="D1961" s="31">
        <f>SUMIFS(D1962:D3130,K1962:K3130,"0",B1962:B3130,"5 1 1 3 4 12 31111 6 M78 12000 265 00C 001 13406 015 2111100 2024*")-SUMIFS(E1962:E3130,K1962:K3130,"0",B1962:B3130,"5 1 1 3 4 12 31111 6 M78 12000 265 00C 001 13406 015 2111100 2024*")</f>
        <v>0</v>
      </c>
      <c r="E1961"/>
      <c r="F1961" s="31">
        <f>SUMIFS(F1962:F3130,K1962:K3130,"0",B1962:B3130,"5 1 1 3 4 12 31111 6 M78 12000 265 00C 001 13406 015 2111100 2024*")</f>
        <v>59442.29</v>
      </c>
      <c r="G1961" s="31">
        <f>SUMIFS(G1962:G3130,K1962:K3130,"0",B1962:B3130,"5 1 1 3 4 12 31111 6 M78 12000 265 00C 001 13406 015 2111100 2024*")</f>
        <v>0</v>
      </c>
      <c r="H1961" s="31">
        <f t="shared" si="31"/>
        <v>59442.29</v>
      </c>
      <c r="I1961" s="31"/>
      <c r="K1961" t="s">
        <v>13</v>
      </c>
    </row>
    <row r="1962" spans="2:11" ht="22" x14ac:dyDescent="0.15">
      <c r="B1962" s="29" t="s">
        <v>2604</v>
      </c>
      <c r="C1962" s="29" t="s">
        <v>277</v>
      </c>
      <c r="D1962" s="31">
        <f>SUMIFS(D1963:D3130,K1963:K3130,"0",B1963:B3130,"5 1 1 3 4 12 31111 6 M78 12000 265 00C 001 13406 015 2111100 2024 00000000*")-SUMIFS(E1963:E3130,K1963:K3130,"0",B1963:B3130,"5 1 1 3 4 12 31111 6 M78 12000 265 00C 001 13406 015 2111100 2024 00000000*")</f>
        <v>0</v>
      </c>
      <c r="E1962"/>
      <c r="F1962" s="31">
        <f>SUMIFS(F1963:F3130,K1963:K3130,"0",B1963:B3130,"5 1 1 3 4 12 31111 6 M78 12000 265 00C 001 13406 015 2111100 2024 00000000*")</f>
        <v>59442.29</v>
      </c>
      <c r="G1962" s="31">
        <f>SUMIFS(G1963:G3130,K1963:K3130,"0",B1963:B3130,"5 1 1 3 4 12 31111 6 M78 12000 265 00C 001 13406 015 2111100 2024 00000000*")</f>
        <v>0</v>
      </c>
      <c r="H1962" s="31">
        <f t="shared" si="31"/>
        <v>59442.29</v>
      </c>
      <c r="I1962" s="31"/>
      <c r="K1962" t="s">
        <v>13</v>
      </c>
    </row>
    <row r="1963" spans="2:11" ht="22" x14ac:dyDescent="0.15">
      <c r="B1963" s="29" t="s">
        <v>2605</v>
      </c>
      <c r="C1963" s="29" t="s">
        <v>32</v>
      </c>
      <c r="D1963" s="31">
        <f>SUMIFS(D1964:D3130,K1964:K3130,"0",B1964:B3130,"5 1 1 3 4 12 31111 6 M78 12000 265 00C 001 13406 015 2111100 2024 00000000 001*")-SUMIFS(E1964:E3130,K1964:K3130,"0",B1964:B3130,"5 1 1 3 4 12 31111 6 M78 12000 265 00C 001 13406 015 2111100 2024 00000000 001*")</f>
        <v>0</v>
      </c>
      <c r="E1963"/>
      <c r="F1963" s="31">
        <f>SUMIFS(F1964:F3130,K1964:K3130,"0",B1964:B3130,"5 1 1 3 4 12 31111 6 M78 12000 265 00C 001 13406 015 2111100 2024 00000000 001*")</f>
        <v>59442.29</v>
      </c>
      <c r="G1963" s="31">
        <f>SUMIFS(G1964:G3130,K1964:K3130,"0",B1964:B3130,"5 1 1 3 4 12 31111 6 M78 12000 265 00C 001 13406 015 2111100 2024 00000000 001*")</f>
        <v>0</v>
      </c>
      <c r="H1963" s="31">
        <f t="shared" si="31"/>
        <v>59442.29</v>
      </c>
      <c r="I1963" s="31"/>
      <c r="K1963" t="s">
        <v>13</v>
      </c>
    </row>
    <row r="1964" spans="2:11" ht="22" x14ac:dyDescent="0.15">
      <c r="B1964" s="29" t="s">
        <v>2606</v>
      </c>
      <c r="C1964" s="29" t="s">
        <v>1970</v>
      </c>
      <c r="D1964" s="31">
        <f>SUMIFS(D1965:D3130,K1965:K3130,"0",B1965:B3130,"5 1 1 3 4 12 31111 6 M78 12000 265 00C 001 13406 015 2111100 2024 00000000 001 001*")-SUMIFS(E1965:E3130,K1965:K3130,"0",B1965:B3130,"5 1 1 3 4 12 31111 6 M78 12000 265 00C 001 13406 015 2111100 2024 00000000 001 001*")</f>
        <v>0</v>
      </c>
      <c r="E1964"/>
      <c r="F1964" s="31">
        <f>SUMIFS(F1965:F3130,K1965:K3130,"0",B1965:B3130,"5 1 1 3 4 12 31111 6 M78 12000 265 00C 001 13406 015 2111100 2024 00000000 001 001*")</f>
        <v>59442.29</v>
      </c>
      <c r="G1964" s="31">
        <f>SUMIFS(G1965:G3130,K1965:K3130,"0",B1965:B3130,"5 1 1 3 4 12 31111 6 M78 12000 265 00C 001 13406 015 2111100 2024 00000000 001 001*")</f>
        <v>0</v>
      </c>
      <c r="H1964" s="31">
        <f t="shared" si="31"/>
        <v>59442.29</v>
      </c>
      <c r="I1964" s="31"/>
      <c r="K1964" t="s">
        <v>13</v>
      </c>
    </row>
    <row r="1965" spans="2:11" ht="22" x14ac:dyDescent="0.15">
      <c r="B1965" s="27" t="s">
        <v>2607</v>
      </c>
      <c r="C1965" s="27" t="s">
        <v>2426</v>
      </c>
      <c r="D1965" s="30">
        <v>0</v>
      </c>
      <c r="E1965" s="30"/>
      <c r="F1965" s="30">
        <v>59442.29</v>
      </c>
      <c r="G1965" s="30">
        <v>0</v>
      </c>
      <c r="H1965" s="30">
        <f t="shared" si="31"/>
        <v>59442.29</v>
      </c>
      <c r="I1965" s="30"/>
      <c r="K1965" t="s">
        <v>37</v>
      </c>
    </row>
    <row r="1966" spans="2:11" ht="13" x14ac:dyDescent="0.15">
      <c r="B1966" s="29" t="s">
        <v>2608</v>
      </c>
      <c r="C1966" s="29" t="s">
        <v>1973</v>
      </c>
      <c r="D1966" s="31">
        <f>SUMIFS(D1967:D3130,K1967:K3130,"0",B1967:B3130,"5 1 1 3 4 12 31111 6 M78 13000*")-SUMIFS(E1967:E3130,K1967:K3130,"0",B1967:B3130,"5 1 1 3 4 12 31111 6 M78 13000*")</f>
        <v>0</v>
      </c>
      <c r="E1966"/>
      <c r="F1966" s="31">
        <f>SUMIFS(F1967:F3130,K1967:K3130,"0",B1967:B3130,"5 1 1 3 4 12 31111 6 M78 13000*")</f>
        <v>12302.88</v>
      </c>
      <c r="G1966" s="31">
        <f>SUMIFS(G1967:G3130,K1967:K3130,"0",B1967:B3130,"5 1 1 3 4 12 31111 6 M78 13000*")</f>
        <v>0</v>
      </c>
      <c r="H1966" s="31">
        <f t="shared" si="31"/>
        <v>12302.88</v>
      </c>
      <c r="I1966" s="31"/>
      <c r="K1966" t="s">
        <v>13</v>
      </c>
    </row>
    <row r="1967" spans="2:11" ht="13" x14ac:dyDescent="0.15">
      <c r="B1967" s="29" t="s">
        <v>2609</v>
      </c>
      <c r="C1967" s="29" t="s">
        <v>588</v>
      </c>
      <c r="D1967" s="31">
        <f>SUMIFS(D1968:D3130,K1968:K3130,"0",B1968:B3130,"5 1 1 3 4 12 31111 6 M78 13000 151*")-SUMIFS(E1968:E3130,K1968:K3130,"0",B1968:B3130,"5 1 1 3 4 12 31111 6 M78 13000 151*")</f>
        <v>0</v>
      </c>
      <c r="E1967"/>
      <c r="F1967" s="31">
        <f>SUMIFS(F1968:F3130,K1968:K3130,"0",B1968:B3130,"5 1 1 3 4 12 31111 6 M78 13000 151*")</f>
        <v>12302.88</v>
      </c>
      <c r="G1967" s="31">
        <f>SUMIFS(G1968:G3130,K1968:K3130,"0",B1968:B3130,"5 1 1 3 4 12 31111 6 M78 13000 151*")</f>
        <v>0</v>
      </c>
      <c r="H1967" s="31">
        <f t="shared" si="31"/>
        <v>12302.88</v>
      </c>
      <c r="I1967" s="31"/>
      <c r="K1967" t="s">
        <v>13</v>
      </c>
    </row>
    <row r="1968" spans="2:11" ht="13" x14ac:dyDescent="0.15">
      <c r="B1968" s="29" t="s">
        <v>2610</v>
      </c>
      <c r="C1968" s="29" t="s">
        <v>265</v>
      </c>
      <c r="D1968" s="31">
        <f>SUMIFS(D1969:D3130,K1969:K3130,"0",B1969:B3130,"5 1 1 3 4 12 31111 6 M78 13000 151 00C*")-SUMIFS(E1969:E3130,K1969:K3130,"0",B1969:B3130,"5 1 1 3 4 12 31111 6 M78 13000 151 00C*")</f>
        <v>0</v>
      </c>
      <c r="E1968"/>
      <c r="F1968" s="31">
        <f>SUMIFS(F1969:F3130,K1969:K3130,"0",B1969:B3130,"5 1 1 3 4 12 31111 6 M78 13000 151 00C*")</f>
        <v>12302.88</v>
      </c>
      <c r="G1968" s="31">
        <f>SUMIFS(G1969:G3130,K1969:K3130,"0",B1969:B3130,"5 1 1 3 4 12 31111 6 M78 13000 151 00C*")</f>
        <v>0</v>
      </c>
      <c r="H1968" s="31">
        <f t="shared" si="31"/>
        <v>12302.88</v>
      </c>
      <c r="I1968" s="31"/>
      <c r="K1968" t="s">
        <v>13</v>
      </c>
    </row>
    <row r="1969" spans="2:11" ht="13" x14ac:dyDescent="0.15">
      <c r="B1969" s="29" t="s">
        <v>2611</v>
      </c>
      <c r="C1969" s="29" t="s">
        <v>32</v>
      </c>
      <c r="D1969" s="31">
        <f>SUMIFS(D1970:D3130,K1970:K3130,"0",B1970:B3130,"5 1 1 3 4 12 31111 6 M78 13000 151 00C 001*")-SUMIFS(E1970:E3130,K1970:K3130,"0",B1970:B3130,"5 1 1 3 4 12 31111 6 M78 13000 151 00C 001*")</f>
        <v>0</v>
      </c>
      <c r="E1969"/>
      <c r="F1969" s="31">
        <f>SUMIFS(F1970:F3130,K1970:K3130,"0",B1970:B3130,"5 1 1 3 4 12 31111 6 M78 13000 151 00C 001*")</f>
        <v>12302.88</v>
      </c>
      <c r="G1969" s="31">
        <f>SUMIFS(G1970:G3130,K1970:K3130,"0",B1970:B3130,"5 1 1 3 4 12 31111 6 M78 13000 151 00C 001*")</f>
        <v>0</v>
      </c>
      <c r="H1969" s="31">
        <f t="shared" si="31"/>
        <v>12302.88</v>
      </c>
      <c r="I1969" s="31"/>
      <c r="K1969" t="s">
        <v>13</v>
      </c>
    </row>
    <row r="1970" spans="2:11" ht="13" x14ac:dyDescent="0.15">
      <c r="B1970" s="29" t="s">
        <v>2612</v>
      </c>
      <c r="C1970" s="29" t="s">
        <v>2418</v>
      </c>
      <c r="D1970" s="31">
        <f>SUMIFS(D1971:D3130,K1971:K3130,"0",B1971:B3130,"5 1 1 3 4 12 31111 6 M78 13000 151 00C 001 13406*")-SUMIFS(E1971:E3130,K1971:K3130,"0",B1971:B3130,"5 1 1 3 4 12 31111 6 M78 13000 151 00C 001 13406*")</f>
        <v>0</v>
      </c>
      <c r="E1970"/>
      <c r="F1970" s="31">
        <f>SUMIFS(F1971:F3130,K1971:K3130,"0",B1971:B3130,"5 1 1 3 4 12 31111 6 M78 13000 151 00C 001 13406*")</f>
        <v>12302.88</v>
      </c>
      <c r="G1970" s="31">
        <f>SUMIFS(G1971:G3130,K1971:K3130,"0",B1971:B3130,"5 1 1 3 4 12 31111 6 M78 13000 151 00C 001 13406*")</f>
        <v>0</v>
      </c>
      <c r="H1970" s="31">
        <f t="shared" si="31"/>
        <v>12302.88</v>
      </c>
      <c r="I1970" s="31"/>
      <c r="K1970" t="s">
        <v>13</v>
      </c>
    </row>
    <row r="1971" spans="2:11" ht="22" x14ac:dyDescent="0.15">
      <c r="B1971" s="29" t="s">
        <v>2613</v>
      </c>
      <c r="C1971" s="29" t="s">
        <v>271</v>
      </c>
      <c r="D1971" s="31">
        <f>SUMIFS(D1972:D3130,K1972:K3130,"0",B1972:B3130,"5 1 1 3 4 12 31111 6 M78 13000 151 00C 001 13406 015*")-SUMIFS(E1972:E3130,K1972:K3130,"0",B1972:B3130,"5 1 1 3 4 12 31111 6 M78 13000 151 00C 001 13406 015*")</f>
        <v>0</v>
      </c>
      <c r="E1971"/>
      <c r="F1971" s="31">
        <f>SUMIFS(F1972:F3130,K1972:K3130,"0",B1972:B3130,"5 1 1 3 4 12 31111 6 M78 13000 151 00C 001 13406 015*")</f>
        <v>12302.88</v>
      </c>
      <c r="G1971" s="31">
        <f>SUMIFS(G1972:G3130,K1972:K3130,"0",B1972:B3130,"5 1 1 3 4 12 31111 6 M78 13000 151 00C 001 13406 015*")</f>
        <v>0</v>
      </c>
      <c r="H1971" s="31">
        <f t="shared" si="31"/>
        <v>12302.88</v>
      </c>
      <c r="I1971" s="31"/>
      <c r="K1971" t="s">
        <v>13</v>
      </c>
    </row>
    <row r="1972" spans="2:11" ht="22" x14ac:dyDescent="0.15">
      <c r="B1972" s="29" t="s">
        <v>2614</v>
      </c>
      <c r="C1972" s="29" t="s">
        <v>1813</v>
      </c>
      <c r="D1972" s="31">
        <f>SUMIFS(D1973:D3130,K1973:K3130,"0",B1973:B3130,"5 1 1 3 4 12 31111 6 M78 13000 151 00C 001 13406 015 2111100*")-SUMIFS(E1973:E3130,K1973:K3130,"0",B1973:B3130,"5 1 1 3 4 12 31111 6 M78 13000 151 00C 001 13406 015 2111100*")</f>
        <v>0</v>
      </c>
      <c r="E1972"/>
      <c r="F1972" s="31">
        <f>SUMIFS(F1973:F3130,K1973:K3130,"0",B1973:B3130,"5 1 1 3 4 12 31111 6 M78 13000 151 00C 001 13406 015 2111100*")</f>
        <v>12302.88</v>
      </c>
      <c r="G1972" s="31">
        <f>SUMIFS(G1973:G3130,K1973:K3130,"0",B1973:B3130,"5 1 1 3 4 12 31111 6 M78 13000 151 00C 001 13406 015 2111100*")</f>
        <v>0</v>
      </c>
      <c r="H1972" s="31">
        <f t="shared" si="31"/>
        <v>12302.88</v>
      </c>
      <c r="I1972" s="31"/>
      <c r="K1972" t="s">
        <v>13</v>
      </c>
    </row>
    <row r="1973" spans="2:11" ht="22" x14ac:dyDescent="0.15">
      <c r="B1973" s="29" t="s">
        <v>2615</v>
      </c>
      <c r="C1973" s="29" t="s">
        <v>275</v>
      </c>
      <c r="D1973" s="31">
        <f>SUMIFS(D1974:D3130,K1974:K3130,"0",B1974:B3130,"5 1 1 3 4 12 31111 6 M78 13000 151 00C 001 13406 015 2111100 2024*")-SUMIFS(E1974:E3130,K1974:K3130,"0",B1974:B3130,"5 1 1 3 4 12 31111 6 M78 13000 151 00C 001 13406 015 2111100 2024*")</f>
        <v>0</v>
      </c>
      <c r="E1973"/>
      <c r="F1973" s="31">
        <f>SUMIFS(F1974:F3130,K1974:K3130,"0",B1974:B3130,"5 1 1 3 4 12 31111 6 M78 13000 151 00C 001 13406 015 2111100 2024*")</f>
        <v>12302.88</v>
      </c>
      <c r="G1973" s="31">
        <f>SUMIFS(G1974:G3130,K1974:K3130,"0",B1974:B3130,"5 1 1 3 4 12 31111 6 M78 13000 151 00C 001 13406 015 2111100 2024*")</f>
        <v>0</v>
      </c>
      <c r="H1973" s="31">
        <f t="shared" si="31"/>
        <v>12302.88</v>
      </c>
      <c r="I1973" s="31"/>
      <c r="K1973" t="s">
        <v>13</v>
      </c>
    </row>
    <row r="1974" spans="2:11" ht="22" x14ac:dyDescent="0.15">
      <c r="B1974" s="29" t="s">
        <v>2616</v>
      </c>
      <c r="C1974" s="29" t="s">
        <v>277</v>
      </c>
      <c r="D1974" s="31">
        <f>SUMIFS(D1975:D3130,K1975:K3130,"0",B1975:B3130,"5 1 1 3 4 12 31111 6 M78 13000 151 00C 001 13406 015 2111100 2024 00000000*")-SUMIFS(E1975:E3130,K1975:K3130,"0",B1975:B3130,"5 1 1 3 4 12 31111 6 M78 13000 151 00C 001 13406 015 2111100 2024 00000000*")</f>
        <v>0</v>
      </c>
      <c r="E1974"/>
      <c r="F1974" s="31">
        <f>SUMIFS(F1975:F3130,K1975:K3130,"0",B1975:B3130,"5 1 1 3 4 12 31111 6 M78 13000 151 00C 001 13406 015 2111100 2024 00000000*")</f>
        <v>12302.88</v>
      </c>
      <c r="G1974" s="31">
        <f>SUMIFS(G1975:G3130,K1975:K3130,"0",B1975:B3130,"5 1 1 3 4 12 31111 6 M78 13000 151 00C 001 13406 015 2111100 2024 00000000*")</f>
        <v>0</v>
      </c>
      <c r="H1974" s="31">
        <f t="shared" si="31"/>
        <v>12302.88</v>
      </c>
      <c r="I1974" s="31"/>
      <c r="K1974" t="s">
        <v>13</v>
      </c>
    </row>
    <row r="1975" spans="2:11" ht="22" x14ac:dyDescent="0.15">
      <c r="B1975" s="29" t="s">
        <v>2617</v>
      </c>
      <c r="C1975" s="29" t="s">
        <v>32</v>
      </c>
      <c r="D1975" s="31">
        <f>SUMIFS(D1976:D3130,K1976:K3130,"0",B1976:B3130,"5 1 1 3 4 12 31111 6 M78 13000 151 00C 001 13406 015 2111100 2024 00000000 001*")-SUMIFS(E1976:E3130,K1976:K3130,"0",B1976:B3130,"5 1 1 3 4 12 31111 6 M78 13000 151 00C 001 13406 015 2111100 2024 00000000 001*")</f>
        <v>0</v>
      </c>
      <c r="E1975"/>
      <c r="F1975" s="31">
        <f>SUMIFS(F1976:F3130,K1976:K3130,"0",B1976:B3130,"5 1 1 3 4 12 31111 6 M78 13000 151 00C 001 13406 015 2111100 2024 00000000 001*")</f>
        <v>12302.88</v>
      </c>
      <c r="G1975" s="31">
        <f>SUMIFS(G1976:G3130,K1976:K3130,"0",B1976:B3130,"5 1 1 3 4 12 31111 6 M78 13000 151 00C 001 13406 015 2111100 2024 00000000 001*")</f>
        <v>0</v>
      </c>
      <c r="H1975" s="31">
        <f t="shared" si="31"/>
        <v>12302.88</v>
      </c>
      <c r="I1975" s="31"/>
      <c r="K1975" t="s">
        <v>13</v>
      </c>
    </row>
    <row r="1976" spans="2:11" ht="22" x14ac:dyDescent="0.15">
      <c r="B1976" s="29" t="s">
        <v>2618</v>
      </c>
      <c r="C1976" s="29" t="s">
        <v>1984</v>
      </c>
      <c r="D1976" s="31">
        <f>SUMIFS(D1977:D3130,K1977:K3130,"0",B1977:B3130,"5 1 1 3 4 12 31111 6 M78 13000 151 00C 001 13406 015 2111100 2024 00000000 001 001*")-SUMIFS(E1977:E3130,K1977:K3130,"0",B1977:B3130,"5 1 1 3 4 12 31111 6 M78 13000 151 00C 001 13406 015 2111100 2024 00000000 001 001*")</f>
        <v>0</v>
      </c>
      <c r="E1976"/>
      <c r="F1976" s="31">
        <f>SUMIFS(F1977:F3130,K1977:K3130,"0",B1977:B3130,"5 1 1 3 4 12 31111 6 M78 13000 151 00C 001 13406 015 2111100 2024 00000000 001 001*")</f>
        <v>12302.88</v>
      </c>
      <c r="G1976" s="31">
        <f>SUMIFS(G1977:G3130,K1977:K3130,"0",B1977:B3130,"5 1 1 3 4 12 31111 6 M78 13000 151 00C 001 13406 015 2111100 2024 00000000 001 001*")</f>
        <v>0</v>
      </c>
      <c r="H1976" s="31">
        <f t="shared" si="31"/>
        <v>12302.88</v>
      </c>
      <c r="I1976" s="31"/>
      <c r="K1976" t="s">
        <v>13</v>
      </c>
    </row>
    <row r="1977" spans="2:11" ht="22" x14ac:dyDescent="0.15">
      <c r="B1977" s="27" t="s">
        <v>2619</v>
      </c>
      <c r="C1977" s="27" t="s">
        <v>2426</v>
      </c>
      <c r="D1977" s="30">
        <v>0</v>
      </c>
      <c r="E1977" s="30"/>
      <c r="F1977" s="30">
        <v>12302.88</v>
      </c>
      <c r="G1977" s="30">
        <v>0</v>
      </c>
      <c r="H1977" s="30">
        <f t="shared" si="31"/>
        <v>12302.88</v>
      </c>
      <c r="I1977" s="30"/>
      <c r="K1977" t="s">
        <v>37</v>
      </c>
    </row>
    <row r="1978" spans="2:11" ht="13" x14ac:dyDescent="0.15">
      <c r="B1978" s="29" t="s">
        <v>2620</v>
      </c>
      <c r="C1978" s="29" t="s">
        <v>1987</v>
      </c>
      <c r="D1978" s="31">
        <f>SUMIFS(D1979:D3130,K1979:K3130,"0",B1979:B3130,"5 1 1 3 4 12 31111 6 M78 14000*")-SUMIFS(E1979:E3130,K1979:K3130,"0",B1979:B3130,"5 1 1 3 4 12 31111 6 M78 14000*")</f>
        <v>0</v>
      </c>
      <c r="E1978"/>
      <c r="F1978" s="31">
        <f>SUMIFS(F1979:F3130,K1979:K3130,"0",B1979:B3130,"5 1 1 3 4 12 31111 6 M78 14000*")</f>
        <v>28972.91</v>
      </c>
      <c r="G1978" s="31">
        <f>SUMIFS(G1979:G3130,K1979:K3130,"0",B1979:B3130,"5 1 1 3 4 12 31111 6 M78 14000*")</f>
        <v>0</v>
      </c>
      <c r="H1978" s="31">
        <f t="shared" si="31"/>
        <v>28972.91</v>
      </c>
      <c r="I1978" s="31"/>
      <c r="K1978" t="s">
        <v>13</v>
      </c>
    </row>
    <row r="1979" spans="2:11" ht="13" x14ac:dyDescent="0.15">
      <c r="B1979" s="29" t="s">
        <v>2621</v>
      </c>
      <c r="C1979" s="29" t="s">
        <v>1989</v>
      </c>
      <c r="D1979" s="31">
        <f>SUMIFS(D1980:D3130,K1980:K3130,"0",B1980:B3130,"5 1 1 3 4 12 31111 6 M78 14000 211*")-SUMIFS(E1980:E3130,K1980:K3130,"0",B1980:B3130,"5 1 1 3 4 12 31111 6 M78 14000 211*")</f>
        <v>0</v>
      </c>
      <c r="E1979"/>
      <c r="F1979" s="31">
        <f>SUMIFS(F1980:F3130,K1980:K3130,"0",B1980:B3130,"5 1 1 3 4 12 31111 6 M78 14000 211*")</f>
        <v>28972.91</v>
      </c>
      <c r="G1979" s="31">
        <f>SUMIFS(G1980:G3130,K1980:K3130,"0",B1980:B3130,"5 1 1 3 4 12 31111 6 M78 14000 211*")</f>
        <v>0</v>
      </c>
      <c r="H1979" s="31">
        <f t="shared" si="31"/>
        <v>28972.91</v>
      </c>
      <c r="I1979" s="31"/>
      <c r="K1979" t="s">
        <v>13</v>
      </c>
    </row>
    <row r="1980" spans="2:11" ht="13" x14ac:dyDescent="0.15">
      <c r="B1980" s="29" t="s">
        <v>2622</v>
      </c>
      <c r="C1980" s="29" t="s">
        <v>265</v>
      </c>
      <c r="D1980" s="31">
        <f>SUMIFS(D1981:D3130,K1981:K3130,"0",B1981:B3130,"5 1 1 3 4 12 31111 6 M78 14000 211 00C*")-SUMIFS(E1981:E3130,K1981:K3130,"0",B1981:B3130,"5 1 1 3 4 12 31111 6 M78 14000 211 00C*")</f>
        <v>0</v>
      </c>
      <c r="E1980"/>
      <c r="F1980" s="31">
        <f>SUMIFS(F1981:F3130,K1981:K3130,"0",B1981:B3130,"5 1 1 3 4 12 31111 6 M78 14000 211 00C*")</f>
        <v>28972.91</v>
      </c>
      <c r="G1980" s="31">
        <f>SUMIFS(G1981:G3130,K1981:K3130,"0",B1981:B3130,"5 1 1 3 4 12 31111 6 M78 14000 211 00C*")</f>
        <v>0</v>
      </c>
      <c r="H1980" s="31">
        <f t="shared" si="31"/>
        <v>28972.91</v>
      </c>
      <c r="I1980" s="31"/>
      <c r="K1980" t="s">
        <v>13</v>
      </c>
    </row>
    <row r="1981" spans="2:11" ht="13" x14ac:dyDescent="0.15">
      <c r="B1981" s="29" t="s">
        <v>2623</v>
      </c>
      <c r="C1981" s="29" t="s">
        <v>32</v>
      </c>
      <c r="D1981" s="31">
        <f>SUMIFS(D1982:D3130,K1982:K3130,"0",B1982:B3130,"5 1 1 3 4 12 31111 6 M78 14000 211 00C 001*")-SUMIFS(E1982:E3130,K1982:K3130,"0",B1982:B3130,"5 1 1 3 4 12 31111 6 M78 14000 211 00C 001*")</f>
        <v>0</v>
      </c>
      <c r="E1981"/>
      <c r="F1981" s="31">
        <f>SUMIFS(F1982:F3130,K1982:K3130,"0",B1982:B3130,"5 1 1 3 4 12 31111 6 M78 14000 211 00C 001*")</f>
        <v>28972.91</v>
      </c>
      <c r="G1981" s="31">
        <f>SUMIFS(G1982:G3130,K1982:K3130,"0",B1982:B3130,"5 1 1 3 4 12 31111 6 M78 14000 211 00C 001*")</f>
        <v>0</v>
      </c>
      <c r="H1981" s="31">
        <f t="shared" si="31"/>
        <v>28972.91</v>
      </c>
      <c r="I1981" s="31"/>
      <c r="K1981" t="s">
        <v>13</v>
      </c>
    </row>
    <row r="1982" spans="2:11" ht="13" x14ac:dyDescent="0.15">
      <c r="B1982" s="29" t="s">
        <v>2624</v>
      </c>
      <c r="C1982" s="29" t="s">
        <v>2418</v>
      </c>
      <c r="D1982" s="31">
        <f>SUMIFS(D1983:D3130,K1983:K3130,"0",B1983:B3130,"5 1 1 3 4 12 31111 6 M78 14000 211 00C 001 13406*")-SUMIFS(E1983:E3130,K1983:K3130,"0",B1983:B3130,"5 1 1 3 4 12 31111 6 M78 14000 211 00C 001 13406*")</f>
        <v>0</v>
      </c>
      <c r="E1982"/>
      <c r="F1982" s="31">
        <f>SUMIFS(F1983:F3130,K1983:K3130,"0",B1983:B3130,"5 1 1 3 4 12 31111 6 M78 14000 211 00C 001 13406*")</f>
        <v>28972.91</v>
      </c>
      <c r="G1982" s="31">
        <f>SUMIFS(G1983:G3130,K1983:K3130,"0",B1983:B3130,"5 1 1 3 4 12 31111 6 M78 14000 211 00C 001 13406*")</f>
        <v>0</v>
      </c>
      <c r="H1982" s="31">
        <f t="shared" si="31"/>
        <v>28972.91</v>
      </c>
      <c r="I1982" s="31"/>
      <c r="K1982" t="s">
        <v>13</v>
      </c>
    </row>
    <row r="1983" spans="2:11" ht="22" x14ac:dyDescent="0.15">
      <c r="B1983" s="29" t="s">
        <v>2625</v>
      </c>
      <c r="C1983" s="29" t="s">
        <v>271</v>
      </c>
      <c r="D1983" s="31">
        <f>SUMIFS(D1984:D3130,K1984:K3130,"0",B1984:B3130,"5 1 1 3 4 12 31111 6 M78 14000 211 00C 001 13406 015*")-SUMIFS(E1984:E3130,K1984:K3130,"0",B1984:B3130,"5 1 1 3 4 12 31111 6 M78 14000 211 00C 001 13406 015*")</f>
        <v>0</v>
      </c>
      <c r="E1983"/>
      <c r="F1983" s="31">
        <f>SUMIFS(F1984:F3130,K1984:K3130,"0",B1984:B3130,"5 1 1 3 4 12 31111 6 M78 14000 211 00C 001 13406 015*")</f>
        <v>28972.91</v>
      </c>
      <c r="G1983" s="31">
        <f>SUMIFS(G1984:G3130,K1984:K3130,"0",B1984:B3130,"5 1 1 3 4 12 31111 6 M78 14000 211 00C 001 13406 015*")</f>
        <v>0</v>
      </c>
      <c r="H1983" s="31">
        <f t="shared" si="31"/>
        <v>28972.91</v>
      </c>
      <c r="I1983" s="31"/>
      <c r="K1983" t="s">
        <v>13</v>
      </c>
    </row>
    <row r="1984" spans="2:11" ht="22" x14ac:dyDescent="0.15">
      <c r="B1984" s="29" t="s">
        <v>2626</v>
      </c>
      <c r="C1984" s="29" t="s">
        <v>1813</v>
      </c>
      <c r="D1984" s="31">
        <f>SUMIFS(D1985:D3130,K1985:K3130,"0",B1985:B3130,"5 1 1 3 4 12 31111 6 M78 14000 211 00C 001 13406 015 2111100*")-SUMIFS(E1985:E3130,K1985:K3130,"0",B1985:B3130,"5 1 1 3 4 12 31111 6 M78 14000 211 00C 001 13406 015 2111100*")</f>
        <v>0</v>
      </c>
      <c r="E1984"/>
      <c r="F1984" s="31">
        <f>SUMIFS(F1985:F3130,K1985:K3130,"0",B1985:B3130,"5 1 1 3 4 12 31111 6 M78 14000 211 00C 001 13406 015 2111100*")</f>
        <v>28972.91</v>
      </c>
      <c r="G1984" s="31">
        <f>SUMIFS(G1985:G3130,K1985:K3130,"0",B1985:B3130,"5 1 1 3 4 12 31111 6 M78 14000 211 00C 001 13406 015 2111100*")</f>
        <v>0</v>
      </c>
      <c r="H1984" s="31">
        <f t="shared" si="31"/>
        <v>28972.91</v>
      </c>
      <c r="I1984" s="31"/>
      <c r="K1984" t="s">
        <v>13</v>
      </c>
    </row>
    <row r="1985" spans="2:11" ht="22" x14ac:dyDescent="0.15">
      <c r="B1985" s="29" t="s">
        <v>2627</v>
      </c>
      <c r="C1985" s="29" t="s">
        <v>275</v>
      </c>
      <c r="D1985" s="31">
        <f>SUMIFS(D1986:D3130,K1986:K3130,"0",B1986:B3130,"5 1 1 3 4 12 31111 6 M78 14000 211 00C 001 13406 015 2111100 2024*")-SUMIFS(E1986:E3130,K1986:K3130,"0",B1986:B3130,"5 1 1 3 4 12 31111 6 M78 14000 211 00C 001 13406 015 2111100 2024*")</f>
        <v>0</v>
      </c>
      <c r="E1985"/>
      <c r="F1985" s="31">
        <f>SUMIFS(F1986:F3130,K1986:K3130,"0",B1986:B3130,"5 1 1 3 4 12 31111 6 M78 14000 211 00C 001 13406 015 2111100 2024*")</f>
        <v>28972.91</v>
      </c>
      <c r="G1985" s="31">
        <f>SUMIFS(G1986:G3130,K1986:K3130,"0",B1986:B3130,"5 1 1 3 4 12 31111 6 M78 14000 211 00C 001 13406 015 2111100 2024*")</f>
        <v>0</v>
      </c>
      <c r="H1985" s="31">
        <f t="shared" si="31"/>
        <v>28972.91</v>
      </c>
      <c r="I1985" s="31"/>
      <c r="K1985" t="s">
        <v>13</v>
      </c>
    </row>
    <row r="1986" spans="2:11" ht="22" x14ac:dyDescent="0.15">
      <c r="B1986" s="29" t="s">
        <v>2628</v>
      </c>
      <c r="C1986" s="29" t="s">
        <v>277</v>
      </c>
      <c r="D1986" s="31">
        <f>SUMIFS(D1987:D3130,K1987:K3130,"0",B1987:B3130,"5 1 1 3 4 12 31111 6 M78 14000 211 00C 001 13406 015 2111100 2024 00000000*")-SUMIFS(E1987:E3130,K1987:K3130,"0",B1987:B3130,"5 1 1 3 4 12 31111 6 M78 14000 211 00C 001 13406 015 2111100 2024 00000000*")</f>
        <v>0</v>
      </c>
      <c r="E1986"/>
      <c r="F1986" s="31">
        <f>SUMIFS(F1987:F3130,K1987:K3130,"0",B1987:B3130,"5 1 1 3 4 12 31111 6 M78 14000 211 00C 001 13406 015 2111100 2024 00000000*")</f>
        <v>28972.91</v>
      </c>
      <c r="G1986" s="31">
        <f>SUMIFS(G1987:G3130,K1987:K3130,"0",B1987:B3130,"5 1 1 3 4 12 31111 6 M78 14000 211 00C 001 13406 015 2111100 2024 00000000*")</f>
        <v>0</v>
      </c>
      <c r="H1986" s="31">
        <f t="shared" si="31"/>
        <v>28972.91</v>
      </c>
      <c r="I1986" s="31"/>
      <c r="K1986" t="s">
        <v>13</v>
      </c>
    </row>
    <row r="1987" spans="2:11" ht="22" x14ac:dyDescent="0.15">
      <c r="B1987" s="29" t="s">
        <v>2629</v>
      </c>
      <c r="C1987" s="29" t="s">
        <v>32</v>
      </c>
      <c r="D1987" s="31">
        <f>SUMIFS(D1988:D3130,K1988:K3130,"0",B1988:B3130,"5 1 1 3 4 12 31111 6 M78 14000 211 00C 001 13406 015 2111100 2024 00000000 001*")-SUMIFS(E1988:E3130,K1988:K3130,"0",B1988:B3130,"5 1 1 3 4 12 31111 6 M78 14000 211 00C 001 13406 015 2111100 2024 00000000 001*")</f>
        <v>0</v>
      </c>
      <c r="E1987"/>
      <c r="F1987" s="31">
        <f>SUMIFS(F1988:F3130,K1988:K3130,"0",B1988:B3130,"5 1 1 3 4 12 31111 6 M78 14000 211 00C 001 13406 015 2111100 2024 00000000 001*")</f>
        <v>28972.91</v>
      </c>
      <c r="G1987" s="31">
        <f>SUMIFS(G1988:G3130,K1988:K3130,"0",B1988:B3130,"5 1 1 3 4 12 31111 6 M78 14000 211 00C 001 13406 015 2111100 2024 00000000 001*")</f>
        <v>0</v>
      </c>
      <c r="H1987" s="31">
        <f t="shared" si="31"/>
        <v>28972.91</v>
      </c>
      <c r="I1987" s="31"/>
      <c r="K1987" t="s">
        <v>13</v>
      </c>
    </row>
    <row r="1988" spans="2:11" ht="22" x14ac:dyDescent="0.15">
      <c r="B1988" s="29" t="s">
        <v>2630</v>
      </c>
      <c r="C1988" s="29" t="s">
        <v>1999</v>
      </c>
      <c r="D1988" s="31">
        <f>SUMIFS(D1989:D3130,K1989:K3130,"0",B1989:B3130,"5 1 1 3 4 12 31111 6 M78 14000 211 00C 001 13406 015 2111100 2024 00000000 001 001*")-SUMIFS(E1989:E3130,K1989:K3130,"0",B1989:B3130,"5 1 1 3 4 12 31111 6 M78 14000 211 00C 001 13406 015 2111100 2024 00000000 001 001*")</f>
        <v>0</v>
      </c>
      <c r="E1988"/>
      <c r="F1988" s="31">
        <f>SUMIFS(F1989:F3130,K1989:K3130,"0",B1989:B3130,"5 1 1 3 4 12 31111 6 M78 14000 211 00C 001 13406 015 2111100 2024 00000000 001 001*")</f>
        <v>28972.91</v>
      </c>
      <c r="G1988" s="31">
        <f>SUMIFS(G1989:G3130,K1989:K3130,"0",B1989:B3130,"5 1 1 3 4 12 31111 6 M78 14000 211 00C 001 13406 015 2111100 2024 00000000 001 001*")</f>
        <v>0</v>
      </c>
      <c r="H1988" s="31">
        <f t="shared" si="31"/>
        <v>28972.91</v>
      </c>
      <c r="I1988" s="31"/>
      <c r="K1988" t="s">
        <v>13</v>
      </c>
    </row>
    <row r="1989" spans="2:11" ht="22" x14ac:dyDescent="0.15">
      <c r="B1989" s="27" t="s">
        <v>2631</v>
      </c>
      <c r="C1989" s="27" t="s">
        <v>2426</v>
      </c>
      <c r="D1989" s="30">
        <v>0</v>
      </c>
      <c r="E1989" s="30"/>
      <c r="F1989" s="30">
        <v>28972.91</v>
      </c>
      <c r="G1989" s="30">
        <v>0</v>
      </c>
      <c r="H1989" s="30">
        <f t="shared" si="31"/>
        <v>28972.91</v>
      </c>
      <c r="I1989" s="30"/>
      <c r="K1989" t="s">
        <v>37</v>
      </c>
    </row>
    <row r="1990" spans="2:11" ht="13" x14ac:dyDescent="0.15">
      <c r="B1990" s="29" t="s">
        <v>2632</v>
      </c>
      <c r="C1990" s="29" t="s">
        <v>833</v>
      </c>
      <c r="D1990" s="31">
        <f>SUMIFS(D1991:D3130,K1991:K3130,"0",B1991:B3130,"5 1 1 3 4 12 31111 6 M78 15000*")-SUMIFS(E1991:E3130,K1991:K3130,"0",B1991:B3130,"5 1 1 3 4 12 31111 6 M78 15000*")</f>
        <v>0</v>
      </c>
      <c r="E1990"/>
      <c r="F1990" s="31">
        <f>SUMIFS(F1991:F3130,K1991:K3130,"0",B1991:B3130,"5 1 1 3 4 12 31111 6 M78 15000*")</f>
        <v>160007.19</v>
      </c>
      <c r="G1990" s="31">
        <f>SUMIFS(G1991:G3130,K1991:K3130,"0",B1991:B3130,"5 1 1 3 4 12 31111 6 M78 15000*")</f>
        <v>0</v>
      </c>
      <c r="H1990" s="31">
        <f t="shared" si="31"/>
        <v>160007.19</v>
      </c>
      <c r="I1990" s="31"/>
      <c r="K1990" t="s">
        <v>13</v>
      </c>
    </row>
    <row r="1991" spans="2:11" ht="13" x14ac:dyDescent="0.15">
      <c r="B1991" s="29" t="s">
        <v>2633</v>
      </c>
      <c r="C1991" s="29" t="s">
        <v>835</v>
      </c>
      <c r="D1991" s="31">
        <f>SUMIFS(D1992:D3130,K1992:K3130,"0",B1992:B3130,"5 1 1 3 4 12 31111 6 M78 15000 171*")-SUMIFS(E1992:E3130,K1992:K3130,"0",B1992:B3130,"5 1 1 3 4 12 31111 6 M78 15000 171*")</f>
        <v>0</v>
      </c>
      <c r="E1991"/>
      <c r="F1991" s="31">
        <f>SUMIFS(F1992:F3130,K1992:K3130,"0",B1992:B3130,"5 1 1 3 4 12 31111 6 M78 15000 171*")</f>
        <v>160007.19</v>
      </c>
      <c r="G1991" s="31">
        <f>SUMIFS(G1992:G3130,K1992:K3130,"0",B1992:B3130,"5 1 1 3 4 12 31111 6 M78 15000 171*")</f>
        <v>0</v>
      </c>
      <c r="H1991" s="31">
        <f t="shared" si="31"/>
        <v>160007.19</v>
      </c>
      <c r="I1991" s="31"/>
      <c r="K1991" t="s">
        <v>13</v>
      </c>
    </row>
    <row r="1992" spans="2:11" ht="13" x14ac:dyDescent="0.15">
      <c r="B1992" s="29" t="s">
        <v>2634</v>
      </c>
      <c r="C1992" s="29" t="s">
        <v>285</v>
      </c>
      <c r="D1992" s="31">
        <f>SUMIFS(D1993:D3130,K1993:K3130,"0",B1993:B3130,"5 1 1 3 4 12 31111 6 M78 15000 171 00I*")-SUMIFS(E1993:E3130,K1993:K3130,"0",B1993:B3130,"5 1 1 3 4 12 31111 6 M78 15000 171 00I*")</f>
        <v>0</v>
      </c>
      <c r="E1992"/>
      <c r="F1992" s="31">
        <f>SUMIFS(F1993:F3130,K1993:K3130,"0",B1993:B3130,"5 1 1 3 4 12 31111 6 M78 15000 171 00I*")</f>
        <v>160007.19</v>
      </c>
      <c r="G1992" s="31">
        <f>SUMIFS(G1993:G3130,K1993:K3130,"0",B1993:B3130,"5 1 1 3 4 12 31111 6 M78 15000 171 00I*")</f>
        <v>0</v>
      </c>
      <c r="H1992" s="31">
        <f t="shared" si="31"/>
        <v>160007.19</v>
      </c>
      <c r="I1992" s="31"/>
      <c r="K1992" t="s">
        <v>13</v>
      </c>
    </row>
    <row r="1993" spans="2:11" ht="13" x14ac:dyDescent="0.15">
      <c r="B1993" s="29" t="s">
        <v>2635</v>
      </c>
      <c r="C1993" s="29" t="s">
        <v>32</v>
      </c>
      <c r="D1993" s="31">
        <f>SUMIFS(D1994:D3130,K1994:K3130,"0",B1994:B3130,"5 1 1 3 4 12 31111 6 M78 15000 171 00I 001*")-SUMIFS(E1994:E3130,K1994:K3130,"0",B1994:B3130,"5 1 1 3 4 12 31111 6 M78 15000 171 00I 001*")</f>
        <v>0</v>
      </c>
      <c r="E1993"/>
      <c r="F1993" s="31">
        <f>SUMIFS(F1994:F3130,K1994:K3130,"0",B1994:B3130,"5 1 1 3 4 12 31111 6 M78 15000 171 00I 001*")</f>
        <v>160007.19</v>
      </c>
      <c r="G1993" s="31">
        <f>SUMIFS(G1994:G3130,K1994:K3130,"0",B1994:B3130,"5 1 1 3 4 12 31111 6 M78 15000 171 00I 001*")</f>
        <v>0</v>
      </c>
      <c r="H1993" s="31">
        <f t="shared" si="31"/>
        <v>160007.19</v>
      </c>
      <c r="I1993" s="31"/>
      <c r="K1993" t="s">
        <v>13</v>
      </c>
    </row>
    <row r="1994" spans="2:11" ht="13" x14ac:dyDescent="0.15">
      <c r="B1994" s="29" t="s">
        <v>2636</v>
      </c>
      <c r="C1994" s="29" t="s">
        <v>2418</v>
      </c>
      <c r="D1994" s="31">
        <f>SUMIFS(D1995:D3130,K1995:K3130,"0",B1995:B3130,"5 1 1 3 4 12 31111 6 M78 15000 171 00I 001 13406*")-SUMIFS(E1995:E3130,K1995:K3130,"0",B1995:B3130,"5 1 1 3 4 12 31111 6 M78 15000 171 00I 001 13406*")</f>
        <v>0</v>
      </c>
      <c r="E1994"/>
      <c r="F1994" s="31">
        <f>SUMIFS(F1995:F3130,K1995:K3130,"0",B1995:B3130,"5 1 1 3 4 12 31111 6 M78 15000 171 00I 001 13406*")</f>
        <v>160007.19</v>
      </c>
      <c r="G1994" s="31">
        <f>SUMIFS(G1995:G3130,K1995:K3130,"0",B1995:B3130,"5 1 1 3 4 12 31111 6 M78 15000 171 00I 001 13406*")</f>
        <v>0</v>
      </c>
      <c r="H1994" s="31">
        <f t="shared" si="31"/>
        <v>160007.19</v>
      </c>
      <c r="I1994" s="31"/>
      <c r="K1994" t="s">
        <v>13</v>
      </c>
    </row>
    <row r="1995" spans="2:11" ht="22" x14ac:dyDescent="0.15">
      <c r="B1995" s="29" t="s">
        <v>2637</v>
      </c>
      <c r="C1995" s="29" t="s">
        <v>290</v>
      </c>
      <c r="D1995" s="31">
        <f>SUMIFS(D1996:D3130,K1996:K3130,"0",B1996:B3130,"5 1 1 3 4 12 31111 6 M78 15000 171 00I 001 13406 025*")-SUMIFS(E1996:E3130,K1996:K3130,"0",B1996:B3130,"5 1 1 3 4 12 31111 6 M78 15000 171 00I 001 13406 025*")</f>
        <v>0</v>
      </c>
      <c r="E1995"/>
      <c r="F1995" s="31">
        <f>SUMIFS(F1996:F3130,K1996:K3130,"0",B1996:B3130,"5 1 1 3 4 12 31111 6 M78 15000 171 00I 001 13406 025*")</f>
        <v>160007.19</v>
      </c>
      <c r="G1995" s="31">
        <f>SUMIFS(G1996:G3130,K1996:K3130,"0",B1996:B3130,"5 1 1 3 4 12 31111 6 M78 15000 171 00I 001 13406 025*")</f>
        <v>0</v>
      </c>
      <c r="H1995" s="31">
        <f t="shared" ref="H1995:H2058" si="32">D1995 + F1995 - G1995</f>
        <v>160007.19</v>
      </c>
      <c r="I1995" s="31"/>
      <c r="K1995" t="s">
        <v>13</v>
      </c>
    </row>
    <row r="1996" spans="2:11" ht="22" x14ac:dyDescent="0.15">
      <c r="B1996" s="29" t="s">
        <v>2638</v>
      </c>
      <c r="C1996" s="29" t="s">
        <v>1813</v>
      </c>
      <c r="D1996" s="31">
        <f>SUMIFS(D1997:D3130,K1997:K3130,"0",B1997:B3130,"5 1 1 3 4 12 31111 6 M78 15000 171 00I 001 13406 025 2111100*")-SUMIFS(E1997:E3130,K1997:K3130,"0",B1997:B3130,"5 1 1 3 4 12 31111 6 M78 15000 171 00I 001 13406 025 2111100*")</f>
        <v>0</v>
      </c>
      <c r="E1996"/>
      <c r="F1996" s="31">
        <f>SUMIFS(F1997:F3130,K1997:K3130,"0",B1997:B3130,"5 1 1 3 4 12 31111 6 M78 15000 171 00I 001 13406 025 2111100*")</f>
        <v>160007.19</v>
      </c>
      <c r="G1996" s="31">
        <f>SUMIFS(G1997:G3130,K1997:K3130,"0",B1997:B3130,"5 1 1 3 4 12 31111 6 M78 15000 171 00I 001 13406 025 2111100*")</f>
        <v>0</v>
      </c>
      <c r="H1996" s="31">
        <f t="shared" si="32"/>
        <v>160007.19</v>
      </c>
      <c r="I1996" s="31"/>
      <c r="K1996" t="s">
        <v>13</v>
      </c>
    </row>
    <row r="1997" spans="2:11" ht="22" x14ac:dyDescent="0.15">
      <c r="B1997" s="29" t="s">
        <v>2639</v>
      </c>
      <c r="C1997" s="29" t="s">
        <v>275</v>
      </c>
      <c r="D1997" s="31">
        <f>SUMIFS(D1998:D3130,K1998:K3130,"0",B1998:B3130,"5 1 1 3 4 12 31111 6 M78 15000 171 00I 001 13406 025 2111100 2024*")-SUMIFS(E1998:E3130,K1998:K3130,"0",B1998:B3130,"5 1 1 3 4 12 31111 6 M78 15000 171 00I 001 13406 025 2111100 2024*")</f>
        <v>0</v>
      </c>
      <c r="E1997"/>
      <c r="F1997" s="31">
        <f>SUMIFS(F1998:F3130,K1998:K3130,"0",B1998:B3130,"5 1 1 3 4 12 31111 6 M78 15000 171 00I 001 13406 025 2111100 2024*")</f>
        <v>160007.19</v>
      </c>
      <c r="G1997" s="31">
        <f>SUMIFS(G1998:G3130,K1998:K3130,"0",B1998:B3130,"5 1 1 3 4 12 31111 6 M78 15000 171 00I 001 13406 025 2111100 2024*")</f>
        <v>0</v>
      </c>
      <c r="H1997" s="31">
        <f t="shared" si="32"/>
        <v>160007.19</v>
      </c>
      <c r="I1997" s="31"/>
      <c r="K1997" t="s">
        <v>13</v>
      </c>
    </row>
    <row r="1998" spans="2:11" ht="22" x14ac:dyDescent="0.15">
      <c r="B1998" s="29" t="s">
        <v>2640</v>
      </c>
      <c r="C1998" s="29" t="s">
        <v>277</v>
      </c>
      <c r="D1998" s="31">
        <f>SUMIFS(D1999:D3130,K1999:K3130,"0",B1999:B3130,"5 1 1 3 4 12 31111 6 M78 15000 171 00I 001 13406 025 2111100 2024 00000000*")-SUMIFS(E1999:E3130,K1999:K3130,"0",B1999:B3130,"5 1 1 3 4 12 31111 6 M78 15000 171 00I 001 13406 025 2111100 2024 00000000*")</f>
        <v>0</v>
      </c>
      <c r="E1998"/>
      <c r="F1998" s="31">
        <f>SUMIFS(F1999:F3130,K1999:K3130,"0",B1999:B3130,"5 1 1 3 4 12 31111 6 M78 15000 171 00I 001 13406 025 2111100 2024 00000000*")</f>
        <v>160007.19</v>
      </c>
      <c r="G1998" s="31">
        <f>SUMIFS(G1999:G3130,K1999:K3130,"0",B1999:B3130,"5 1 1 3 4 12 31111 6 M78 15000 171 00I 001 13406 025 2111100 2024 00000000*")</f>
        <v>0</v>
      </c>
      <c r="H1998" s="31">
        <f t="shared" si="32"/>
        <v>160007.19</v>
      </c>
      <c r="I1998" s="31"/>
      <c r="K1998" t="s">
        <v>13</v>
      </c>
    </row>
    <row r="1999" spans="2:11" ht="22" x14ac:dyDescent="0.15">
      <c r="B1999" s="29" t="s">
        <v>2641</v>
      </c>
      <c r="C1999" s="29" t="s">
        <v>581</v>
      </c>
      <c r="D1999" s="31">
        <f>SUMIFS(D2000:D3130,K2000:K3130,"0",B2000:B3130,"5 1 1 3 4 12 31111 6 M78 15000 171 00I 001 13406 025 2111100 2024 00000000 003*")-SUMIFS(E2000:E3130,K2000:K3130,"0",B2000:B3130,"5 1 1 3 4 12 31111 6 M78 15000 171 00I 001 13406 025 2111100 2024 00000000 003*")</f>
        <v>0</v>
      </c>
      <c r="E1999"/>
      <c r="F1999" s="31">
        <f>SUMIFS(F2000:F3130,K2000:K3130,"0",B2000:B3130,"5 1 1 3 4 12 31111 6 M78 15000 171 00I 001 13406 025 2111100 2024 00000000 003*")</f>
        <v>160007.19</v>
      </c>
      <c r="G1999" s="31">
        <f>SUMIFS(G2000:G3130,K2000:K3130,"0",B2000:B3130,"5 1 1 3 4 12 31111 6 M78 15000 171 00I 001 13406 025 2111100 2024 00000000 003*")</f>
        <v>0</v>
      </c>
      <c r="H1999" s="31">
        <f t="shared" si="32"/>
        <v>160007.19</v>
      </c>
      <c r="I1999" s="31"/>
      <c r="K1999" t="s">
        <v>13</v>
      </c>
    </row>
    <row r="2000" spans="2:11" ht="22" x14ac:dyDescent="0.15">
      <c r="B2000" s="29" t="s">
        <v>2642</v>
      </c>
      <c r="C2000" s="29" t="s">
        <v>2012</v>
      </c>
      <c r="D2000" s="31">
        <f>SUMIFS(D2001:D3130,K2001:K3130,"0",B2001:B3130,"5 1 1 3 4 12 31111 6 M78 15000 171 00I 001 13406 025 2111100 2024 00000000 003 001*")-SUMIFS(E2001:E3130,K2001:K3130,"0",B2001:B3130,"5 1 1 3 4 12 31111 6 M78 15000 171 00I 001 13406 025 2111100 2024 00000000 003 001*")</f>
        <v>0</v>
      </c>
      <c r="E2000"/>
      <c r="F2000" s="31">
        <f>SUMIFS(F2001:F3130,K2001:K3130,"0",B2001:B3130,"5 1 1 3 4 12 31111 6 M78 15000 171 00I 001 13406 025 2111100 2024 00000000 003 001*")</f>
        <v>160007.19</v>
      </c>
      <c r="G2000" s="31">
        <f>SUMIFS(G2001:G3130,K2001:K3130,"0",B2001:B3130,"5 1 1 3 4 12 31111 6 M78 15000 171 00I 001 13406 025 2111100 2024 00000000 003 001*")</f>
        <v>0</v>
      </c>
      <c r="H2000" s="31">
        <f t="shared" si="32"/>
        <v>160007.19</v>
      </c>
      <c r="I2000" s="31"/>
      <c r="K2000" t="s">
        <v>13</v>
      </c>
    </row>
    <row r="2001" spans="2:11" ht="22" x14ac:dyDescent="0.15">
      <c r="B2001" s="27" t="s">
        <v>2643</v>
      </c>
      <c r="C2001" s="27" t="s">
        <v>2426</v>
      </c>
      <c r="D2001" s="30">
        <v>0</v>
      </c>
      <c r="E2001" s="30"/>
      <c r="F2001" s="30">
        <v>160007.19</v>
      </c>
      <c r="G2001" s="30">
        <v>0</v>
      </c>
      <c r="H2001" s="30">
        <f t="shared" si="32"/>
        <v>160007.19</v>
      </c>
      <c r="I2001" s="30"/>
      <c r="K2001" t="s">
        <v>37</v>
      </c>
    </row>
    <row r="2002" spans="2:11" ht="13" x14ac:dyDescent="0.15">
      <c r="B2002" s="29" t="s">
        <v>2644</v>
      </c>
      <c r="C2002" s="29" t="s">
        <v>2015</v>
      </c>
      <c r="D2002" s="31">
        <f>SUMIFS(D2003:D3130,K2003:K3130,"0",B2003:B3130,"5 1 1 3 4 12 31111 6 M78 16000*")-SUMIFS(E2003:E3130,K2003:K3130,"0",B2003:B3130,"5 1 1 3 4 12 31111 6 M78 16000*")</f>
        <v>0</v>
      </c>
      <c r="E2002"/>
      <c r="F2002" s="31">
        <f>SUMIFS(F2003:F3130,K2003:K3130,"0",B2003:B3130,"5 1 1 3 4 12 31111 6 M78 16000*")</f>
        <v>38654.54</v>
      </c>
      <c r="G2002" s="31">
        <f>SUMIFS(G2003:G3130,K2003:K3130,"0",B2003:B3130,"5 1 1 3 4 12 31111 6 M78 16000*")</f>
        <v>0</v>
      </c>
      <c r="H2002" s="31">
        <f t="shared" si="32"/>
        <v>38654.54</v>
      </c>
      <c r="I2002" s="31"/>
      <c r="K2002" t="s">
        <v>13</v>
      </c>
    </row>
    <row r="2003" spans="2:11" ht="13" x14ac:dyDescent="0.15">
      <c r="B2003" s="29" t="s">
        <v>2645</v>
      </c>
      <c r="C2003" s="29" t="s">
        <v>2017</v>
      </c>
      <c r="D2003" s="31">
        <f>SUMIFS(D2004:D3130,K2004:K3130,"0",B2004:B3130,"5 1 1 3 4 12 31111 6 M78 16000 173*")-SUMIFS(E2004:E3130,K2004:K3130,"0",B2004:B3130,"5 1 1 3 4 12 31111 6 M78 16000 173*")</f>
        <v>0</v>
      </c>
      <c r="E2003"/>
      <c r="F2003" s="31">
        <f>SUMIFS(F2004:F3130,K2004:K3130,"0",B2004:B3130,"5 1 1 3 4 12 31111 6 M78 16000 173*")</f>
        <v>38654.54</v>
      </c>
      <c r="G2003" s="31">
        <f>SUMIFS(G2004:G3130,K2004:K3130,"0",B2004:B3130,"5 1 1 3 4 12 31111 6 M78 16000 173*")</f>
        <v>0</v>
      </c>
      <c r="H2003" s="31">
        <f t="shared" si="32"/>
        <v>38654.54</v>
      </c>
      <c r="I2003" s="31"/>
      <c r="K2003" t="s">
        <v>13</v>
      </c>
    </row>
    <row r="2004" spans="2:11" ht="13" x14ac:dyDescent="0.15">
      <c r="B2004" s="29" t="s">
        <v>2646</v>
      </c>
      <c r="C2004" s="29" t="s">
        <v>285</v>
      </c>
      <c r="D2004" s="31">
        <f>SUMIFS(D2005:D3130,K2005:K3130,"0",B2005:B3130,"5 1 1 3 4 12 31111 6 M78 16000 173 00I*")-SUMIFS(E2005:E3130,K2005:K3130,"0",B2005:B3130,"5 1 1 3 4 12 31111 6 M78 16000 173 00I*")</f>
        <v>0</v>
      </c>
      <c r="E2004"/>
      <c r="F2004" s="31">
        <f>SUMIFS(F2005:F3130,K2005:K3130,"0",B2005:B3130,"5 1 1 3 4 12 31111 6 M78 16000 173 00I*")</f>
        <v>38654.54</v>
      </c>
      <c r="G2004" s="31">
        <f>SUMIFS(G2005:G3130,K2005:K3130,"0",B2005:B3130,"5 1 1 3 4 12 31111 6 M78 16000 173 00I*")</f>
        <v>0</v>
      </c>
      <c r="H2004" s="31">
        <f t="shared" si="32"/>
        <v>38654.54</v>
      </c>
      <c r="I2004" s="31"/>
      <c r="K2004" t="s">
        <v>13</v>
      </c>
    </row>
    <row r="2005" spans="2:11" ht="13" x14ac:dyDescent="0.15">
      <c r="B2005" s="29" t="s">
        <v>2647</v>
      </c>
      <c r="C2005" s="29" t="s">
        <v>32</v>
      </c>
      <c r="D2005" s="31">
        <f>SUMIFS(D2006:D3130,K2006:K3130,"0",B2006:B3130,"5 1 1 3 4 12 31111 6 M78 16000 173 00I 001*")-SUMIFS(E2006:E3130,K2006:K3130,"0",B2006:B3130,"5 1 1 3 4 12 31111 6 M78 16000 173 00I 001*")</f>
        <v>0</v>
      </c>
      <c r="E2005"/>
      <c r="F2005" s="31">
        <f>SUMIFS(F2006:F3130,K2006:K3130,"0",B2006:B3130,"5 1 1 3 4 12 31111 6 M78 16000 173 00I 001*")</f>
        <v>38654.54</v>
      </c>
      <c r="G2005" s="31">
        <f>SUMIFS(G2006:G3130,K2006:K3130,"0",B2006:B3130,"5 1 1 3 4 12 31111 6 M78 16000 173 00I 001*")</f>
        <v>0</v>
      </c>
      <c r="H2005" s="31">
        <f t="shared" si="32"/>
        <v>38654.54</v>
      </c>
      <c r="I2005" s="31"/>
      <c r="K2005" t="s">
        <v>13</v>
      </c>
    </row>
    <row r="2006" spans="2:11" ht="13" x14ac:dyDescent="0.15">
      <c r="B2006" s="29" t="s">
        <v>2648</v>
      </c>
      <c r="C2006" s="29" t="s">
        <v>2418</v>
      </c>
      <c r="D2006" s="31">
        <f>SUMIFS(D2007:D3130,K2007:K3130,"0",B2007:B3130,"5 1 1 3 4 12 31111 6 M78 16000 173 00I 001 13406*")-SUMIFS(E2007:E3130,K2007:K3130,"0",B2007:B3130,"5 1 1 3 4 12 31111 6 M78 16000 173 00I 001 13406*")</f>
        <v>0</v>
      </c>
      <c r="E2006"/>
      <c r="F2006" s="31">
        <f>SUMIFS(F2007:F3130,K2007:K3130,"0",B2007:B3130,"5 1 1 3 4 12 31111 6 M78 16000 173 00I 001 13406*")</f>
        <v>38654.54</v>
      </c>
      <c r="G2006" s="31">
        <f>SUMIFS(G2007:G3130,K2007:K3130,"0",B2007:B3130,"5 1 1 3 4 12 31111 6 M78 16000 173 00I 001 13406*")</f>
        <v>0</v>
      </c>
      <c r="H2006" s="31">
        <f t="shared" si="32"/>
        <v>38654.54</v>
      </c>
      <c r="I2006" s="31"/>
      <c r="K2006" t="s">
        <v>13</v>
      </c>
    </row>
    <row r="2007" spans="2:11" ht="22" x14ac:dyDescent="0.15">
      <c r="B2007" s="29" t="s">
        <v>2649</v>
      </c>
      <c r="C2007" s="29" t="s">
        <v>290</v>
      </c>
      <c r="D2007" s="31">
        <f>SUMIFS(D2008:D3130,K2008:K3130,"0",B2008:B3130,"5 1 1 3 4 12 31111 6 M78 16000 173 00I 001 13406 025*")-SUMIFS(E2008:E3130,K2008:K3130,"0",B2008:B3130,"5 1 1 3 4 12 31111 6 M78 16000 173 00I 001 13406 025*")</f>
        <v>0</v>
      </c>
      <c r="E2007"/>
      <c r="F2007" s="31">
        <f>SUMIFS(F2008:F3130,K2008:K3130,"0",B2008:B3130,"5 1 1 3 4 12 31111 6 M78 16000 173 00I 001 13406 025*")</f>
        <v>38654.54</v>
      </c>
      <c r="G2007" s="31">
        <f>SUMIFS(G2008:G3130,K2008:K3130,"0",B2008:B3130,"5 1 1 3 4 12 31111 6 M78 16000 173 00I 001 13406 025*")</f>
        <v>0</v>
      </c>
      <c r="H2007" s="31">
        <f t="shared" si="32"/>
        <v>38654.54</v>
      </c>
      <c r="I2007" s="31"/>
      <c r="K2007" t="s">
        <v>13</v>
      </c>
    </row>
    <row r="2008" spans="2:11" ht="22" x14ac:dyDescent="0.15">
      <c r="B2008" s="29" t="s">
        <v>2650</v>
      </c>
      <c r="C2008" s="29" t="s">
        <v>1813</v>
      </c>
      <c r="D2008" s="31">
        <f>SUMIFS(D2009:D3130,K2009:K3130,"0",B2009:B3130,"5 1 1 3 4 12 31111 6 M78 16000 173 00I 001 13406 025 2111100*")-SUMIFS(E2009:E3130,K2009:K3130,"0",B2009:B3130,"5 1 1 3 4 12 31111 6 M78 16000 173 00I 001 13406 025 2111100*")</f>
        <v>0</v>
      </c>
      <c r="E2008"/>
      <c r="F2008" s="31">
        <f>SUMIFS(F2009:F3130,K2009:K3130,"0",B2009:B3130,"5 1 1 3 4 12 31111 6 M78 16000 173 00I 001 13406 025 2111100*")</f>
        <v>38654.54</v>
      </c>
      <c r="G2008" s="31">
        <f>SUMIFS(G2009:G3130,K2009:K3130,"0",B2009:B3130,"5 1 1 3 4 12 31111 6 M78 16000 173 00I 001 13406 025 2111100*")</f>
        <v>0</v>
      </c>
      <c r="H2008" s="31">
        <f t="shared" si="32"/>
        <v>38654.54</v>
      </c>
      <c r="I2008" s="31"/>
      <c r="K2008" t="s">
        <v>13</v>
      </c>
    </row>
    <row r="2009" spans="2:11" ht="22" x14ac:dyDescent="0.15">
      <c r="B2009" s="29" t="s">
        <v>2651</v>
      </c>
      <c r="C2009" s="29" t="s">
        <v>275</v>
      </c>
      <c r="D2009" s="31">
        <f>SUMIFS(D2010:D3130,K2010:K3130,"0",B2010:B3130,"5 1 1 3 4 12 31111 6 M78 16000 173 00I 001 13406 025 2111100 2024*")-SUMIFS(E2010:E3130,K2010:K3130,"0",B2010:B3130,"5 1 1 3 4 12 31111 6 M78 16000 173 00I 001 13406 025 2111100 2024*")</f>
        <v>0</v>
      </c>
      <c r="E2009"/>
      <c r="F2009" s="31">
        <f>SUMIFS(F2010:F3130,K2010:K3130,"0",B2010:B3130,"5 1 1 3 4 12 31111 6 M78 16000 173 00I 001 13406 025 2111100 2024*")</f>
        <v>38654.54</v>
      </c>
      <c r="G2009" s="31">
        <f>SUMIFS(G2010:G3130,K2010:K3130,"0",B2010:B3130,"5 1 1 3 4 12 31111 6 M78 16000 173 00I 001 13406 025 2111100 2024*")</f>
        <v>0</v>
      </c>
      <c r="H2009" s="31">
        <f t="shared" si="32"/>
        <v>38654.54</v>
      </c>
      <c r="I2009" s="31"/>
      <c r="K2009" t="s">
        <v>13</v>
      </c>
    </row>
    <row r="2010" spans="2:11" ht="22" x14ac:dyDescent="0.15">
      <c r="B2010" s="29" t="s">
        <v>2652</v>
      </c>
      <c r="C2010" s="29" t="s">
        <v>277</v>
      </c>
      <c r="D2010" s="31">
        <f>SUMIFS(D2011:D3130,K2011:K3130,"0",B2011:B3130,"5 1 1 3 4 12 31111 6 M78 16000 173 00I 001 13406 025 2111100 2024 00000000*")-SUMIFS(E2011:E3130,K2011:K3130,"0",B2011:B3130,"5 1 1 3 4 12 31111 6 M78 16000 173 00I 001 13406 025 2111100 2024 00000000*")</f>
        <v>0</v>
      </c>
      <c r="E2010"/>
      <c r="F2010" s="31">
        <f>SUMIFS(F2011:F3130,K2011:K3130,"0",B2011:B3130,"5 1 1 3 4 12 31111 6 M78 16000 173 00I 001 13406 025 2111100 2024 00000000*")</f>
        <v>38654.54</v>
      </c>
      <c r="G2010" s="31">
        <f>SUMIFS(G2011:G3130,K2011:K3130,"0",B2011:B3130,"5 1 1 3 4 12 31111 6 M78 16000 173 00I 001 13406 025 2111100 2024 00000000*")</f>
        <v>0</v>
      </c>
      <c r="H2010" s="31">
        <f t="shared" si="32"/>
        <v>38654.54</v>
      </c>
      <c r="I2010" s="31"/>
      <c r="K2010" t="s">
        <v>13</v>
      </c>
    </row>
    <row r="2011" spans="2:11" ht="22" x14ac:dyDescent="0.15">
      <c r="B2011" s="29" t="s">
        <v>2653</v>
      </c>
      <c r="C2011" s="29" t="s">
        <v>581</v>
      </c>
      <c r="D2011" s="31">
        <f>SUMIFS(D2012:D3130,K2012:K3130,"0",B2012:B3130,"5 1 1 3 4 12 31111 6 M78 16000 173 00I 001 13406 025 2111100 2024 00000000 003*")-SUMIFS(E2012:E3130,K2012:K3130,"0",B2012:B3130,"5 1 1 3 4 12 31111 6 M78 16000 173 00I 001 13406 025 2111100 2024 00000000 003*")</f>
        <v>0</v>
      </c>
      <c r="E2011"/>
      <c r="F2011" s="31">
        <f>SUMIFS(F2012:F3130,K2012:K3130,"0",B2012:B3130,"5 1 1 3 4 12 31111 6 M78 16000 173 00I 001 13406 025 2111100 2024 00000000 003*")</f>
        <v>38654.54</v>
      </c>
      <c r="G2011" s="31">
        <f>SUMIFS(G2012:G3130,K2012:K3130,"0",B2012:B3130,"5 1 1 3 4 12 31111 6 M78 16000 173 00I 001 13406 025 2111100 2024 00000000 003*")</f>
        <v>0</v>
      </c>
      <c r="H2011" s="31">
        <f t="shared" si="32"/>
        <v>38654.54</v>
      </c>
      <c r="I2011" s="31"/>
      <c r="K2011" t="s">
        <v>13</v>
      </c>
    </row>
    <row r="2012" spans="2:11" ht="22" x14ac:dyDescent="0.15">
      <c r="B2012" s="29" t="s">
        <v>2654</v>
      </c>
      <c r="C2012" s="29" t="s">
        <v>2027</v>
      </c>
      <c r="D2012" s="31">
        <f>SUMIFS(D2013:D3130,K2013:K3130,"0",B2013:B3130,"5 1 1 3 4 12 31111 6 M78 16000 173 00I 001 13406 025 2111100 2024 00000000 003 001*")-SUMIFS(E2013:E3130,K2013:K3130,"0",B2013:B3130,"5 1 1 3 4 12 31111 6 M78 16000 173 00I 001 13406 025 2111100 2024 00000000 003 001*")</f>
        <v>0</v>
      </c>
      <c r="E2012"/>
      <c r="F2012" s="31">
        <f>SUMIFS(F2013:F3130,K2013:K3130,"0",B2013:B3130,"5 1 1 3 4 12 31111 6 M78 16000 173 00I 001 13406 025 2111100 2024 00000000 003 001*")</f>
        <v>38654.54</v>
      </c>
      <c r="G2012" s="31">
        <f>SUMIFS(G2013:G3130,K2013:K3130,"0",B2013:B3130,"5 1 1 3 4 12 31111 6 M78 16000 173 00I 001 13406 025 2111100 2024 00000000 003 001*")</f>
        <v>0</v>
      </c>
      <c r="H2012" s="31">
        <f t="shared" si="32"/>
        <v>38654.54</v>
      </c>
      <c r="I2012" s="31"/>
      <c r="K2012" t="s">
        <v>13</v>
      </c>
    </row>
    <row r="2013" spans="2:11" ht="22" x14ac:dyDescent="0.15">
      <c r="B2013" s="27" t="s">
        <v>2655</v>
      </c>
      <c r="C2013" s="27" t="s">
        <v>2426</v>
      </c>
      <c r="D2013" s="30">
        <v>0</v>
      </c>
      <c r="E2013" s="30"/>
      <c r="F2013" s="30">
        <v>38654.54</v>
      </c>
      <c r="G2013" s="30">
        <v>0</v>
      </c>
      <c r="H2013" s="30">
        <f t="shared" si="32"/>
        <v>38654.54</v>
      </c>
      <c r="I2013" s="30"/>
      <c r="K2013" t="s">
        <v>37</v>
      </c>
    </row>
    <row r="2014" spans="2:11" ht="13" x14ac:dyDescent="0.15">
      <c r="B2014" s="29" t="s">
        <v>2656</v>
      </c>
      <c r="C2014" s="29" t="s">
        <v>2030</v>
      </c>
      <c r="D2014" s="31">
        <f>SUMIFS(D2015:D3130,K2015:K3130,"0",B2015:B3130,"5 1 1 3 4 12 31111 6 M78 17000*")-SUMIFS(E2015:E3130,K2015:K3130,"0",B2015:B3130,"5 1 1 3 4 12 31111 6 M78 17000*")</f>
        <v>0</v>
      </c>
      <c r="E2014"/>
      <c r="F2014" s="31">
        <f>SUMIFS(F2015:F3130,K2015:K3130,"0",B2015:B3130,"5 1 1 3 4 12 31111 6 M78 17000*")</f>
        <v>90801.21</v>
      </c>
      <c r="G2014" s="31">
        <f>SUMIFS(G2015:G3130,K2015:K3130,"0",B2015:B3130,"5 1 1 3 4 12 31111 6 M78 17000*")</f>
        <v>0</v>
      </c>
      <c r="H2014" s="31">
        <f t="shared" si="32"/>
        <v>90801.21</v>
      </c>
      <c r="I2014" s="31"/>
      <c r="K2014" t="s">
        <v>13</v>
      </c>
    </row>
    <row r="2015" spans="2:11" ht="13" x14ac:dyDescent="0.15">
      <c r="B2015" s="29" t="s">
        <v>2657</v>
      </c>
      <c r="C2015" s="29" t="s">
        <v>2032</v>
      </c>
      <c r="D2015" s="31">
        <f>SUMIFS(D2016:D3130,K2016:K3130,"0",B2016:B3130,"5 1 1 3 4 12 31111 6 M78 17000 172*")-SUMIFS(E2016:E3130,K2016:K3130,"0",B2016:B3130,"5 1 1 3 4 12 31111 6 M78 17000 172*")</f>
        <v>0</v>
      </c>
      <c r="E2015"/>
      <c r="F2015" s="31">
        <f>SUMIFS(F2016:F3130,K2016:K3130,"0",B2016:B3130,"5 1 1 3 4 12 31111 6 M78 17000 172*")</f>
        <v>90801.21</v>
      </c>
      <c r="G2015" s="31">
        <f>SUMIFS(G2016:G3130,K2016:K3130,"0",B2016:B3130,"5 1 1 3 4 12 31111 6 M78 17000 172*")</f>
        <v>0</v>
      </c>
      <c r="H2015" s="31">
        <f t="shared" si="32"/>
        <v>90801.21</v>
      </c>
      <c r="I2015" s="31"/>
      <c r="K2015" t="s">
        <v>13</v>
      </c>
    </row>
    <row r="2016" spans="2:11" ht="13" x14ac:dyDescent="0.15">
      <c r="B2016" s="29" t="s">
        <v>2658</v>
      </c>
      <c r="C2016" s="29" t="s">
        <v>285</v>
      </c>
      <c r="D2016" s="31">
        <f>SUMIFS(D2017:D3130,K2017:K3130,"0",B2017:B3130,"5 1 1 3 4 12 31111 6 M78 17000 172 00I*")-SUMIFS(E2017:E3130,K2017:K3130,"0",B2017:B3130,"5 1 1 3 4 12 31111 6 M78 17000 172 00I*")</f>
        <v>0</v>
      </c>
      <c r="E2016"/>
      <c r="F2016" s="31">
        <f>SUMIFS(F2017:F3130,K2017:K3130,"0",B2017:B3130,"5 1 1 3 4 12 31111 6 M78 17000 172 00I*")</f>
        <v>90801.21</v>
      </c>
      <c r="G2016" s="31">
        <f>SUMIFS(G2017:G3130,K2017:K3130,"0",B2017:B3130,"5 1 1 3 4 12 31111 6 M78 17000 172 00I*")</f>
        <v>0</v>
      </c>
      <c r="H2016" s="31">
        <f t="shared" si="32"/>
        <v>90801.21</v>
      </c>
      <c r="I2016" s="31"/>
      <c r="K2016" t="s">
        <v>13</v>
      </c>
    </row>
    <row r="2017" spans="2:11" ht="13" x14ac:dyDescent="0.15">
      <c r="B2017" s="29" t="s">
        <v>2659</v>
      </c>
      <c r="C2017" s="29" t="s">
        <v>32</v>
      </c>
      <c r="D2017" s="31">
        <f>SUMIFS(D2018:D3130,K2018:K3130,"0",B2018:B3130,"5 1 1 3 4 12 31111 6 M78 17000 172 00I 001*")-SUMIFS(E2018:E3130,K2018:K3130,"0",B2018:B3130,"5 1 1 3 4 12 31111 6 M78 17000 172 00I 001*")</f>
        <v>0</v>
      </c>
      <c r="E2017"/>
      <c r="F2017" s="31">
        <f>SUMIFS(F2018:F3130,K2018:K3130,"0",B2018:B3130,"5 1 1 3 4 12 31111 6 M78 17000 172 00I 001*")</f>
        <v>90801.21</v>
      </c>
      <c r="G2017" s="31">
        <f>SUMIFS(G2018:G3130,K2018:K3130,"0",B2018:B3130,"5 1 1 3 4 12 31111 6 M78 17000 172 00I 001*")</f>
        <v>0</v>
      </c>
      <c r="H2017" s="31">
        <f t="shared" si="32"/>
        <v>90801.21</v>
      </c>
      <c r="I2017" s="31"/>
      <c r="K2017" t="s">
        <v>13</v>
      </c>
    </row>
    <row r="2018" spans="2:11" ht="13" x14ac:dyDescent="0.15">
      <c r="B2018" s="29" t="s">
        <v>2660</v>
      </c>
      <c r="C2018" s="29" t="s">
        <v>2408</v>
      </c>
      <c r="D2018" s="31">
        <f>SUMIFS(D2019:D3130,K2019:K3130,"0",B2019:B3130,"5 1 1 3 4 12 31111 6 M78 17000 172 00I 001 13403*")-SUMIFS(E2019:E3130,K2019:K3130,"0",B2019:B3130,"5 1 1 3 4 12 31111 6 M78 17000 172 00I 001 13403*")</f>
        <v>0</v>
      </c>
      <c r="E2018"/>
      <c r="F2018" s="31">
        <f>SUMIFS(F2019:F3130,K2019:K3130,"0",B2019:B3130,"5 1 1 3 4 12 31111 6 M78 17000 172 00I 001 13403*")</f>
        <v>8832.86</v>
      </c>
      <c r="G2018" s="31">
        <f>SUMIFS(G2019:G3130,K2019:K3130,"0",B2019:B3130,"5 1 1 3 4 12 31111 6 M78 17000 172 00I 001 13403*")</f>
        <v>0</v>
      </c>
      <c r="H2018" s="31">
        <f t="shared" si="32"/>
        <v>8832.86</v>
      </c>
      <c r="I2018" s="31"/>
      <c r="K2018" t="s">
        <v>13</v>
      </c>
    </row>
    <row r="2019" spans="2:11" ht="22" x14ac:dyDescent="0.15">
      <c r="B2019" s="29" t="s">
        <v>2661</v>
      </c>
      <c r="C2019" s="29" t="s">
        <v>290</v>
      </c>
      <c r="D2019" s="31">
        <f>SUMIFS(D2020:D3130,K2020:K3130,"0",B2020:B3130,"5 1 1 3 4 12 31111 6 M78 17000 172 00I 001 13403 025*")-SUMIFS(E2020:E3130,K2020:K3130,"0",B2020:B3130,"5 1 1 3 4 12 31111 6 M78 17000 172 00I 001 13403 025*")</f>
        <v>0</v>
      </c>
      <c r="E2019"/>
      <c r="F2019" s="31">
        <f>SUMIFS(F2020:F3130,K2020:K3130,"0",B2020:B3130,"5 1 1 3 4 12 31111 6 M78 17000 172 00I 001 13403 025*")</f>
        <v>8832.86</v>
      </c>
      <c r="G2019" s="31">
        <f>SUMIFS(G2020:G3130,K2020:K3130,"0",B2020:B3130,"5 1 1 3 4 12 31111 6 M78 17000 172 00I 001 13403 025*")</f>
        <v>0</v>
      </c>
      <c r="H2019" s="31">
        <f t="shared" si="32"/>
        <v>8832.86</v>
      </c>
      <c r="I2019" s="31"/>
      <c r="K2019" t="s">
        <v>13</v>
      </c>
    </row>
    <row r="2020" spans="2:11" ht="22" x14ac:dyDescent="0.15">
      <c r="B2020" s="29" t="s">
        <v>2662</v>
      </c>
      <c r="C2020" s="29" t="s">
        <v>1813</v>
      </c>
      <c r="D2020" s="31">
        <f>SUMIFS(D2021:D3130,K2021:K3130,"0",B2021:B3130,"5 1 1 3 4 12 31111 6 M78 17000 172 00I 001 13403 025 2111100*")-SUMIFS(E2021:E3130,K2021:K3130,"0",B2021:B3130,"5 1 1 3 4 12 31111 6 M78 17000 172 00I 001 13403 025 2111100*")</f>
        <v>0</v>
      </c>
      <c r="E2020"/>
      <c r="F2020" s="31">
        <f>SUMIFS(F2021:F3130,K2021:K3130,"0",B2021:B3130,"5 1 1 3 4 12 31111 6 M78 17000 172 00I 001 13403 025 2111100*")</f>
        <v>8832.86</v>
      </c>
      <c r="G2020" s="31">
        <f>SUMIFS(G2021:G3130,K2021:K3130,"0",B2021:B3130,"5 1 1 3 4 12 31111 6 M78 17000 172 00I 001 13403 025 2111100*")</f>
        <v>0</v>
      </c>
      <c r="H2020" s="31">
        <f t="shared" si="32"/>
        <v>8832.86</v>
      </c>
      <c r="I2020" s="31"/>
      <c r="K2020" t="s">
        <v>13</v>
      </c>
    </row>
    <row r="2021" spans="2:11" ht="22" x14ac:dyDescent="0.15">
      <c r="B2021" s="29" t="s">
        <v>2663</v>
      </c>
      <c r="C2021" s="29" t="s">
        <v>275</v>
      </c>
      <c r="D2021" s="31">
        <f>SUMIFS(D2022:D3130,K2022:K3130,"0",B2022:B3130,"5 1 1 3 4 12 31111 6 M78 17000 172 00I 001 13403 025 2111100 2024*")-SUMIFS(E2022:E3130,K2022:K3130,"0",B2022:B3130,"5 1 1 3 4 12 31111 6 M78 17000 172 00I 001 13403 025 2111100 2024*")</f>
        <v>0</v>
      </c>
      <c r="E2021"/>
      <c r="F2021" s="31">
        <f>SUMIFS(F2022:F3130,K2022:K3130,"0",B2022:B3130,"5 1 1 3 4 12 31111 6 M78 17000 172 00I 001 13403 025 2111100 2024*")</f>
        <v>8832.86</v>
      </c>
      <c r="G2021" s="31">
        <f>SUMIFS(G2022:G3130,K2022:K3130,"0",B2022:B3130,"5 1 1 3 4 12 31111 6 M78 17000 172 00I 001 13403 025 2111100 2024*")</f>
        <v>0</v>
      </c>
      <c r="H2021" s="31">
        <f t="shared" si="32"/>
        <v>8832.86</v>
      </c>
      <c r="I2021" s="31"/>
      <c r="K2021" t="s">
        <v>13</v>
      </c>
    </row>
    <row r="2022" spans="2:11" ht="22" x14ac:dyDescent="0.15">
      <c r="B2022" s="29" t="s">
        <v>2664</v>
      </c>
      <c r="C2022" s="29" t="s">
        <v>277</v>
      </c>
      <c r="D2022" s="31">
        <f>SUMIFS(D2023:D3130,K2023:K3130,"0",B2023:B3130,"5 1 1 3 4 12 31111 6 M78 17000 172 00I 001 13403 025 2111100 2024 00000000*")-SUMIFS(E2023:E3130,K2023:K3130,"0",B2023:B3130,"5 1 1 3 4 12 31111 6 M78 17000 172 00I 001 13403 025 2111100 2024 00000000*")</f>
        <v>0</v>
      </c>
      <c r="E2022"/>
      <c r="F2022" s="31">
        <f>SUMIFS(F2023:F3130,K2023:K3130,"0",B2023:B3130,"5 1 1 3 4 12 31111 6 M78 17000 172 00I 001 13403 025 2111100 2024 00000000*")</f>
        <v>8832.86</v>
      </c>
      <c r="G2022" s="31">
        <f>SUMIFS(G2023:G3130,K2023:K3130,"0",B2023:B3130,"5 1 1 3 4 12 31111 6 M78 17000 172 00I 001 13403 025 2111100 2024 00000000*")</f>
        <v>0</v>
      </c>
      <c r="H2022" s="31">
        <f t="shared" si="32"/>
        <v>8832.86</v>
      </c>
      <c r="I2022" s="31"/>
      <c r="K2022" t="s">
        <v>13</v>
      </c>
    </row>
    <row r="2023" spans="2:11" ht="22" x14ac:dyDescent="0.15">
      <c r="B2023" s="29" t="s">
        <v>2665</v>
      </c>
      <c r="C2023" s="29" t="s">
        <v>581</v>
      </c>
      <c r="D2023" s="31">
        <f>SUMIFS(D2024:D3130,K2024:K3130,"0",B2024:B3130,"5 1 1 3 4 12 31111 6 M78 17000 172 00I 001 13403 025 2111100 2024 00000000 003*")-SUMIFS(E2024:E3130,K2024:K3130,"0",B2024:B3130,"5 1 1 3 4 12 31111 6 M78 17000 172 00I 001 13403 025 2111100 2024 00000000 003*")</f>
        <v>0</v>
      </c>
      <c r="E2023"/>
      <c r="F2023" s="31">
        <f>SUMIFS(F2024:F3130,K2024:K3130,"0",B2024:B3130,"5 1 1 3 4 12 31111 6 M78 17000 172 00I 001 13403 025 2111100 2024 00000000 003*")</f>
        <v>8832.86</v>
      </c>
      <c r="G2023" s="31">
        <f>SUMIFS(G2024:G3130,K2024:K3130,"0",B2024:B3130,"5 1 1 3 4 12 31111 6 M78 17000 172 00I 001 13403 025 2111100 2024 00000000 003*")</f>
        <v>0</v>
      </c>
      <c r="H2023" s="31">
        <f t="shared" si="32"/>
        <v>8832.86</v>
      </c>
      <c r="I2023" s="31"/>
      <c r="K2023" t="s">
        <v>13</v>
      </c>
    </row>
    <row r="2024" spans="2:11" ht="22" x14ac:dyDescent="0.15">
      <c r="B2024" s="29" t="s">
        <v>2666</v>
      </c>
      <c r="C2024" s="29" t="s">
        <v>2042</v>
      </c>
      <c r="D2024" s="31">
        <f>SUMIFS(D2025:D3130,K2025:K3130,"0",B2025:B3130,"5 1 1 3 4 12 31111 6 M78 17000 172 00I 001 13403 025 2111100 2024 00000000 003 001*")-SUMIFS(E2025:E3130,K2025:K3130,"0",B2025:B3130,"5 1 1 3 4 12 31111 6 M78 17000 172 00I 001 13403 025 2111100 2024 00000000 003 001*")</f>
        <v>0</v>
      </c>
      <c r="E2024"/>
      <c r="F2024" s="31">
        <f>SUMIFS(F2025:F3130,K2025:K3130,"0",B2025:B3130,"5 1 1 3 4 12 31111 6 M78 17000 172 00I 001 13403 025 2111100 2024 00000000 003 001*")</f>
        <v>8832.86</v>
      </c>
      <c r="G2024" s="31">
        <f>SUMIFS(G2025:G3130,K2025:K3130,"0",B2025:B3130,"5 1 1 3 4 12 31111 6 M78 17000 172 00I 001 13403 025 2111100 2024 00000000 003 001*")</f>
        <v>0</v>
      </c>
      <c r="H2024" s="31">
        <f t="shared" si="32"/>
        <v>8832.86</v>
      </c>
      <c r="I2024" s="31"/>
      <c r="K2024" t="s">
        <v>13</v>
      </c>
    </row>
    <row r="2025" spans="2:11" ht="22" x14ac:dyDescent="0.15">
      <c r="B2025" s="27" t="s">
        <v>2667</v>
      </c>
      <c r="C2025" s="27" t="s">
        <v>2416</v>
      </c>
      <c r="D2025" s="30">
        <v>0</v>
      </c>
      <c r="E2025" s="30"/>
      <c r="F2025" s="30">
        <v>8832.86</v>
      </c>
      <c r="G2025" s="30">
        <v>0</v>
      </c>
      <c r="H2025" s="30">
        <f t="shared" si="32"/>
        <v>8832.86</v>
      </c>
      <c r="I2025" s="30"/>
      <c r="K2025" t="s">
        <v>37</v>
      </c>
    </row>
    <row r="2026" spans="2:11" ht="13" x14ac:dyDescent="0.15">
      <c r="B2026" s="29" t="s">
        <v>2668</v>
      </c>
      <c r="C2026" s="29" t="s">
        <v>2418</v>
      </c>
      <c r="D2026" s="31">
        <f>SUMIFS(D2027:D3130,K2027:K3130,"0",B2027:B3130,"5 1 1 3 4 12 31111 6 M78 17000 172 00I 001 13406*")-SUMIFS(E2027:E3130,K2027:K3130,"0",B2027:B3130,"5 1 1 3 4 12 31111 6 M78 17000 172 00I 001 13406*")</f>
        <v>0</v>
      </c>
      <c r="E2026"/>
      <c r="F2026" s="31">
        <f>SUMIFS(F2027:F3130,K2027:K3130,"0",B2027:B3130,"5 1 1 3 4 12 31111 6 M78 17000 172 00I 001 13406*")</f>
        <v>81968.350000000006</v>
      </c>
      <c r="G2026" s="31">
        <f>SUMIFS(G2027:G3130,K2027:K3130,"0",B2027:B3130,"5 1 1 3 4 12 31111 6 M78 17000 172 00I 001 13406*")</f>
        <v>0</v>
      </c>
      <c r="H2026" s="31">
        <f t="shared" si="32"/>
        <v>81968.350000000006</v>
      </c>
      <c r="I2026" s="31"/>
      <c r="K2026" t="s">
        <v>13</v>
      </c>
    </row>
    <row r="2027" spans="2:11" ht="22" x14ac:dyDescent="0.15">
      <c r="B2027" s="29" t="s">
        <v>2669</v>
      </c>
      <c r="C2027" s="29" t="s">
        <v>290</v>
      </c>
      <c r="D2027" s="31">
        <f>SUMIFS(D2028:D3130,K2028:K3130,"0",B2028:B3130,"5 1 1 3 4 12 31111 6 M78 17000 172 00I 001 13406 025*")-SUMIFS(E2028:E3130,K2028:K3130,"0",B2028:B3130,"5 1 1 3 4 12 31111 6 M78 17000 172 00I 001 13406 025*")</f>
        <v>0</v>
      </c>
      <c r="E2027"/>
      <c r="F2027" s="31">
        <f>SUMIFS(F2028:F3130,K2028:K3130,"0",B2028:B3130,"5 1 1 3 4 12 31111 6 M78 17000 172 00I 001 13406 025*")</f>
        <v>81968.350000000006</v>
      </c>
      <c r="G2027" s="31">
        <f>SUMIFS(G2028:G3130,K2028:K3130,"0",B2028:B3130,"5 1 1 3 4 12 31111 6 M78 17000 172 00I 001 13406 025*")</f>
        <v>0</v>
      </c>
      <c r="H2027" s="31">
        <f t="shared" si="32"/>
        <v>81968.350000000006</v>
      </c>
      <c r="I2027" s="31"/>
      <c r="K2027" t="s">
        <v>13</v>
      </c>
    </row>
    <row r="2028" spans="2:11" ht="22" x14ac:dyDescent="0.15">
      <c r="B2028" s="29" t="s">
        <v>2670</v>
      </c>
      <c r="C2028" s="29" t="s">
        <v>1813</v>
      </c>
      <c r="D2028" s="31">
        <f>SUMIFS(D2029:D3130,K2029:K3130,"0",B2029:B3130,"5 1 1 3 4 12 31111 6 M78 17000 172 00I 001 13406 025 2111100*")-SUMIFS(E2029:E3130,K2029:K3130,"0",B2029:B3130,"5 1 1 3 4 12 31111 6 M78 17000 172 00I 001 13406 025 2111100*")</f>
        <v>0</v>
      </c>
      <c r="E2028"/>
      <c r="F2028" s="31">
        <f>SUMIFS(F2029:F3130,K2029:K3130,"0",B2029:B3130,"5 1 1 3 4 12 31111 6 M78 17000 172 00I 001 13406 025 2111100*")</f>
        <v>81968.350000000006</v>
      </c>
      <c r="G2028" s="31">
        <f>SUMIFS(G2029:G3130,K2029:K3130,"0",B2029:B3130,"5 1 1 3 4 12 31111 6 M78 17000 172 00I 001 13406 025 2111100*")</f>
        <v>0</v>
      </c>
      <c r="H2028" s="31">
        <f t="shared" si="32"/>
        <v>81968.350000000006</v>
      </c>
      <c r="I2028" s="31"/>
      <c r="K2028" t="s">
        <v>13</v>
      </c>
    </row>
    <row r="2029" spans="2:11" ht="22" x14ac:dyDescent="0.15">
      <c r="B2029" s="29" t="s">
        <v>2671</v>
      </c>
      <c r="C2029" s="29" t="s">
        <v>275</v>
      </c>
      <c r="D2029" s="31">
        <f>SUMIFS(D2030:D3130,K2030:K3130,"0",B2030:B3130,"5 1 1 3 4 12 31111 6 M78 17000 172 00I 001 13406 025 2111100 2024*")-SUMIFS(E2030:E3130,K2030:K3130,"0",B2030:B3130,"5 1 1 3 4 12 31111 6 M78 17000 172 00I 001 13406 025 2111100 2024*")</f>
        <v>0</v>
      </c>
      <c r="E2029"/>
      <c r="F2029" s="31">
        <f>SUMIFS(F2030:F3130,K2030:K3130,"0",B2030:B3130,"5 1 1 3 4 12 31111 6 M78 17000 172 00I 001 13406 025 2111100 2024*")</f>
        <v>81968.350000000006</v>
      </c>
      <c r="G2029" s="31">
        <f>SUMIFS(G2030:G3130,K2030:K3130,"0",B2030:B3130,"5 1 1 3 4 12 31111 6 M78 17000 172 00I 001 13406 025 2111100 2024*")</f>
        <v>0</v>
      </c>
      <c r="H2029" s="31">
        <f t="shared" si="32"/>
        <v>81968.350000000006</v>
      </c>
      <c r="I2029" s="31"/>
      <c r="K2029" t="s">
        <v>13</v>
      </c>
    </row>
    <row r="2030" spans="2:11" ht="22" x14ac:dyDescent="0.15">
      <c r="B2030" s="29" t="s">
        <v>2672</v>
      </c>
      <c r="C2030" s="29" t="s">
        <v>277</v>
      </c>
      <c r="D2030" s="31">
        <f>SUMIFS(D2031:D3130,K2031:K3130,"0",B2031:B3130,"5 1 1 3 4 12 31111 6 M78 17000 172 00I 001 13406 025 2111100 2024 00000000*")-SUMIFS(E2031:E3130,K2031:K3130,"0",B2031:B3130,"5 1 1 3 4 12 31111 6 M78 17000 172 00I 001 13406 025 2111100 2024 00000000*")</f>
        <v>0</v>
      </c>
      <c r="E2030"/>
      <c r="F2030" s="31">
        <f>SUMIFS(F2031:F3130,K2031:K3130,"0",B2031:B3130,"5 1 1 3 4 12 31111 6 M78 17000 172 00I 001 13406 025 2111100 2024 00000000*")</f>
        <v>81968.350000000006</v>
      </c>
      <c r="G2030" s="31">
        <f>SUMIFS(G2031:G3130,K2031:K3130,"0",B2031:B3130,"5 1 1 3 4 12 31111 6 M78 17000 172 00I 001 13406 025 2111100 2024 00000000*")</f>
        <v>0</v>
      </c>
      <c r="H2030" s="31">
        <f t="shared" si="32"/>
        <v>81968.350000000006</v>
      </c>
      <c r="I2030" s="31"/>
      <c r="K2030" t="s">
        <v>13</v>
      </c>
    </row>
    <row r="2031" spans="2:11" ht="22" x14ac:dyDescent="0.15">
      <c r="B2031" s="29" t="s">
        <v>2673</v>
      </c>
      <c r="C2031" s="29" t="s">
        <v>581</v>
      </c>
      <c r="D2031" s="31">
        <f>SUMIFS(D2032:D3130,K2032:K3130,"0",B2032:B3130,"5 1 1 3 4 12 31111 6 M78 17000 172 00I 001 13406 025 2111100 2024 00000000 003*")-SUMIFS(E2032:E3130,K2032:K3130,"0",B2032:B3130,"5 1 1 3 4 12 31111 6 M78 17000 172 00I 001 13406 025 2111100 2024 00000000 003*")</f>
        <v>0</v>
      </c>
      <c r="E2031"/>
      <c r="F2031" s="31">
        <f>SUMIFS(F2032:F3130,K2032:K3130,"0",B2032:B3130,"5 1 1 3 4 12 31111 6 M78 17000 172 00I 001 13406 025 2111100 2024 00000000 003*")</f>
        <v>81968.350000000006</v>
      </c>
      <c r="G2031" s="31">
        <f>SUMIFS(G2032:G3130,K2032:K3130,"0",B2032:B3130,"5 1 1 3 4 12 31111 6 M78 17000 172 00I 001 13406 025 2111100 2024 00000000 003*")</f>
        <v>0</v>
      </c>
      <c r="H2031" s="31">
        <f t="shared" si="32"/>
        <v>81968.350000000006</v>
      </c>
      <c r="I2031" s="31"/>
      <c r="K2031" t="s">
        <v>13</v>
      </c>
    </row>
    <row r="2032" spans="2:11" ht="22" x14ac:dyDescent="0.15">
      <c r="B2032" s="29" t="s">
        <v>2674</v>
      </c>
      <c r="C2032" s="29" t="s">
        <v>2042</v>
      </c>
      <c r="D2032" s="31">
        <f>SUMIFS(D2033:D3130,K2033:K3130,"0",B2033:B3130,"5 1 1 3 4 12 31111 6 M78 17000 172 00I 001 13406 025 2111100 2024 00000000 003 001*")-SUMIFS(E2033:E3130,K2033:K3130,"0",B2033:B3130,"5 1 1 3 4 12 31111 6 M78 17000 172 00I 001 13406 025 2111100 2024 00000000 003 001*")</f>
        <v>0</v>
      </c>
      <c r="E2032"/>
      <c r="F2032" s="31">
        <f>SUMIFS(F2033:F3130,K2033:K3130,"0",B2033:B3130,"5 1 1 3 4 12 31111 6 M78 17000 172 00I 001 13406 025 2111100 2024 00000000 003 001*")</f>
        <v>81968.350000000006</v>
      </c>
      <c r="G2032" s="31">
        <f>SUMIFS(G2033:G3130,K2033:K3130,"0",B2033:B3130,"5 1 1 3 4 12 31111 6 M78 17000 172 00I 001 13406 025 2111100 2024 00000000 003 001*")</f>
        <v>0</v>
      </c>
      <c r="H2032" s="31">
        <f t="shared" si="32"/>
        <v>81968.350000000006</v>
      </c>
      <c r="I2032" s="31"/>
      <c r="K2032" t="s">
        <v>13</v>
      </c>
    </row>
    <row r="2033" spans="2:11" ht="22" x14ac:dyDescent="0.15">
      <c r="B2033" s="27" t="s">
        <v>2675</v>
      </c>
      <c r="C2033" s="27" t="s">
        <v>2426</v>
      </c>
      <c r="D2033" s="30">
        <v>0</v>
      </c>
      <c r="E2033" s="30"/>
      <c r="F2033" s="30">
        <v>81968.350000000006</v>
      </c>
      <c r="G2033" s="30">
        <v>0</v>
      </c>
      <c r="H2033" s="30">
        <f t="shared" si="32"/>
        <v>81968.350000000006</v>
      </c>
      <c r="I2033" s="30"/>
      <c r="K2033" t="s">
        <v>37</v>
      </c>
    </row>
    <row r="2034" spans="2:11" ht="13" x14ac:dyDescent="0.15">
      <c r="B2034" s="29" t="s">
        <v>2676</v>
      </c>
      <c r="C2034" s="29" t="s">
        <v>765</v>
      </c>
      <c r="D2034" s="31">
        <f>SUMIFS(D2035:D3130,K2035:K3130,"0",B2035:B3130,"5 1 1 3 4 12 31111 6 M78 19000*")-SUMIFS(E2035:E3130,K2035:K3130,"0",B2035:B3130,"5 1 1 3 4 12 31111 6 M78 19000*")</f>
        <v>0</v>
      </c>
      <c r="E2034"/>
      <c r="F2034" s="31">
        <f>SUMIFS(F2035:F3130,K2035:K3130,"0",B2035:B3130,"5 1 1 3 4 12 31111 6 M78 19000*")</f>
        <v>22205.15</v>
      </c>
      <c r="G2034" s="31">
        <f>SUMIFS(G2035:G3130,K2035:K3130,"0",B2035:B3130,"5 1 1 3 4 12 31111 6 M78 19000*")</f>
        <v>0</v>
      </c>
      <c r="H2034" s="31">
        <f t="shared" si="32"/>
        <v>22205.15</v>
      </c>
      <c r="I2034" s="31"/>
      <c r="K2034" t="s">
        <v>13</v>
      </c>
    </row>
    <row r="2035" spans="2:11" ht="13" x14ac:dyDescent="0.15">
      <c r="B2035" s="29" t="s">
        <v>2677</v>
      </c>
      <c r="C2035" s="29" t="s">
        <v>2046</v>
      </c>
      <c r="D2035" s="31">
        <f>SUMIFS(D2036:D3130,K2036:K3130,"0",B2036:B3130,"5 1 1 3 4 12 31111 6 M78 19000 321*")-SUMIFS(E2036:E3130,K2036:K3130,"0",B2036:B3130,"5 1 1 3 4 12 31111 6 M78 19000 321*")</f>
        <v>0</v>
      </c>
      <c r="E2035"/>
      <c r="F2035" s="31">
        <f>SUMIFS(F2036:F3130,K2036:K3130,"0",B2036:B3130,"5 1 1 3 4 12 31111 6 M78 19000 321*")</f>
        <v>22205.15</v>
      </c>
      <c r="G2035" s="31">
        <f>SUMIFS(G2036:G3130,K2036:K3130,"0",B2036:B3130,"5 1 1 3 4 12 31111 6 M78 19000 321*")</f>
        <v>0</v>
      </c>
      <c r="H2035" s="31">
        <f t="shared" si="32"/>
        <v>22205.15</v>
      </c>
      <c r="I2035" s="31"/>
      <c r="K2035" t="s">
        <v>13</v>
      </c>
    </row>
    <row r="2036" spans="2:11" ht="13" x14ac:dyDescent="0.15">
      <c r="B2036" s="29" t="s">
        <v>2678</v>
      </c>
      <c r="C2036" s="29" t="s">
        <v>265</v>
      </c>
      <c r="D2036" s="31">
        <f>SUMIFS(D2037:D3130,K2037:K3130,"0",B2037:B3130,"5 1 1 3 4 12 31111 6 M78 19000 321 00C*")-SUMIFS(E2037:E3130,K2037:K3130,"0",B2037:B3130,"5 1 1 3 4 12 31111 6 M78 19000 321 00C*")</f>
        <v>0</v>
      </c>
      <c r="E2036"/>
      <c r="F2036" s="31">
        <f>SUMIFS(F2037:F3130,K2037:K3130,"0",B2037:B3130,"5 1 1 3 4 12 31111 6 M78 19000 321 00C*")</f>
        <v>22205.15</v>
      </c>
      <c r="G2036" s="31">
        <f>SUMIFS(G2037:G3130,K2037:K3130,"0",B2037:B3130,"5 1 1 3 4 12 31111 6 M78 19000 321 00C*")</f>
        <v>0</v>
      </c>
      <c r="H2036" s="31">
        <f t="shared" si="32"/>
        <v>22205.15</v>
      </c>
      <c r="I2036" s="31"/>
      <c r="K2036" t="s">
        <v>13</v>
      </c>
    </row>
    <row r="2037" spans="2:11" ht="13" x14ac:dyDescent="0.15">
      <c r="B2037" s="29" t="s">
        <v>2679</v>
      </c>
      <c r="C2037" s="29" t="s">
        <v>32</v>
      </c>
      <c r="D2037" s="31">
        <f>SUMIFS(D2038:D3130,K2038:K3130,"0",B2038:B3130,"5 1 1 3 4 12 31111 6 M78 19000 321 00C 001*")-SUMIFS(E2038:E3130,K2038:K3130,"0",B2038:B3130,"5 1 1 3 4 12 31111 6 M78 19000 321 00C 001*")</f>
        <v>0</v>
      </c>
      <c r="E2037"/>
      <c r="F2037" s="31">
        <f>SUMIFS(F2038:F3130,K2038:K3130,"0",B2038:B3130,"5 1 1 3 4 12 31111 6 M78 19000 321 00C 001*")</f>
        <v>22205.15</v>
      </c>
      <c r="G2037" s="31">
        <f>SUMIFS(G2038:G3130,K2038:K3130,"0",B2038:B3130,"5 1 1 3 4 12 31111 6 M78 19000 321 00C 001*")</f>
        <v>0</v>
      </c>
      <c r="H2037" s="31">
        <f t="shared" si="32"/>
        <v>22205.15</v>
      </c>
      <c r="I2037" s="31"/>
      <c r="K2037" t="s">
        <v>13</v>
      </c>
    </row>
    <row r="2038" spans="2:11" ht="13" x14ac:dyDescent="0.15">
      <c r="B2038" s="29" t="s">
        <v>2680</v>
      </c>
      <c r="C2038" s="29" t="s">
        <v>2408</v>
      </c>
      <c r="D2038" s="31">
        <f>SUMIFS(D2039:D3130,K2039:K3130,"0",B2039:B3130,"5 1 1 3 4 12 31111 6 M78 19000 321 00C 001 13403*")-SUMIFS(E2039:E3130,K2039:K3130,"0",B2039:B3130,"5 1 1 3 4 12 31111 6 M78 19000 321 00C 001 13403*")</f>
        <v>0</v>
      </c>
      <c r="E2038"/>
      <c r="F2038" s="31">
        <f>SUMIFS(F2039:F3130,K2039:K3130,"0",B2039:B3130,"5 1 1 3 4 12 31111 6 M78 19000 321 00C 001 13403*")</f>
        <v>9776.74</v>
      </c>
      <c r="G2038" s="31">
        <f>SUMIFS(G2039:G3130,K2039:K3130,"0",B2039:B3130,"5 1 1 3 4 12 31111 6 M78 19000 321 00C 001 13403*")</f>
        <v>0</v>
      </c>
      <c r="H2038" s="31">
        <f t="shared" si="32"/>
        <v>9776.74</v>
      </c>
      <c r="I2038" s="31"/>
      <c r="K2038" t="s">
        <v>13</v>
      </c>
    </row>
    <row r="2039" spans="2:11" ht="22" x14ac:dyDescent="0.15">
      <c r="B2039" s="29" t="s">
        <v>2681</v>
      </c>
      <c r="C2039" s="29" t="s">
        <v>271</v>
      </c>
      <c r="D2039" s="31">
        <f>SUMIFS(D2040:D3130,K2040:K3130,"0",B2040:B3130,"5 1 1 3 4 12 31111 6 M78 19000 321 00C 001 13403 015*")-SUMIFS(E2040:E3130,K2040:K3130,"0",B2040:B3130,"5 1 1 3 4 12 31111 6 M78 19000 321 00C 001 13403 015*")</f>
        <v>0</v>
      </c>
      <c r="E2039"/>
      <c r="F2039" s="31">
        <f>SUMIFS(F2040:F3130,K2040:K3130,"0",B2040:B3130,"5 1 1 3 4 12 31111 6 M78 19000 321 00C 001 13403 015*")</f>
        <v>9776.74</v>
      </c>
      <c r="G2039" s="31">
        <f>SUMIFS(G2040:G3130,K2040:K3130,"0",B2040:B3130,"5 1 1 3 4 12 31111 6 M78 19000 321 00C 001 13403 015*")</f>
        <v>0</v>
      </c>
      <c r="H2039" s="31">
        <f t="shared" si="32"/>
        <v>9776.74</v>
      </c>
      <c r="I2039" s="31"/>
      <c r="K2039" t="s">
        <v>13</v>
      </c>
    </row>
    <row r="2040" spans="2:11" ht="22" x14ac:dyDescent="0.15">
      <c r="B2040" s="29" t="s">
        <v>2682</v>
      </c>
      <c r="C2040" s="29" t="s">
        <v>1813</v>
      </c>
      <c r="D2040" s="31">
        <f>SUMIFS(D2041:D3130,K2041:K3130,"0",B2041:B3130,"5 1 1 3 4 12 31111 6 M78 19000 321 00C 001 13403 015 2111100*")-SUMIFS(E2041:E3130,K2041:K3130,"0",B2041:B3130,"5 1 1 3 4 12 31111 6 M78 19000 321 00C 001 13403 015 2111100*")</f>
        <v>0</v>
      </c>
      <c r="E2040"/>
      <c r="F2040" s="31">
        <f>SUMIFS(F2041:F3130,K2041:K3130,"0",B2041:B3130,"5 1 1 3 4 12 31111 6 M78 19000 321 00C 001 13403 015 2111100*")</f>
        <v>9776.74</v>
      </c>
      <c r="G2040" s="31">
        <f>SUMIFS(G2041:G3130,K2041:K3130,"0",B2041:B3130,"5 1 1 3 4 12 31111 6 M78 19000 321 00C 001 13403 015 2111100*")</f>
        <v>0</v>
      </c>
      <c r="H2040" s="31">
        <f t="shared" si="32"/>
        <v>9776.74</v>
      </c>
      <c r="I2040" s="31"/>
      <c r="K2040" t="s">
        <v>13</v>
      </c>
    </row>
    <row r="2041" spans="2:11" ht="22" x14ac:dyDescent="0.15">
      <c r="B2041" s="29" t="s">
        <v>2683</v>
      </c>
      <c r="C2041" s="29" t="s">
        <v>275</v>
      </c>
      <c r="D2041" s="31">
        <f>SUMIFS(D2042:D3130,K2042:K3130,"0",B2042:B3130,"5 1 1 3 4 12 31111 6 M78 19000 321 00C 001 13403 015 2111100 2024*")-SUMIFS(E2042:E3130,K2042:K3130,"0",B2042:B3130,"5 1 1 3 4 12 31111 6 M78 19000 321 00C 001 13403 015 2111100 2024*")</f>
        <v>0</v>
      </c>
      <c r="E2041"/>
      <c r="F2041" s="31">
        <f>SUMIFS(F2042:F3130,K2042:K3130,"0",B2042:B3130,"5 1 1 3 4 12 31111 6 M78 19000 321 00C 001 13403 015 2111100 2024*")</f>
        <v>9776.74</v>
      </c>
      <c r="G2041" s="31">
        <f>SUMIFS(G2042:G3130,K2042:K3130,"0",B2042:B3130,"5 1 1 3 4 12 31111 6 M78 19000 321 00C 001 13403 015 2111100 2024*")</f>
        <v>0</v>
      </c>
      <c r="H2041" s="31">
        <f t="shared" si="32"/>
        <v>9776.74</v>
      </c>
      <c r="I2041" s="31"/>
      <c r="K2041" t="s">
        <v>13</v>
      </c>
    </row>
    <row r="2042" spans="2:11" ht="22" x14ac:dyDescent="0.15">
      <c r="B2042" s="29" t="s">
        <v>2684</v>
      </c>
      <c r="C2042" s="29" t="s">
        <v>277</v>
      </c>
      <c r="D2042" s="31">
        <f>SUMIFS(D2043:D3130,K2043:K3130,"0",B2043:B3130,"5 1 1 3 4 12 31111 6 M78 19000 321 00C 001 13403 015 2111100 2024 00000000*")-SUMIFS(E2043:E3130,K2043:K3130,"0",B2043:B3130,"5 1 1 3 4 12 31111 6 M78 19000 321 00C 001 13403 015 2111100 2024 00000000*")</f>
        <v>0</v>
      </c>
      <c r="E2042"/>
      <c r="F2042" s="31">
        <f>SUMIFS(F2043:F3130,K2043:K3130,"0",B2043:B3130,"5 1 1 3 4 12 31111 6 M78 19000 321 00C 001 13403 015 2111100 2024 00000000*")</f>
        <v>9776.74</v>
      </c>
      <c r="G2042" s="31">
        <f>SUMIFS(G2043:G3130,K2043:K3130,"0",B2043:B3130,"5 1 1 3 4 12 31111 6 M78 19000 321 00C 001 13403 015 2111100 2024 00000000*")</f>
        <v>0</v>
      </c>
      <c r="H2042" s="31">
        <f t="shared" si="32"/>
        <v>9776.74</v>
      </c>
      <c r="I2042" s="31"/>
      <c r="K2042" t="s">
        <v>13</v>
      </c>
    </row>
    <row r="2043" spans="2:11" ht="22" x14ac:dyDescent="0.15">
      <c r="B2043" s="29" t="s">
        <v>2685</v>
      </c>
      <c r="C2043" s="29" t="s">
        <v>32</v>
      </c>
      <c r="D2043" s="31">
        <f>SUMIFS(D2044:D3130,K2044:K3130,"0",B2044:B3130,"5 1 1 3 4 12 31111 6 M78 19000 321 00C 001 13403 015 2111100 2024 00000000 001*")-SUMIFS(E2044:E3130,K2044:K3130,"0",B2044:B3130,"5 1 1 3 4 12 31111 6 M78 19000 321 00C 001 13403 015 2111100 2024 00000000 001*")</f>
        <v>0</v>
      </c>
      <c r="E2043"/>
      <c r="F2043" s="31">
        <f>SUMIFS(F2044:F3130,K2044:K3130,"0",B2044:B3130,"5 1 1 3 4 12 31111 6 M78 19000 321 00C 001 13403 015 2111100 2024 00000000 001*")</f>
        <v>9776.74</v>
      </c>
      <c r="G2043" s="31">
        <f>SUMIFS(G2044:G3130,K2044:K3130,"0",B2044:B3130,"5 1 1 3 4 12 31111 6 M78 19000 321 00C 001 13403 015 2111100 2024 00000000 001*")</f>
        <v>0</v>
      </c>
      <c r="H2043" s="31">
        <f t="shared" si="32"/>
        <v>9776.74</v>
      </c>
      <c r="I2043" s="31"/>
      <c r="K2043" t="s">
        <v>13</v>
      </c>
    </row>
    <row r="2044" spans="2:11" ht="22" x14ac:dyDescent="0.15">
      <c r="B2044" s="29" t="s">
        <v>2686</v>
      </c>
      <c r="C2044" s="29" t="s">
        <v>2056</v>
      </c>
      <c r="D2044" s="31">
        <f>SUMIFS(D2045:D3130,K2045:K3130,"0",B2045:B3130,"5 1 1 3 4 12 31111 6 M78 19000 321 00C 001 13403 015 2111100 2024 00000000 001 001*")-SUMIFS(E2045:E3130,K2045:K3130,"0",B2045:B3130,"5 1 1 3 4 12 31111 6 M78 19000 321 00C 001 13403 015 2111100 2024 00000000 001 001*")</f>
        <v>0</v>
      </c>
      <c r="E2044"/>
      <c r="F2044" s="31">
        <f>SUMIFS(F2045:F3130,K2045:K3130,"0",B2045:B3130,"5 1 1 3 4 12 31111 6 M78 19000 321 00C 001 13403 015 2111100 2024 00000000 001 001*")</f>
        <v>9776.74</v>
      </c>
      <c r="G2044" s="31">
        <f>SUMIFS(G2045:G3130,K2045:K3130,"0",B2045:B3130,"5 1 1 3 4 12 31111 6 M78 19000 321 00C 001 13403 015 2111100 2024 00000000 001 001*")</f>
        <v>0</v>
      </c>
      <c r="H2044" s="31">
        <f t="shared" si="32"/>
        <v>9776.74</v>
      </c>
      <c r="I2044" s="31"/>
      <c r="K2044" t="s">
        <v>13</v>
      </c>
    </row>
    <row r="2045" spans="2:11" ht="22" x14ac:dyDescent="0.15">
      <c r="B2045" s="27" t="s">
        <v>2687</v>
      </c>
      <c r="C2045" s="27" t="s">
        <v>2416</v>
      </c>
      <c r="D2045" s="30">
        <v>0</v>
      </c>
      <c r="E2045" s="30"/>
      <c r="F2045" s="30">
        <v>9776.74</v>
      </c>
      <c r="G2045" s="30">
        <v>0</v>
      </c>
      <c r="H2045" s="30">
        <f t="shared" si="32"/>
        <v>9776.74</v>
      </c>
      <c r="I2045" s="30"/>
      <c r="K2045" t="s">
        <v>37</v>
      </c>
    </row>
    <row r="2046" spans="2:11" ht="13" x14ac:dyDescent="0.15">
      <c r="B2046" s="29" t="s">
        <v>2688</v>
      </c>
      <c r="C2046" s="29" t="s">
        <v>2418</v>
      </c>
      <c r="D2046" s="31">
        <f>SUMIFS(D2047:D3130,K2047:K3130,"0",B2047:B3130,"5 1 1 3 4 12 31111 6 M78 19000 321 00C 001 13406*")-SUMIFS(E2047:E3130,K2047:K3130,"0",B2047:B3130,"5 1 1 3 4 12 31111 6 M78 19000 321 00C 001 13406*")</f>
        <v>0</v>
      </c>
      <c r="E2046"/>
      <c r="F2046" s="31">
        <f>SUMIFS(F2047:F3130,K2047:K3130,"0",B2047:B3130,"5 1 1 3 4 12 31111 6 M78 19000 321 00C 001 13406*")</f>
        <v>12428.41</v>
      </c>
      <c r="G2046" s="31">
        <f>SUMIFS(G2047:G3130,K2047:K3130,"0",B2047:B3130,"5 1 1 3 4 12 31111 6 M78 19000 321 00C 001 13406*")</f>
        <v>0</v>
      </c>
      <c r="H2046" s="31">
        <f t="shared" si="32"/>
        <v>12428.41</v>
      </c>
      <c r="I2046" s="31"/>
      <c r="K2046" t="s">
        <v>13</v>
      </c>
    </row>
    <row r="2047" spans="2:11" ht="22" x14ac:dyDescent="0.15">
      <c r="B2047" s="29" t="s">
        <v>2689</v>
      </c>
      <c r="C2047" s="29" t="s">
        <v>271</v>
      </c>
      <c r="D2047" s="31">
        <f>SUMIFS(D2048:D3130,K2048:K3130,"0",B2048:B3130,"5 1 1 3 4 12 31111 6 M78 19000 321 00C 001 13406 015*")-SUMIFS(E2048:E3130,K2048:K3130,"0",B2048:B3130,"5 1 1 3 4 12 31111 6 M78 19000 321 00C 001 13406 015*")</f>
        <v>0</v>
      </c>
      <c r="E2047"/>
      <c r="F2047" s="31">
        <f>SUMIFS(F2048:F3130,K2048:K3130,"0",B2048:B3130,"5 1 1 3 4 12 31111 6 M78 19000 321 00C 001 13406 015*")</f>
        <v>12428.41</v>
      </c>
      <c r="G2047" s="31">
        <f>SUMIFS(G2048:G3130,K2048:K3130,"0",B2048:B3130,"5 1 1 3 4 12 31111 6 M78 19000 321 00C 001 13406 015*")</f>
        <v>0</v>
      </c>
      <c r="H2047" s="31">
        <f t="shared" si="32"/>
        <v>12428.41</v>
      </c>
      <c r="I2047" s="31"/>
      <c r="K2047" t="s">
        <v>13</v>
      </c>
    </row>
    <row r="2048" spans="2:11" ht="22" x14ac:dyDescent="0.15">
      <c r="B2048" s="29" t="s">
        <v>2690</v>
      </c>
      <c r="C2048" s="29" t="s">
        <v>1813</v>
      </c>
      <c r="D2048" s="31">
        <f>SUMIFS(D2049:D3130,K2049:K3130,"0",B2049:B3130,"5 1 1 3 4 12 31111 6 M78 19000 321 00C 001 13406 015 2111100*")-SUMIFS(E2049:E3130,K2049:K3130,"0",B2049:B3130,"5 1 1 3 4 12 31111 6 M78 19000 321 00C 001 13406 015 2111100*")</f>
        <v>0</v>
      </c>
      <c r="E2048"/>
      <c r="F2048" s="31">
        <f>SUMIFS(F2049:F3130,K2049:K3130,"0",B2049:B3130,"5 1 1 3 4 12 31111 6 M78 19000 321 00C 001 13406 015 2111100*")</f>
        <v>12428.41</v>
      </c>
      <c r="G2048" s="31">
        <f>SUMIFS(G2049:G3130,K2049:K3130,"0",B2049:B3130,"5 1 1 3 4 12 31111 6 M78 19000 321 00C 001 13406 015 2111100*")</f>
        <v>0</v>
      </c>
      <c r="H2048" s="31">
        <f t="shared" si="32"/>
        <v>12428.41</v>
      </c>
      <c r="I2048" s="31"/>
      <c r="K2048" t="s">
        <v>13</v>
      </c>
    </row>
    <row r="2049" spans="2:11" ht="22" x14ac:dyDescent="0.15">
      <c r="B2049" s="29" t="s">
        <v>2691</v>
      </c>
      <c r="C2049" s="29" t="s">
        <v>275</v>
      </c>
      <c r="D2049" s="31">
        <f>SUMIFS(D2050:D3130,K2050:K3130,"0",B2050:B3130,"5 1 1 3 4 12 31111 6 M78 19000 321 00C 001 13406 015 2111100 2024*")-SUMIFS(E2050:E3130,K2050:K3130,"0",B2050:B3130,"5 1 1 3 4 12 31111 6 M78 19000 321 00C 001 13406 015 2111100 2024*")</f>
        <v>0</v>
      </c>
      <c r="E2049"/>
      <c r="F2049" s="31">
        <f>SUMIFS(F2050:F3130,K2050:K3130,"0",B2050:B3130,"5 1 1 3 4 12 31111 6 M78 19000 321 00C 001 13406 015 2111100 2024*")</f>
        <v>12428.41</v>
      </c>
      <c r="G2049" s="31">
        <f>SUMIFS(G2050:G3130,K2050:K3130,"0",B2050:B3130,"5 1 1 3 4 12 31111 6 M78 19000 321 00C 001 13406 015 2111100 2024*")</f>
        <v>0</v>
      </c>
      <c r="H2049" s="31">
        <f t="shared" si="32"/>
        <v>12428.41</v>
      </c>
      <c r="I2049" s="31"/>
      <c r="K2049" t="s">
        <v>13</v>
      </c>
    </row>
    <row r="2050" spans="2:11" ht="22" x14ac:dyDescent="0.15">
      <c r="B2050" s="29" t="s">
        <v>2692</v>
      </c>
      <c r="C2050" s="29" t="s">
        <v>277</v>
      </c>
      <c r="D2050" s="31">
        <f>SUMIFS(D2051:D3130,K2051:K3130,"0",B2051:B3130,"5 1 1 3 4 12 31111 6 M78 19000 321 00C 001 13406 015 2111100 2024 00000000*")-SUMIFS(E2051:E3130,K2051:K3130,"0",B2051:B3130,"5 1 1 3 4 12 31111 6 M78 19000 321 00C 001 13406 015 2111100 2024 00000000*")</f>
        <v>0</v>
      </c>
      <c r="E2050"/>
      <c r="F2050" s="31">
        <f>SUMIFS(F2051:F3130,K2051:K3130,"0",B2051:B3130,"5 1 1 3 4 12 31111 6 M78 19000 321 00C 001 13406 015 2111100 2024 00000000*")</f>
        <v>12428.41</v>
      </c>
      <c r="G2050" s="31">
        <f>SUMIFS(G2051:G3130,K2051:K3130,"0",B2051:B3130,"5 1 1 3 4 12 31111 6 M78 19000 321 00C 001 13406 015 2111100 2024 00000000*")</f>
        <v>0</v>
      </c>
      <c r="H2050" s="31">
        <f t="shared" si="32"/>
        <v>12428.41</v>
      </c>
      <c r="I2050" s="31"/>
      <c r="K2050" t="s">
        <v>13</v>
      </c>
    </row>
    <row r="2051" spans="2:11" ht="22" x14ac:dyDescent="0.15">
      <c r="B2051" s="29" t="s">
        <v>2693</v>
      </c>
      <c r="C2051" s="29" t="s">
        <v>32</v>
      </c>
      <c r="D2051" s="31">
        <f>SUMIFS(D2052:D3130,K2052:K3130,"0",B2052:B3130,"5 1 1 3 4 12 31111 6 M78 19000 321 00C 001 13406 015 2111100 2024 00000000 001*")-SUMIFS(E2052:E3130,K2052:K3130,"0",B2052:B3130,"5 1 1 3 4 12 31111 6 M78 19000 321 00C 001 13406 015 2111100 2024 00000000 001*")</f>
        <v>0</v>
      </c>
      <c r="E2051"/>
      <c r="F2051" s="31">
        <f>SUMIFS(F2052:F3130,K2052:K3130,"0",B2052:B3130,"5 1 1 3 4 12 31111 6 M78 19000 321 00C 001 13406 015 2111100 2024 00000000 001*")</f>
        <v>12428.41</v>
      </c>
      <c r="G2051" s="31">
        <f>SUMIFS(G2052:G3130,K2052:K3130,"0",B2052:B3130,"5 1 1 3 4 12 31111 6 M78 19000 321 00C 001 13406 015 2111100 2024 00000000 001*")</f>
        <v>0</v>
      </c>
      <c r="H2051" s="31">
        <f t="shared" si="32"/>
        <v>12428.41</v>
      </c>
      <c r="I2051" s="31"/>
      <c r="K2051" t="s">
        <v>13</v>
      </c>
    </row>
    <row r="2052" spans="2:11" ht="22" x14ac:dyDescent="0.15">
      <c r="B2052" s="29" t="s">
        <v>2694</v>
      </c>
      <c r="C2052" s="29" t="s">
        <v>2056</v>
      </c>
      <c r="D2052" s="31">
        <f>SUMIFS(D2053:D3130,K2053:K3130,"0",B2053:B3130,"5 1 1 3 4 12 31111 6 M78 19000 321 00C 001 13406 015 2111100 2024 00000000 001 001*")-SUMIFS(E2053:E3130,K2053:K3130,"0",B2053:B3130,"5 1 1 3 4 12 31111 6 M78 19000 321 00C 001 13406 015 2111100 2024 00000000 001 001*")</f>
        <v>0</v>
      </c>
      <c r="E2052"/>
      <c r="F2052" s="31">
        <f>SUMIFS(F2053:F3130,K2053:K3130,"0",B2053:B3130,"5 1 1 3 4 12 31111 6 M78 19000 321 00C 001 13406 015 2111100 2024 00000000 001 001*")</f>
        <v>12428.41</v>
      </c>
      <c r="G2052" s="31">
        <f>SUMIFS(G2053:G3130,K2053:K3130,"0",B2053:B3130,"5 1 1 3 4 12 31111 6 M78 19000 321 00C 001 13406 015 2111100 2024 00000000 001 001*")</f>
        <v>0</v>
      </c>
      <c r="H2052" s="31">
        <f t="shared" si="32"/>
        <v>12428.41</v>
      </c>
      <c r="I2052" s="31"/>
      <c r="K2052" t="s">
        <v>13</v>
      </c>
    </row>
    <row r="2053" spans="2:11" ht="22" x14ac:dyDescent="0.15">
      <c r="B2053" s="27" t="s">
        <v>2695</v>
      </c>
      <c r="C2053" s="27" t="s">
        <v>2426</v>
      </c>
      <c r="D2053" s="30">
        <v>0</v>
      </c>
      <c r="E2053" s="30"/>
      <c r="F2053" s="30">
        <v>12428.41</v>
      </c>
      <c r="G2053" s="30">
        <v>0</v>
      </c>
      <c r="H2053" s="30">
        <f t="shared" si="32"/>
        <v>12428.41</v>
      </c>
      <c r="I2053" s="30"/>
      <c r="K2053" t="s">
        <v>37</v>
      </c>
    </row>
    <row r="2054" spans="2:11" ht="13" x14ac:dyDescent="0.15">
      <c r="B2054" s="29" t="s">
        <v>2696</v>
      </c>
      <c r="C2054" s="29" t="s">
        <v>2059</v>
      </c>
      <c r="D2054" s="31">
        <f>SUMIFS(D2055:D3130,K2055:K3130,"0",B2055:B3130,"5 1 1 3 4 12 31111 6 M78 20000*")-SUMIFS(E2055:E3130,K2055:K3130,"0",B2055:B3130,"5 1 1 3 4 12 31111 6 M78 20000*")</f>
        <v>0</v>
      </c>
      <c r="E2054"/>
      <c r="F2054" s="31">
        <f>SUMIFS(F2055:F3130,K2055:K3130,"0",B2055:B3130,"5 1 1 3 4 12 31111 6 M78 20000*")</f>
        <v>101382.18</v>
      </c>
      <c r="G2054" s="31">
        <f>SUMIFS(G2055:G3130,K2055:K3130,"0",B2055:B3130,"5 1 1 3 4 12 31111 6 M78 20000*")</f>
        <v>0</v>
      </c>
      <c r="H2054" s="31">
        <f t="shared" si="32"/>
        <v>101382.18</v>
      </c>
      <c r="I2054" s="31"/>
      <c r="K2054" t="s">
        <v>13</v>
      </c>
    </row>
    <row r="2055" spans="2:11" ht="13" x14ac:dyDescent="0.15">
      <c r="B2055" s="29" t="s">
        <v>2697</v>
      </c>
      <c r="C2055" s="29" t="s">
        <v>2061</v>
      </c>
      <c r="D2055" s="31">
        <f>SUMIFS(D2056:D3130,K2056:K3130,"0",B2056:B3130,"5 1 1 3 4 12 31111 6 M78 20000 181*")-SUMIFS(E2056:E3130,K2056:K3130,"0",B2056:B3130,"5 1 1 3 4 12 31111 6 M78 20000 181*")</f>
        <v>0</v>
      </c>
      <c r="E2055"/>
      <c r="F2055" s="31">
        <f>SUMIFS(F2056:F3130,K2056:K3130,"0",B2056:B3130,"5 1 1 3 4 12 31111 6 M78 20000 181*")</f>
        <v>101382.18</v>
      </c>
      <c r="G2055" s="31">
        <f>SUMIFS(G2056:G3130,K2056:K3130,"0",B2056:B3130,"5 1 1 3 4 12 31111 6 M78 20000 181*")</f>
        <v>0</v>
      </c>
      <c r="H2055" s="31">
        <f t="shared" si="32"/>
        <v>101382.18</v>
      </c>
      <c r="I2055" s="31"/>
      <c r="K2055" t="s">
        <v>13</v>
      </c>
    </row>
    <row r="2056" spans="2:11" ht="13" x14ac:dyDescent="0.15">
      <c r="B2056" s="29" t="s">
        <v>2698</v>
      </c>
      <c r="C2056" s="29" t="s">
        <v>265</v>
      </c>
      <c r="D2056" s="31">
        <f>SUMIFS(D2057:D3130,K2057:K3130,"0",B2057:B3130,"5 1 1 3 4 12 31111 6 M78 20000 181 00C*")-SUMIFS(E2057:E3130,K2057:K3130,"0",B2057:B3130,"5 1 1 3 4 12 31111 6 M78 20000 181 00C*")</f>
        <v>0</v>
      </c>
      <c r="E2056"/>
      <c r="F2056" s="31">
        <f>SUMIFS(F2057:F3130,K2057:K3130,"0",B2057:B3130,"5 1 1 3 4 12 31111 6 M78 20000 181 00C*")</f>
        <v>101382.18</v>
      </c>
      <c r="G2056" s="31">
        <f>SUMIFS(G2057:G3130,K2057:K3130,"0",B2057:B3130,"5 1 1 3 4 12 31111 6 M78 20000 181 00C*")</f>
        <v>0</v>
      </c>
      <c r="H2056" s="31">
        <f t="shared" si="32"/>
        <v>101382.18</v>
      </c>
      <c r="I2056" s="31"/>
      <c r="K2056" t="s">
        <v>13</v>
      </c>
    </row>
    <row r="2057" spans="2:11" ht="13" x14ac:dyDescent="0.15">
      <c r="B2057" s="29" t="s">
        <v>2699</v>
      </c>
      <c r="C2057" s="29" t="s">
        <v>32</v>
      </c>
      <c r="D2057" s="31">
        <f>SUMIFS(D2058:D3130,K2058:K3130,"0",B2058:B3130,"5 1 1 3 4 12 31111 6 M78 20000 181 00C 001*")-SUMIFS(E2058:E3130,K2058:K3130,"0",B2058:B3130,"5 1 1 3 4 12 31111 6 M78 20000 181 00C 001*")</f>
        <v>0</v>
      </c>
      <c r="E2057"/>
      <c r="F2057" s="31">
        <f>SUMIFS(F2058:F3130,K2058:K3130,"0",B2058:B3130,"5 1 1 3 4 12 31111 6 M78 20000 181 00C 001*")</f>
        <v>101382.18</v>
      </c>
      <c r="G2057" s="31">
        <f>SUMIFS(G2058:G3130,K2058:K3130,"0",B2058:B3130,"5 1 1 3 4 12 31111 6 M78 20000 181 00C 001*")</f>
        <v>0</v>
      </c>
      <c r="H2057" s="31">
        <f t="shared" si="32"/>
        <v>101382.18</v>
      </c>
      <c r="I2057" s="31"/>
      <c r="K2057" t="s">
        <v>13</v>
      </c>
    </row>
    <row r="2058" spans="2:11" ht="13" x14ac:dyDescent="0.15">
      <c r="B2058" s="29" t="s">
        <v>2700</v>
      </c>
      <c r="C2058" s="29" t="s">
        <v>2416</v>
      </c>
      <c r="D2058" s="31">
        <f>SUMIFS(D2059:D3130,K2059:K3130,"0",B2059:B3130,"5 1 1 3 4 12 31111 6 M78 20000 181 00C 001 13403*")-SUMIFS(E2059:E3130,K2059:K3130,"0",B2059:B3130,"5 1 1 3 4 12 31111 6 M78 20000 181 00C 001 13403*")</f>
        <v>0</v>
      </c>
      <c r="E2058"/>
      <c r="F2058" s="31">
        <f>SUMIFS(F2059:F3130,K2059:K3130,"0",B2059:B3130,"5 1 1 3 4 12 31111 6 M78 20000 181 00C 001 13403*")</f>
        <v>86233.76</v>
      </c>
      <c r="G2058" s="31">
        <f>SUMIFS(G2059:G3130,K2059:K3130,"0",B2059:B3130,"5 1 1 3 4 12 31111 6 M78 20000 181 00C 001 13403*")</f>
        <v>0</v>
      </c>
      <c r="H2058" s="31">
        <f t="shared" si="32"/>
        <v>86233.76</v>
      </c>
      <c r="I2058" s="31"/>
      <c r="K2058" t="s">
        <v>13</v>
      </c>
    </row>
    <row r="2059" spans="2:11" ht="22" x14ac:dyDescent="0.15">
      <c r="B2059" s="29" t="s">
        <v>2701</v>
      </c>
      <c r="C2059" s="29" t="s">
        <v>271</v>
      </c>
      <c r="D2059" s="31">
        <f>SUMIFS(D2060:D3130,K2060:K3130,"0",B2060:B3130,"5 1 1 3 4 12 31111 6 M78 20000 181 00C 001 13403 015*")-SUMIFS(E2060:E3130,K2060:K3130,"0",B2060:B3130,"5 1 1 3 4 12 31111 6 M78 20000 181 00C 001 13403 015*")</f>
        <v>0</v>
      </c>
      <c r="E2059"/>
      <c r="F2059" s="31">
        <f>SUMIFS(F2060:F3130,K2060:K3130,"0",B2060:B3130,"5 1 1 3 4 12 31111 6 M78 20000 181 00C 001 13403 015*")</f>
        <v>86233.76</v>
      </c>
      <c r="G2059" s="31">
        <f>SUMIFS(G2060:G3130,K2060:K3130,"0",B2060:B3130,"5 1 1 3 4 12 31111 6 M78 20000 181 00C 001 13403 015*")</f>
        <v>0</v>
      </c>
      <c r="H2059" s="31">
        <f t="shared" ref="H2059:H2122" si="33">D2059 + F2059 - G2059</f>
        <v>86233.76</v>
      </c>
      <c r="I2059" s="31"/>
      <c r="K2059" t="s">
        <v>13</v>
      </c>
    </row>
    <row r="2060" spans="2:11" ht="22" x14ac:dyDescent="0.15">
      <c r="B2060" s="29" t="s">
        <v>2702</v>
      </c>
      <c r="C2060" s="29" t="s">
        <v>1813</v>
      </c>
      <c r="D2060" s="31">
        <f>SUMIFS(D2061:D3130,K2061:K3130,"0",B2061:B3130,"5 1 1 3 4 12 31111 6 M78 20000 181 00C 001 13403 015 2111100*")-SUMIFS(E2061:E3130,K2061:K3130,"0",B2061:B3130,"5 1 1 3 4 12 31111 6 M78 20000 181 00C 001 13403 015 2111100*")</f>
        <v>0</v>
      </c>
      <c r="E2060"/>
      <c r="F2060" s="31">
        <f>SUMIFS(F2061:F3130,K2061:K3130,"0",B2061:B3130,"5 1 1 3 4 12 31111 6 M78 20000 181 00C 001 13403 015 2111100*")</f>
        <v>86233.76</v>
      </c>
      <c r="G2060" s="31">
        <f>SUMIFS(G2061:G3130,K2061:K3130,"0",B2061:B3130,"5 1 1 3 4 12 31111 6 M78 20000 181 00C 001 13403 015 2111100*")</f>
        <v>0</v>
      </c>
      <c r="H2060" s="31">
        <f t="shared" si="33"/>
        <v>86233.76</v>
      </c>
      <c r="I2060" s="31"/>
      <c r="K2060" t="s">
        <v>13</v>
      </c>
    </row>
    <row r="2061" spans="2:11" ht="22" x14ac:dyDescent="0.15">
      <c r="B2061" s="29" t="s">
        <v>2703</v>
      </c>
      <c r="C2061" s="29" t="s">
        <v>275</v>
      </c>
      <c r="D2061" s="31">
        <f>SUMIFS(D2062:D3130,K2062:K3130,"0",B2062:B3130,"5 1 1 3 4 12 31111 6 M78 20000 181 00C 001 13403 015 2111100 2024*")-SUMIFS(E2062:E3130,K2062:K3130,"0",B2062:B3130,"5 1 1 3 4 12 31111 6 M78 20000 181 00C 001 13403 015 2111100 2024*")</f>
        <v>0</v>
      </c>
      <c r="E2061"/>
      <c r="F2061" s="31">
        <f>SUMIFS(F2062:F3130,K2062:K3130,"0",B2062:B3130,"5 1 1 3 4 12 31111 6 M78 20000 181 00C 001 13403 015 2111100 2024*")</f>
        <v>86233.76</v>
      </c>
      <c r="G2061" s="31">
        <f>SUMIFS(G2062:G3130,K2062:K3130,"0",B2062:B3130,"5 1 1 3 4 12 31111 6 M78 20000 181 00C 001 13403 015 2111100 2024*")</f>
        <v>0</v>
      </c>
      <c r="H2061" s="31">
        <f t="shared" si="33"/>
        <v>86233.76</v>
      </c>
      <c r="I2061" s="31"/>
      <c r="K2061" t="s">
        <v>13</v>
      </c>
    </row>
    <row r="2062" spans="2:11" ht="22" x14ac:dyDescent="0.15">
      <c r="B2062" s="29" t="s">
        <v>2704</v>
      </c>
      <c r="C2062" s="29" t="s">
        <v>277</v>
      </c>
      <c r="D2062" s="31">
        <f>SUMIFS(D2063:D3130,K2063:K3130,"0",B2063:B3130,"5 1 1 3 4 12 31111 6 M78 20000 181 00C 001 13403 015 2111100 2024 00000000*")-SUMIFS(E2063:E3130,K2063:K3130,"0",B2063:B3130,"5 1 1 3 4 12 31111 6 M78 20000 181 00C 001 13403 015 2111100 2024 00000000*")</f>
        <v>0</v>
      </c>
      <c r="E2062"/>
      <c r="F2062" s="31">
        <f>SUMIFS(F2063:F3130,K2063:K3130,"0",B2063:B3130,"5 1 1 3 4 12 31111 6 M78 20000 181 00C 001 13403 015 2111100 2024 00000000*")</f>
        <v>86233.76</v>
      </c>
      <c r="G2062" s="31">
        <f>SUMIFS(G2063:G3130,K2063:K3130,"0",B2063:B3130,"5 1 1 3 4 12 31111 6 M78 20000 181 00C 001 13403 015 2111100 2024 00000000*")</f>
        <v>0</v>
      </c>
      <c r="H2062" s="31">
        <f t="shared" si="33"/>
        <v>86233.76</v>
      </c>
      <c r="I2062" s="31"/>
      <c r="K2062" t="s">
        <v>13</v>
      </c>
    </row>
    <row r="2063" spans="2:11" ht="22" x14ac:dyDescent="0.15">
      <c r="B2063" s="29" t="s">
        <v>2705</v>
      </c>
      <c r="C2063" s="29" t="s">
        <v>32</v>
      </c>
      <c r="D2063" s="31">
        <f>SUMIFS(D2064:D3130,K2064:K3130,"0",B2064:B3130,"5 1 1 3 4 12 31111 6 M78 20000 181 00C 001 13403 015 2111100 2024 00000000 001*")-SUMIFS(E2064:E3130,K2064:K3130,"0",B2064:B3130,"5 1 1 3 4 12 31111 6 M78 20000 181 00C 001 13403 015 2111100 2024 00000000 001*")</f>
        <v>0</v>
      </c>
      <c r="E2063"/>
      <c r="F2063" s="31">
        <f>SUMIFS(F2064:F3130,K2064:K3130,"0",B2064:B3130,"5 1 1 3 4 12 31111 6 M78 20000 181 00C 001 13403 015 2111100 2024 00000000 001*")</f>
        <v>86233.76</v>
      </c>
      <c r="G2063" s="31">
        <f>SUMIFS(G2064:G3130,K2064:K3130,"0",B2064:B3130,"5 1 1 3 4 12 31111 6 M78 20000 181 00C 001 13403 015 2111100 2024 00000000 001*")</f>
        <v>0</v>
      </c>
      <c r="H2063" s="31">
        <f t="shared" si="33"/>
        <v>86233.76</v>
      </c>
      <c r="I2063" s="31"/>
      <c r="K2063" t="s">
        <v>13</v>
      </c>
    </row>
    <row r="2064" spans="2:11" ht="22" x14ac:dyDescent="0.15">
      <c r="B2064" s="29" t="s">
        <v>2706</v>
      </c>
      <c r="C2064" s="29" t="s">
        <v>2707</v>
      </c>
      <c r="D2064" s="31">
        <f>SUMIFS(D2065:D3130,K2065:K3130,"0",B2065:B3130,"5 1 1 3 4 12 31111 6 M78 20000 181 00C 001 13403 015 2111100 2024 00000000 001 001*")-SUMIFS(E2065:E3130,K2065:K3130,"0",B2065:B3130,"5 1 1 3 4 12 31111 6 M78 20000 181 00C 001 13403 015 2111100 2024 00000000 001 001*")</f>
        <v>0</v>
      </c>
      <c r="E2064"/>
      <c r="F2064" s="31">
        <f>SUMIFS(F2065:F3130,K2065:K3130,"0",B2065:B3130,"5 1 1 3 4 12 31111 6 M78 20000 181 00C 001 13403 015 2111100 2024 00000000 001 001*")</f>
        <v>86233.76</v>
      </c>
      <c r="G2064" s="31">
        <f>SUMIFS(G2065:G3130,K2065:K3130,"0",B2065:B3130,"5 1 1 3 4 12 31111 6 M78 20000 181 00C 001 13403 015 2111100 2024 00000000 001 001*")</f>
        <v>0</v>
      </c>
      <c r="H2064" s="31">
        <f t="shared" si="33"/>
        <v>86233.76</v>
      </c>
      <c r="I2064" s="31"/>
      <c r="K2064" t="s">
        <v>13</v>
      </c>
    </row>
    <row r="2065" spans="2:11" ht="22" x14ac:dyDescent="0.15">
      <c r="B2065" s="27" t="s">
        <v>2708</v>
      </c>
      <c r="C2065" s="27" t="s">
        <v>2416</v>
      </c>
      <c r="D2065" s="30">
        <v>0</v>
      </c>
      <c r="E2065" s="30"/>
      <c r="F2065" s="30">
        <v>86233.76</v>
      </c>
      <c r="G2065" s="30">
        <v>0</v>
      </c>
      <c r="H2065" s="30">
        <f t="shared" si="33"/>
        <v>86233.76</v>
      </c>
      <c r="I2065" s="30"/>
      <c r="K2065" t="s">
        <v>37</v>
      </c>
    </row>
    <row r="2066" spans="2:11" ht="13" x14ac:dyDescent="0.15">
      <c r="B2066" s="29" t="s">
        <v>2709</v>
      </c>
      <c r="C2066" s="29" t="s">
        <v>2418</v>
      </c>
      <c r="D2066" s="31">
        <f>SUMIFS(D2067:D3130,K2067:K3130,"0",B2067:B3130,"5 1 1 3 4 12 31111 6 M78 20000 181 00C 001 13406*")-SUMIFS(E2067:E3130,K2067:K3130,"0",B2067:B3130,"5 1 1 3 4 12 31111 6 M78 20000 181 00C 001 13406*")</f>
        <v>0</v>
      </c>
      <c r="E2066"/>
      <c r="F2066" s="31">
        <f>SUMIFS(F2067:F3130,K2067:K3130,"0",B2067:B3130,"5 1 1 3 4 12 31111 6 M78 20000 181 00C 001 13406*")</f>
        <v>15148.42</v>
      </c>
      <c r="G2066" s="31">
        <f>SUMIFS(G2067:G3130,K2067:K3130,"0",B2067:B3130,"5 1 1 3 4 12 31111 6 M78 20000 181 00C 001 13406*")</f>
        <v>0</v>
      </c>
      <c r="H2066" s="31">
        <f t="shared" si="33"/>
        <v>15148.42</v>
      </c>
      <c r="I2066" s="31"/>
      <c r="K2066" t="s">
        <v>13</v>
      </c>
    </row>
    <row r="2067" spans="2:11" ht="22" x14ac:dyDescent="0.15">
      <c r="B2067" s="29" t="s">
        <v>2710</v>
      </c>
      <c r="C2067" s="29" t="s">
        <v>271</v>
      </c>
      <c r="D2067" s="31">
        <f>SUMIFS(D2068:D3130,K2068:K3130,"0",B2068:B3130,"5 1 1 3 4 12 31111 6 M78 20000 181 00C 001 13406 015*")-SUMIFS(E2068:E3130,K2068:K3130,"0",B2068:B3130,"5 1 1 3 4 12 31111 6 M78 20000 181 00C 001 13406 015*")</f>
        <v>0</v>
      </c>
      <c r="E2067"/>
      <c r="F2067" s="31">
        <f>SUMIFS(F2068:F3130,K2068:K3130,"0",B2068:B3130,"5 1 1 3 4 12 31111 6 M78 20000 181 00C 001 13406 015*")</f>
        <v>15148.42</v>
      </c>
      <c r="G2067" s="31">
        <f>SUMIFS(G2068:G3130,K2068:K3130,"0",B2068:B3130,"5 1 1 3 4 12 31111 6 M78 20000 181 00C 001 13406 015*")</f>
        <v>0</v>
      </c>
      <c r="H2067" s="31">
        <f t="shared" si="33"/>
        <v>15148.42</v>
      </c>
      <c r="I2067" s="31"/>
      <c r="K2067" t="s">
        <v>13</v>
      </c>
    </row>
    <row r="2068" spans="2:11" ht="22" x14ac:dyDescent="0.15">
      <c r="B2068" s="29" t="s">
        <v>2711</v>
      </c>
      <c r="C2068" s="29" t="s">
        <v>1813</v>
      </c>
      <c r="D2068" s="31">
        <f>SUMIFS(D2069:D3130,K2069:K3130,"0",B2069:B3130,"5 1 1 3 4 12 31111 6 M78 20000 181 00C 001 13406 015 2111100*")-SUMIFS(E2069:E3130,K2069:K3130,"0",B2069:B3130,"5 1 1 3 4 12 31111 6 M78 20000 181 00C 001 13406 015 2111100*")</f>
        <v>0</v>
      </c>
      <c r="E2068"/>
      <c r="F2068" s="31">
        <f>SUMIFS(F2069:F3130,K2069:K3130,"0",B2069:B3130,"5 1 1 3 4 12 31111 6 M78 20000 181 00C 001 13406 015 2111100*")</f>
        <v>15148.42</v>
      </c>
      <c r="G2068" s="31">
        <f>SUMIFS(G2069:G3130,K2069:K3130,"0",B2069:B3130,"5 1 1 3 4 12 31111 6 M78 20000 181 00C 001 13406 015 2111100*")</f>
        <v>0</v>
      </c>
      <c r="H2068" s="31">
        <f t="shared" si="33"/>
        <v>15148.42</v>
      </c>
      <c r="I2068" s="31"/>
      <c r="K2068" t="s">
        <v>13</v>
      </c>
    </row>
    <row r="2069" spans="2:11" ht="22" x14ac:dyDescent="0.15">
      <c r="B2069" s="29" t="s">
        <v>2712</v>
      </c>
      <c r="C2069" s="29" t="s">
        <v>275</v>
      </c>
      <c r="D2069" s="31">
        <f>SUMIFS(D2070:D3130,K2070:K3130,"0",B2070:B3130,"5 1 1 3 4 12 31111 6 M78 20000 181 00C 001 13406 015 2111100 2024*")-SUMIFS(E2070:E3130,K2070:K3130,"0",B2070:B3130,"5 1 1 3 4 12 31111 6 M78 20000 181 00C 001 13406 015 2111100 2024*")</f>
        <v>0</v>
      </c>
      <c r="E2069"/>
      <c r="F2069" s="31">
        <f>SUMIFS(F2070:F3130,K2070:K3130,"0",B2070:B3130,"5 1 1 3 4 12 31111 6 M78 20000 181 00C 001 13406 015 2111100 2024*")</f>
        <v>15148.42</v>
      </c>
      <c r="G2069" s="31">
        <f>SUMIFS(G2070:G3130,K2070:K3130,"0",B2070:B3130,"5 1 1 3 4 12 31111 6 M78 20000 181 00C 001 13406 015 2111100 2024*")</f>
        <v>0</v>
      </c>
      <c r="H2069" s="31">
        <f t="shared" si="33"/>
        <v>15148.42</v>
      </c>
      <c r="I2069" s="31"/>
      <c r="K2069" t="s">
        <v>13</v>
      </c>
    </row>
    <row r="2070" spans="2:11" ht="22" x14ac:dyDescent="0.15">
      <c r="B2070" s="29" t="s">
        <v>2713</v>
      </c>
      <c r="C2070" s="29" t="s">
        <v>277</v>
      </c>
      <c r="D2070" s="31">
        <f>SUMIFS(D2071:D3130,K2071:K3130,"0",B2071:B3130,"5 1 1 3 4 12 31111 6 M78 20000 181 00C 001 13406 015 2111100 2024 00000000*")-SUMIFS(E2071:E3130,K2071:K3130,"0",B2071:B3130,"5 1 1 3 4 12 31111 6 M78 20000 181 00C 001 13406 015 2111100 2024 00000000*")</f>
        <v>0</v>
      </c>
      <c r="E2070"/>
      <c r="F2070" s="31">
        <f>SUMIFS(F2071:F3130,K2071:K3130,"0",B2071:B3130,"5 1 1 3 4 12 31111 6 M78 20000 181 00C 001 13406 015 2111100 2024 00000000*")</f>
        <v>15148.42</v>
      </c>
      <c r="G2070" s="31">
        <f>SUMIFS(G2071:G3130,K2071:K3130,"0",B2071:B3130,"5 1 1 3 4 12 31111 6 M78 20000 181 00C 001 13406 015 2111100 2024 00000000*")</f>
        <v>0</v>
      </c>
      <c r="H2070" s="31">
        <f t="shared" si="33"/>
        <v>15148.42</v>
      </c>
      <c r="I2070" s="31"/>
      <c r="K2070" t="s">
        <v>13</v>
      </c>
    </row>
    <row r="2071" spans="2:11" ht="22" x14ac:dyDescent="0.15">
      <c r="B2071" s="29" t="s">
        <v>2714</v>
      </c>
      <c r="C2071" s="29" t="s">
        <v>32</v>
      </c>
      <c r="D2071" s="31">
        <f>SUMIFS(D2072:D3130,K2072:K3130,"0",B2072:B3130,"5 1 1 3 4 12 31111 6 M78 20000 181 00C 001 13406 015 2111100 2024 00000000 001*")-SUMIFS(E2072:E3130,K2072:K3130,"0",B2072:B3130,"5 1 1 3 4 12 31111 6 M78 20000 181 00C 001 13406 015 2111100 2024 00000000 001*")</f>
        <v>0</v>
      </c>
      <c r="E2071"/>
      <c r="F2071" s="31">
        <f>SUMIFS(F2072:F3130,K2072:K3130,"0",B2072:B3130,"5 1 1 3 4 12 31111 6 M78 20000 181 00C 001 13406 015 2111100 2024 00000000 001*")</f>
        <v>15148.42</v>
      </c>
      <c r="G2071" s="31">
        <f>SUMIFS(G2072:G3130,K2072:K3130,"0",B2072:B3130,"5 1 1 3 4 12 31111 6 M78 20000 181 00C 001 13406 015 2111100 2024 00000000 001*")</f>
        <v>0</v>
      </c>
      <c r="H2071" s="31">
        <f t="shared" si="33"/>
        <v>15148.42</v>
      </c>
      <c r="I2071" s="31"/>
      <c r="K2071" t="s">
        <v>13</v>
      </c>
    </row>
    <row r="2072" spans="2:11" ht="22" x14ac:dyDescent="0.15">
      <c r="B2072" s="29" t="s">
        <v>2715</v>
      </c>
      <c r="C2072" s="29" t="s">
        <v>2071</v>
      </c>
      <c r="D2072" s="31">
        <f>SUMIFS(D2073:D3130,K2073:K3130,"0",B2073:B3130,"5 1 1 3 4 12 31111 6 M78 20000 181 00C 001 13406 015 2111100 2024 00000000 001 001*")-SUMIFS(E2073:E3130,K2073:K3130,"0",B2073:B3130,"5 1 1 3 4 12 31111 6 M78 20000 181 00C 001 13406 015 2111100 2024 00000000 001 001*")</f>
        <v>0</v>
      </c>
      <c r="E2072"/>
      <c r="F2072" s="31">
        <f>SUMIFS(F2073:F3130,K2073:K3130,"0",B2073:B3130,"5 1 1 3 4 12 31111 6 M78 20000 181 00C 001 13406 015 2111100 2024 00000000 001 001*")</f>
        <v>15148.42</v>
      </c>
      <c r="G2072" s="31">
        <f>SUMIFS(G2073:G3130,K2073:K3130,"0",B2073:B3130,"5 1 1 3 4 12 31111 6 M78 20000 181 00C 001 13406 015 2111100 2024 00000000 001 001*")</f>
        <v>0</v>
      </c>
      <c r="H2072" s="31">
        <f t="shared" si="33"/>
        <v>15148.42</v>
      </c>
      <c r="I2072" s="31"/>
      <c r="K2072" t="s">
        <v>13</v>
      </c>
    </row>
    <row r="2073" spans="2:11" ht="22" x14ac:dyDescent="0.15">
      <c r="B2073" s="27" t="s">
        <v>2716</v>
      </c>
      <c r="C2073" s="27" t="s">
        <v>2426</v>
      </c>
      <c r="D2073" s="30">
        <v>0</v>
      </c>
      <c r="E2073" s="30"/>
      <c r="F2073" s="30">
        <v>15148.42</v>
      </c>
      <c r="G2073" s="30">
        <v>0</v>
      </c>
      <c r="H2073" s="30">
        <f t="shared" si="33"/>
        <v>15148.42</v>
      </c>
      <c r="I2073" s="30"/>
      <c r="K2073" t="s">
        <v>37</v>
      </c>
    </row>
    <row r="2074" spans="2:11" ht="13" x14ac:dyDescent="0.15">
      <c r="B2074" s="29" t="s">
        <v>2717</v>
      </c>
      <c r="C2074" s="29" t="s">
        <v>2074</v>
      </c>
      <c r="D2074" s="31">
        <f>SUMIFS(D2075:D3130,K2075:K3130,"0",B2075:B3130,"5 1 1 3 4 12 31111 6 M78 21000*")-SUMIFS(E2075:E3130,K2075:K3130,"0",B2075:B3130,"5 1 1 3 4 12 31111 6 M78 21000*")</f>
        <v>0</v>
      </c>
      <c r="E2074"/>
      <c r="F2074" s="31">
        <f>SUMIFS(F2075:F3130,K2075:K3130,"0",B2075:B3130,"5 1 1 3 4 12 31111 6 M78 21000*")</f>
        <v>16532.71</v>
      </c>
      <c r="G2074" s="31">
        <f>SUMIFS(G2075:G3130,K2075:K3130,"0",B2075:B3130,"5 1 1 3 4 12 31111 6 M78 21000*")</f>
        <v>0</v>
      </c>
      <c r="H2074" s="31">
        <f t="shared" si="33"/>
        <v>16532.71</v>
      </c>
      <c r="I2074" s="31"/>
      <c r="K2074" t="s">
        <v>13</v>
      </c>
    </row>
    <row r="2075" spans="2:11" ht="13" x14ac:dyDescent="0.15">
      <c r="B2075" s="29" t="s">
        <v>2718</v>
      </c>
      <c r="C2075" s="29" t="s">
        <v>2076</v>
      </c>
      <c r="D2075" s="31">
        <f>SUMIFS(D2076:D3130,K2076:K3130,"0",B2076:B3130,"5 1 1 3 4 12 31111 6 M78 21000 242*")-SUMIFS(E2076:E3130,K2076:K3130,"0",B2076:B3130,"5 1 1 3 4 12 31111 6 M78 21000 242*")</f>
        <v>0</v>
      </c>
      <c r="E2075"/>
      <c r="F2075" s="31">
        <f>SUMIFS(F2076:F3130,K2076:K3130,"0",B2076:B3130,"5 1 1 3 4 12 31111 6 M78 21000 242*")</f>
        <v>16532.71</v>
      </c>
      <c r="G2075" s="31">
        <f>SUMIFS(G2076:G3130,K2076:K3130,"0",B2076:B3130,"5 1 1 3 4 12 31111 6 M78 21000 242*")</f>
        <v>0</v>
      </c>
      <c r="H2075" s="31">
        <f t="shared" si="33"/>
        <v>16532.71</v>
      </c>
      <c r="I2075" s="31"/>
      <c r="K2075" t="s">
        <v>13</v>
      </c>
    </row>
    <row r="2076" spans="2:11" ht="13" x14ac:dyDescent="0.15">
      <c r="B2076" s="29" t="s">
        <v>2719</v>
      </c>
      <c r="C2076" s="29" t="s">
        <v>265</v>
      </c>
      <c r="D2076" s="31">
        <f>SUMIFS(D2077:D3130,K2077:K3130,"0",B2077:B3130,"5 1 1 3 4 12 31111 6 M78 21000 242 00C*")-SUMIFS(E2077:E3130,K2077:K3130,"0",B2077:B3130,"5 1 1 3 4 12 31111 6 M78 21000 242 00C*")</f>
        <v>0</v>
      </c>
      <c r="E2076"/>
      <c r="F2076" s="31">
        <f>SUMIFS(F2077:F3130,K2077:K3130,"0",B2077:B3130,"5 1 1 3 4 12 31111 6 M78 21000 242 00C*")</f>
        <v>16532.71</v>
      </c>
      <c r="G2076" s="31">
        <f>SUMIFS(G2077:G3130,K2077:K3130,"0",B2077:B3130,"5 1 1 3 4 12 31111 6 M78 21000 242 00C*")</f>
        <v>0</v>
      </c>
      <c r="H2076" s="31">
        <f t="shared" si="33"/>
        <v>16532.71</v>
      </c>
      <c r="I2076" s="31"/>
      <c r="K2076" t="s">
        <v>13</v>
      </c>
    </row>
    <row r="2077" spans="2:11" ht="13" x14ac:dyDescent="0.15">
      <c r="B2077" s="29" t="s">
        <v>2720</v>
      </c>
      <c r="C2077" s="29" t="s">
        <v>32</v>
      </c>
      <c r="D2077" s="31">
        <f>SUMIFS(D2078:D3130,K2078:K3130,"0",B2078:B3130,"5 1 1 3 4 12 31111 6 M78 21000 242 00C 001*")-SUMIFS(E2078:E3130,K2078:K3130,"0",B2078:B3130,"5 1 1 3 4 12 31111 6 M78 21000 242 00C 001*")</f>
        <v>0</v>
      </c>
      <c r="E2077"/>
      <c r="F2077" s="31">
        <f>SUMIFS(F2078:F3130,K2078:K3130,"0",B2078:B3130,"5 1 1 3 4 12 31111 6 M78 21000 242 00C 001*")</f>
        <v>16532.71</v>
      </c>
      <c r="G2077" s="31">
        <f>SUMIFS(G2078:G3130,K2078:K3130,"0",B2078:B3130,"5 1 1 3 4 12 31111 6 M78 21000 242 00C 001*")</f>
        <v>0</v>
      </c>
      <c r="H2077" s="31">
        <f t="shared" si="33"/>
        <v>16532.71</v>
      </c>
      <c r="I2077" s="31"/>
      <c r="K2077" t="s">
        <v>13</v>
      </c>
    </row>
    <row r="2078" spans="2:11" ht="13" x14ac:dyDescent="0.15">
      <c r="B2078" s="29" t="s">
        <v>2721</v>
      </c>
      <c r="C2078" s="29" t="s">
        <v>2418</v>
      </c>
      <c r="D2078" s="31">
        <f>SUMIFS(D2079:D3130,K2079:K3130,"0",B2079:B3130,"5 1 1 3 4 12 31111 6 M78 21000 242 00C 001 13406*")-SUMIFS(E2079:E3130,K2079:K3130,"0",B2079:B3130,"5 1 1 3 4 12 31111 6 M78 21000 242 00C 001 13406*")</f>
        <v>0</v>
      </c>
      <c r="E2078"/>
      <c r="F2078" s="31">
        <f>SUMIFS(F2079:F3130,K2079:K3130,"0",B2079:B3130,"5 1 1 3 4 12 31111 6 M78 21000 242 00C 001 13406*")</f>
        <v>16532.71</v>
      </c>
      <c r="G2078" s="31">
        <f>SUMIFS(G2079:G3130,K2079:K3130,"0",B2079:B3130,"5 1 1 3 4 12 31111 6 M78 21000 242 00C 001 13406*")</f>
        <v>0</v>
      </c>
      <c r="H2078" s="31">
        <f t="shared" si="33"/>
        <v>16532.71</v>
      </c>
      <c r="I2078" s="31"/>
      <c r="K2078" t="s">
        <v>13</v>
      </c>
    </row>
    <row r="2079" spans="2:11" ht="22" x14ac:dyDescent="0.15">
      <c r="B2079" s="29" t="s">
        <v>2722</v>
      </c>
      <c r="C2079" s="29" t="s">
        <v>271</v>
      </c>
      <c r="D2079" s="31">
        <f>SUMIFS(D2080:D3130,K2080:K3130,"0",B2080:B3130,"5 1 1 3 4 12 31111 6 M78 21000 242 00C 001 13406 015*")-SUMIFS(E2080:E3130,K2080:K3130,"0",B2080:B3130,"5 1 1 3 4 12 31111 6 M78 21000 242 00C 001 13406 015*")</f>
        <v>0</v>
      </c>
      <c r="E2079"/>
      <c r="F2079" s="31">
        <f>SUMIFS(F2080:F3130,K2080:K3130,"0",B2080:B3130,"5 1 1 3 4 12 31111 6 M78 21000 242 00C 001 13406 015*")</f>
        <v>16532.71</v>
      </c>
      <c r="G2079" s="31">
        <f>SUMIFS(G2080:G3130,K2080:K3130,"0",B2080:B3130,"5 1 1 3 4 12 31111 6 M78 21000 242 00C 001 13406 015*")</f>
        <v>0</v>
      </c>
      <c r="H2079" s="31">
        <f t="shared" si="33"/>
        <v>16532.71</v>
      </c>
      <c r="I2079" s="31"/>
      <c r="K2079" t="s">
        <v>13</v>
      </c>
    </row>
    <row r="2080" spans="2:11" ht="22" x14ac:dyDescent="0.15">
      <c r="B2080" s="29" t="s">
        <v>2723</v>
      </c>
      <c r="C2080" s="29" t="s">
        <v>1813</v>
      </c>
      <c r="D2080" s="31">
        <f>SUMIFS(D2081:D3130,K2081:K3130,"0",B2081:B3130,"5 1 1 3 4 12 31111 6 M78 21000 242 00C 001 13406 015 2111100*")-SUMIFS(E2081:E3130,K2081:K3130,"0",B2081:B3130,"5 1 1 3 4 12 31111 6 M78 21000 242 00C 001 13406 015 2111100*")</f>
        <v>0</v>
      </c>
      <c r="E2080"/>
      <c r="F2080" s="31">
        <f>SUMIFS(F2081:F3130,K2081:K3130,"0",B2081:B3130,"5 1 1 3 4 12 31111 6 M78 21000 242 00C 001 13406 015 2111100*")</f>
        <v>16532.71</v>
      </c>
      <c r="G2080" s="31">
        <f>SUMIFS(G2081:G3130,K2081:K3130,"0",B2081:B3130,"5 1 1 3 4 12 31111 6 M78 21000 242 00C 001 13406 015 2111100*")</f>
        <v>0</v>
      </c>
      <c r="H2080" s="31">
        <f t="shared" si="33"/>
        <v>16532.71</v>
      </c>
      <c r="I2080" s="31"/>
      <c r="K2080" t="s">
        <v>13</v>
      </c>
    </row>
    <row r="2081" spans="2:11" ht="22" x14ac:dyDescent="0.15">
      <c r="B2081" s="29" t="s">
        <v>2724</v>
      </c>
      <c r="C2081" s="29" t="s">
        <v>275</v>
      </c>
      <c r="D2081" s="31">
        <f>SUMIFS(D2082:D3130,K2082:K3130,"0",B2082:B3130,"5 1 1 3 4 12 31111 6 M78 21000 242 00C 001 13406 015 2111100 2024*")-SUMIFS(E2082:E3130,K2082:K3130,"0",B2082:B3130,"5 1 1 3 4 12 31111 6 M78 21000 242 00C 001 13406 015 2111100 2024*")</f>
        <v>0</v>
      </c>
      <c r="E2081"/>
      <c r="F2081" s="31">
        <f>SUMIFS(F2082:F3130,K2082:K3130,"0",B2082:B3130,"5 1 1 3 4 12 31111 6 M78 21000 242 00C 001 13406 015 2111100 2024*")</f>
        <v>16532.71</v>
      </c>
      <c r="G2081" s="31">
        <f>SUMIFS(G2082:G3130,K2082:K3130,"0",B2082:B3130,"5 1 1 3 4 12 31111 6 M78 21000 242 00C 001 13406 015 2111100 2024*")</f>
        <v>0</v>
      </c>
      <c r="H2081" s="31">
        <f t="shared" si="33"/>
        <v>16532.71</v>
      </c>
      <c r="I2081" s="31"/>
      <c r="K2081" t="s">
        <v>13</v>
      </c>
    </row>
    <row r="2082" spans="2:11" ht="22" x14ac:dyDescent="0.15">
      <c r="B2082" s="29" t="s">
        <v>2725</v>
      </c>
      <c r="C2082" s="29" t="s">
        <v>277</v>
      </c>
      <c r="D2082" s="31">
        <f>SUMIFS(D2083:D3130,K2083:K3130,"0",B2083:B3130,"5 1 1 3 4 12 31111 6 M78 21000 242 00C 001 13406 015 2111100 2024 00000000*")-SUMIFS(E2083:E3130,K2083:K3130,"0",B2083:B3130,"5 1 1 3 4 12 31111 6 M78 21000 242 00C 001 13406 015 2111100 2024 00000000*")</f>
        <v>0</v>
      </c>
      <c r="E2082"/>
      <c r="F2082" s="31">
        <f>SUMIFS(F2083:F3130,K2083:K3130,"0",B2083:B3130,"5 1 1 3 4 12 31111 6 M78 21000 242 00C 001 13406 015 2111100 2024 00000000*")</f>
        <v>16532.71</v>
      </c>
      <c r="G2082" s="31">
        <f>SUMIFS(G2083:G3130,K2083:K3130,"0",B2083:B3130,"5 1 1 3 4 12 31111 6 M78 21000 242 00C 001 13406 015 2111100 2024 00000000*")</f>
        <v>0</v>
      </c>
      <c r="H2082" s="31">
        <f t="shared" si="33"/>
        <v>16532.71</v>
      </c>
      <c r="I2082" s="31"/>
      <c r="K2082" t="s">
        <v>13</v>
      </c>
    </row>
    <row r="2083" spans="2:11" ht="22" x14ac:dyDescent="0.15">
      <c r="B2083" s="29" t="s">
        <v>2726</v>
      </c>
      <c r="C2083" s="29" t="s">
        <v>2085</v>
      </c>
      <c r="D2083" s="31">
        <f>SUMIFS(D2084:D3130,K2084:K3130,"0",B2084:B3130,"5 1 1 3 4 12 31111 6 M78 21000 242 00C 001 13406 015 2111100 2024 00000000 001*")-SUMIFS(E2084:E3130,K2084:K3130,"0",B2084:B3130,"5 1 1 3 4 12 31111 6 M78 21000 242 00C 001 13406 015 2111100 2024 00000000 001*")</f>
        <v>0</v>
      </c>
      <c r="E2083"/>
      <c r="F2083" s="31">
        <f>SUMIFS(F2084:F3130,K2084:K3130,"0",B2084:B3130,"5 1 1 3 4 12 31111 6 M78 21000 242 00C 001 13406 015 2111100 2024 00000000 001*")</f>
        <v>16532.71</v>
      </c>
      <c r="G2083" s="31">
        <f>SUMIFS(G2084:G3130,K2084:K3130,"0",B2084:B3130,"5 1 1 3 4 12 31111 6 M78 21000 242 00C 001 13406 015 2111100 2024 00000000 001*")</f>
        <v>0</v>
      </c>
      <c r="H2083" s="31">
        <f t="shared" si="33"/>
        <v>16532.71</v>
      </c>
      <c r="I2083" s="31"/>
      <c r="K2083" t="s">
        <v>13</v>
      </c>
    </row>
    <row r="2084" spans="2:11" ht="22" x14ac:dyDescent="0.15">
      <c r="B2084" s="29" t="s">
        <v>2727</v>
      </c>
      <c r="C2084" s="29" t="s">
        <v>2087</v>
      </c>
      <c r="D2084" s="31">
        <f>SUMIFS(D2085:D3130,K2085:K3130,"0",B2085:B3130,"5 1 1 3 4 12 31111 6 M78 21000 242 00C 001 13406 015 2111100 2024 00000000 001 001*")-SUMIFS(E2085:E3130,K2085:K3130,"0",B2085:B3130,"5 1 1 3 4 12 31111 6 M78 21000 242 00C 001 13406 015 2111100 2024 00000000 001 001*")</f>
        <v>0</v>
      </c>
      <c r="E2084"/>
      <c r="F2084" s="31">
        <f>SUMIFS(F2085:F3130,K2085:K3130,"0",B2085:B3130,"5 1 1 3 4 12 31111 6 M78 21000 242 00C 001 13406 015 2111100 2024 00000000 001 001*")</f>
        <v>16532.71</v>
      </c>
      <c r="G2084" s="31">
        <f>SUMIFS(G2085:G3130,K2085:K3130,"0",B2085:B3130,"5 1 1 3 4 12 31111 6 M78 21000 242 00C 001 13406 015 2111100 2024 00000000 001 001*")</f>
        <v>0</v>
      </c>
      <c r="H2084" s="31">
        <f t="shared" si="33"/>
        <v>16532.71</v>
      </c>
      <c r="I2084" s="31"/>
      <c r="K2084" t="s">
        <v>13</v>
      </c>
    </row>
    <row r="2085" spans="2:11" ht="22" x14ac:dyDescent="0.15">
      <c r="B2085" s="27" t="s">
        <v>2728</v>
      </c>
      <c r="C2085" s="27" t="s">
        <v>2426</v>
      </c>
      <c r="D2085" s="30">
        <v>0</v>
      </c>
      <c r="E2085" s="30"/>
      <c r="F2085" s="30">
        <v>16532.71</v>
      </c>
      <c r="G2085" s="30">
        <v>0</v>
      </c>
      <c r="H2085" s="30">
        <f t="shared" si="33"/>
        <v>16532.71</v>
      </c>
      <c r="I2085" s="30"/>
      <c r="K2085" t="s">
        <v>37</v>
      </c>
    </row>
    <row r="2086" spans="2:11" ht="13" x14ac:dyDescent="0.15">
      <c r="B2086" s="29" t="s">
        <v>2729</v>
      </c>
      <c r="C2086" s="29" t="s">
        <v>2090</v>
      </c>
      <c r="D2086" s="31">
        <f>SUMIFS(D2087:D3130,K2087:K3130,"0",B2087:B3130,"5 1 1 3 4 12 31111 6 M78 22000*")-SUMIFS(E2087:E3130,K2087:K3130,"0",B2087:B3130,"5 1 1 3 4 12 31111 6 M78 22000*")</f>
        <v>0</v>
      </c>
      <c r="E2086"/>
      <c r="F2086" s="31">
        <f>SUMIFS(F2087:F3130,K2087:K3130,"0",B2087:B3130,"5 1 1 3 4 12 31111 6 M78 22000*")</f>
        <v>15744.779999999999</v>
      </c>
      <c r="G2086" s="31">
        <f>SUMIFS(G2087:G3130,K2087:K3130,"0",B2087:B3130,"5 1 1 3 4 12 31111 6 M78 22000*")</f>
        <v>0</v>
      </c>
      <c r="H2086" s="31">
        <f t="shared" si="33"/>
        <v>15744.779999999999</v>
      </c>
      <c r="I2086" s="31"/>
      <c r="K2086" t="s">
        <v>13</v>
      </c>
    </row>
    <row r="2087" spans="2:11" ht="13" x14ac:dyDescent="0.15">
      <c r="B2087" s="29" t="s">
        <v>2730</v>
      </c>
      <c r="C2087" s="29" t="s">
        <v>2092</v>
      </c>
      <c r="D2087" s="31">
        <f>SUMIFS(D2088:D3130,K2088:K3130,"0",B2088:B3130,"5 1 1 3 4 12 31111 6 M78 22000 271*")-SUMIFS(E2088:E3130,K2088:K3130,"0",B2088:B3130,"5 1 1 3 4 12 31111 6 M78 22000 271*")</f>
        <v>0</v>
      </c>
      <c r="E2087"/>
      <c r="F2087" s="31">
        <f>SUMIFS(F2088:F3130,K2088:K3130,"0",B2088:B3130,"5 1 1 3 4 12 31111 6 M78 22000 271*")</f>
        <v>15744.779999999999</v>
      </c>
      <c r="G2087" s="31">
        <f>SUMIFS(G2088:G3130,K2088:K3130,"0",B2088:B3130,"5 1 1 3 4 12 31111 6 M78 22000 271*")</f>
        <v>0</v>
      </c>
      <c r="H2087" s="31">
        <f t="shared" si="33"/>
        <v>15744.779999999999</v>
      </c>
      <c r="I2087" s="31"/>
      <c r="K2087" t="s">
        <v>13</v>
      </c>
    </row>
    <row r="2088" spans="2:11" ht="13" x14ac:dyDescent="0.15">
      <c r="B2088" s="29" t="s">
        <v>2731</v>
      </c>
      <c r="C2088" s="29" t="s">
        <v>265</v>
      </c>
      <c r="D2088" s="31">
        <f>SUMIFS(D2089:D3130,K2089:K3130,"0",B2089:B3130,"5 1 1 3 4 12 31111 6 M78 22000 271 00C*")-SUMIFS(E2089:E3130,K2089:K3130,"0",B2089:B3130,"5 1 1 3 4 12 31111 6 M78 22000 271 00C*")</f>
        <v>0</v>
      </c>
      <c r="E2088"/>
      <c r="F2088" s="31">
        <f>SUMIFS(F2089:F3130,K2089:K3130,"0",B2089:B3130,"5 1 1 3 4 12 31111 6 M78 22000 271 00C*")</f>
        <v>15744.779999999999</v>
      </c>
      <c r="G2088" s="31">
        <f>SUMIFS(G2089:G3130,K2089:K3130,"0",B2089:B3130,"5 1 1 3 4 12 31111 6 M78 22000 271 00C*")</f>
        <v>0</v>
      </c>
      <c r="H2088" s="31">
        <f t="shared" si="33"/>
        <v>15744.779999999999</v>
      </c>
      <c r="I2088" s="31"/>
      <c r="K2088" t="s">
        <v>13</v>
      </c>
    </row>
    <row r="2089" spans="2:11" ht="13" x14ac:dyDescent="0.15">
      <c r="B2089" s="29" t="s">
        <v>2732</v>
      </c>
      <c r="C2089" s="29" t="s">
        <v>32</v>
      </c>
      <c r="D2089" s="31">
        <f>SUMIFS(D2090:D3130,K2090:K3130,"0",B2090:B3130,"5 1 1 3 4 12 31111 6 M78 22000 271 00C 001*")-SUMIFS(E2090:E3130,K2090:K3130,"0",B2090:B3130,"5 1 1 3 4 12 31111 6 M78 22000 271 00C 001*")</f>
        <v>0</v>
      </c>
      <c r="E2089"/>
      <c r="F2089" s="31">
        <f>SUMIFS(F2090:F3130,K2090:K3130,"0",B2090:B3130,"5 1 1 3 4 12 31111 6 M78 22000 271 00C 001*")</f>
        <v>15744.779999999999</v>
      </c>
      <c r="G2089" s="31">
        <f>SUMIFS(G2090:G3130,K2090:K3130,"0",B2090:B3130,"5 1 1 3 4 12 31111 6 M78 22000 271 00C 001*")</f>
        <v>0</v>
      </c>
      <c r="H2089" s="31">
        <f t="shared" si="33"/>
        <v>15744.779999999999</v>
      </c>
      <c r="I2089" s="31"/>
      <c r="K2089" t="s">
        <v>13</v>
      </c>
    </row>
    <row r="2090" spans="2:11" ht="13" x14ac:dyDescent="0.15">
      <c r="B2090" s="29" t="s">
        <v>2733</v>
      </c>
      <c r="C2090" s="29" t="s">
        <v>2416</v>
      </c>
      <c r="D2090" s="31">
        <f>SUMIFS(D2091:D3130,K2091:K3130,"0",B2091:B3130,"5 1 1 3 4 12 31111 6 M78 22000 271 00C 001 13403*")-SUMIFS(E2091:E3130,K2091:K3130,"0",B2091:B3130,"5 1 1 3 4 12 31111 6 M78 22000 271 00C 001 13403*")</f>
        <v>0</v>
      </c>
      <c r="E2090"/>
      <c r="F2090" s="31">
        <f>SUMIFS(F2091:F3130,K2091:K3130,"0",B2091:B3130,"5 1 1 3 4 12 31111 6 M78 22000 271 00C 001 13403*")</f>
        <v>8285.1299999999992</v>
      </c>
      <c r="G2090" s="31">
        <f>SUMIFS(G2091:G3130,K2091:K3130,"0",B2091:B3130,"5 1 1 3 4 12 31111 6 M78 22000 271 00C 001 13403*")</f>
        <v>0</v>
      </c>
      <c r="H2090" s="31">
        <f t="shared" si="33"/>
        <v>8285.1299999999992</v>
      </c>
      <c r="I2090" s="31"/>
      <c r="K2090" t="s">
        <v>13</v>
      </c>
    </row>
    <row r="2091" spans="2:11" ht="22" x14ac:dyDescent="0.15">
      <c r="B2091" s="29" t="s">
        <v>2734</v>
      </c>
      <c r="C2091" s="29" t="s">
        <v>271</v>
      </c>
      <c r="D2091" s="31">
        <f>SUMIFS(D2092:D3130,K2092:K3130,"0",B2092:B3130,"5 1 1 3 4 12 31111 6 M78 22000 271 00C 001 13403 015*")-SUMIFS(E2092:E3130,K2092:K3130,"0",B2092:B3130,"5 1 1 3 4 12 31111 6 M78 22000 271 00C 001 13403 015*")</f>
        <v>0</v>
      </c>
      <c r="E2091"/>
      <c r="F2091" s="31">
        <f>SUMIFS(F2092:F3130,K2092:K3130,"0",B2092:B3130,"5 1 1 3 4 12 31111 6 M78 22000 271 00C 001 13403 015*")</f>
        <v>8285.1299999999992</v>
      </c>
      <c r="G2091" s="31">
        <f>SUMIFS(G2092:G3130,K2092:K3130,"0",B2092:B3130,"5 1 1 3 4 12 31111 6 M78 22000 271 00C 001 13403 015*")</f>
        <v>0</v>
      </c>
      <c r="H2091" s="31">
        <f t="shared" si="33"/>
        <v>8285.1299999999992</v>
      </c>
      <c r="I2091" s="31"/>
      <c r="K2091" t="s">
        <v>13</v>
      </c>
    </row>
    <row r="2092" spans="2:11" ht="22" x14ac:dyDescent="0.15">
      <c r="B2092" s="29" t="s">
        <v>2735</v>
      </c>
      <c r="C2092" s="29" t="s">
        <v>1813</v>
      </c>
      <c r="D2092" s="31">
        <f>SUMIFS(D2093:D3130,K2093:K3130,"0",B2093:B3130,"5 1 1 3 4 12 31111 6 M78 22000 271 00C 001 13403 015 2111100*")-SUMIFS(E2093:E3130,K2093:K3130,"0",B2093:B3130,"5 1 1 3 4 12 31111 6 M78 22000 271 00C 001 13403 015 2111100*")</f>
        <v>0</v>
      </c>
      <c r="E2092"/>
      <c r="F2092" s="31">
        <f>SUMIFS(F2093:F3130,K2093:K3130,"0",B2093:B3130,"5 1 1 3 4 12 31111 6 M78 22000 271 00C 001 13403 015 2111100*")</f>
        <v>8285.1299999999992</v>
      </c>
      <c r="G2092" s="31">
        <f>SUMIFS(G2093:G3130,K2093:K3130,"0",B2093:B3130,"5 1 1 3 4 12 31111 6 M78 22000 271 00C 001 13403 015 2111100*")</f>
        <v>0</v>
      </c>
      <c r="H2092" s="31">
        <f t="shared" si="33"/>
        <v>8285.1299999999992</v>
      </c>
      <c r="I2092" s="31"/>
      <c r="K2092" t="s">
        <v>13</v>
      </c>
    </row>
    <row r="2093" spans="2:11" ht="22" x14ac:dyDescent="0.15">
      <c r="B2093" s="29" t="s">
        <v>2736</v>
      </c>
      <c r="C2093" s="29" t="s">
        <v>275</v>
      </c>
      <c r="D2093" s="31">
        <f>SUMIFS(D2094:D3130,K2094:K3130,"0",B2094:B3130,"5 1 1 3 4 12 31111 6 M78 22000 271 00C 001 13403 015 2111100 2024*")-SUMIFS(E2094:E3130,K2094:K3130,"0",B2094:B3130,"5 1 1 3 4 12 31111 6 M78 22000 271 00C 001 13403 015 2111100 2024*")</f>
        <v>0</v>
      </c>
      <c r="E2093"/>
      <c r="F2093" s="31">
        <f>SUMIFS(F2094:F3130,K2094:K3130,"0",B2094:B3130,"5 1 1 3 4 12 31111 6 M78 22000 271 00C 001 13403 015 2111100 2024*")</f>
        <v>8285.1299999999992</v>
      </c>
      <c r="G2093" s="31">
        <f>SUMIFS(G2094:G3130,K2094:K3130,"0",B2094:B3130,"5 1 1 3 4 12 31111 6 M78 22000 271 00C 001 13403 015 2111100 2024*")</f>
        <v>0</v>
      </c>
      <c r="H2093" s="31">
        <f t="shared" si="33"/>
        <v>8285.1299999999992</v>
      </c>
      <c r="I2093" s="31"/>
      <c r="K2093" t="s">
        <v>13</v>
      </c>
    </row>
    <row r="2094" spans="2:11" ht="22" x14ac:dyDescent="0.15">
      <c r="B2094" s="29" t="s">
        <v>2737</v>
      </c>
      <c r="C2094" s="29" t="s">
        <v>277</v>
      </c>
      <c r="D2094" s="31">
        <f>SUMIFS(D2095:D3130,K2095:K3130,"0",B2095:B3130,"5 1 1 3 4 12 31111 6 M78 22000 271 00C 001 13403 015 2111100 2024 00000000*")-SUMIFS(E2095:E3130,K2095:K3130,"0",B2095:B3130,"5 1 1 3 4 12 31111 6 M78 22000 271 00C 001 13403 015 2111100 2024 00000000*")</f>
        <v>0</v>
      </c>
      <c r="E2094"/>
      <c r="F2094" s="31">
        <f>SUMIFS(F2095:F3130,K2095:K3130,"0",B2095:B3130,"5 1 1 3 4 12 31111 6 M78 22000 271 00C 001 13403 015 2111100 2024 00000000*")</f>
        <v>8285.1299999999992</v>
      </c>
      <c r="G2094" s="31">
        <f>SUMIFS(G2095:G3130,K2095:K3130,"0",B2095:B3130,"5 1 1 3 4 12 31111 6 M78 22000 271 00C 001 13403 015 2111100 2024 00000000*")</f>
        <v>0</v>
      </c>
      <c r="H2094" s="31">
        <f t="shared" si="33"/>
        <v>8285.1299999999992</v>
      </c>
      <c r="I2094" s="31"/>
      <c r="K2094" t="s">
        <v>13</v>
      </c>
    </row>
    <row r="2095" spans="2:11" ht="22" x14ac:dyDescent="0.15">
      <c r="B2095" s="29" t="s">
        <v>2738</v>
      </c>
      <c r="C2095" s="29" t="s">
        <v>32</v>
      </c>
      <c r="D2095" s="31">
        <f>SUMIFS(D2096:D3130,K2096:K3130,"0",B2096:B3130,"5 1 1 3 4 12 31111 6 M78 22000 271 00C 001 13403 015 2111100 2024 00000000 001*")-SUMIFS(E2096:E3130,K2096:K3130,"0",B2096:B3130,"5 1 1 3 4 12 31111 6 M78 22000 271 00C 001 13403 015 2111100 2024 00000000 001*")</f>
        <v>0</v>
      </c>
      <c r="E2095"/>
      <c r="F2095" s="31">
        <f>SUMIFS(F2096:F3130,K2096:K3130,"0",B2096:B3130,"5 1 1 3 4 12 31111 6 M78 22000 271 00C 001 13403 015 2111100 2024 00000000 001*")</f>
        <v>8285.1299999999992</v>
      </c>
      <c r="G2095" s="31">
        <f>SUMIFS(G2096:G3130,K2096:K3130,"0",B2096:B3130,"5 1 1 3 4 12 31111 6 M78 22000 271 00C 001 13403 015 2111100 2024 00000000 001*")</f>
        <v>0</v>
      </c>
      <c r="H2095" s="31">
        <f t="shared" si="33"/>
        <v>8285.1299999999992</v>
      </c>
      <c r="I2095" s="31"/>
      <c r="K2095" t="s">
        <v>13</v>
      </c>
    </row>
    <row r="2096" spans="2:11" ht="22" x14ac:dyDescent="0.15">
      <c r="B2096" s="29" t="s">
        <v>2739</v>
      </c>
      <c r="C2096" s="29" t="s">
        <v>2102</v>
      </c>
      <c r="D2096" s="31">
        <f>SUMIFS(D2097:D3130,K2097:K3130,"0",B2097:B3130,"5 1 1 3 4 12 31111 6 M78 22000 271 00C 001 13403 015 2111100 2024 00000000 001 001*")-SUMIFS(E2097:E3130,K2097:K3130,"0",B2097:B3130,"5 1 1 3 4 12 31111 6 M78 22000 271 00C 001 13403 015 2111100 2024 00000000 001 001*")</f>
        <v>0</v>
      </c>
      <c r="E2096"/>
      <c r="F2096" s="31">
        <f>SUMIFS(F2097:F3130,K2097:K3130,"0",B2097:B3130,"5 1 1 3 4 12 31111 6 M78 22000 271 00C 001 13403 015 2111100 2024 00000000 001 001*")</f>
        <v>8285.1299999999992</v>
      </c>
      <c r="G2096" s="31">
        <f>SUMIFS(G2097:G3130,K2097:K3130,"0",B2097:B3130,"5 1 1 3 4 12 31111 6 M78 22000 271 00C 001 13403 015 2111100 2024 00000000 001 001*")</f>
        <v>0</v>
      </c>
      <c r="H2096" s="31">
        <f t="shared" si="33"/>
        <v>8285.1299999999992</v>
      </c>
      <c r="I2096" s="31"/>
      <c r="K2096" t="s">
        <v>13</v>
      </c>
    </row>
    <row r="2097" spans="2:11" ht="22" x14ac:dyDescent="0.15">
      <c r="B2097" s="27" t="s">
        <v>2740</v>
      </c>
      <c r="C2097" s="27" t="s">
        <v>2416</v>
      </c>
      <c r="D2097" s="30">
        <v>0</v>
      </c>
      <c r="E2097" s="30"/>
      <c r="F2097" s="30">
        <v>8285.1299999999992</v>
      </c>
      <c r="G2097" s="30">
        <v>0</v>
      </c>
      <c r="H2097" s="30">
        <f t="shared" si="33"/>
        <v>8285.1299999999992</v>
      </c>
      <c r="I2097" s="30"/>
      <c r="K2097" t="s">
        <v>37</v>
      </c>
    </row>
    <row r="2098" spans="2:11" ht="13" x14ac:dyDescent="0.15">
      <c r="B2098" s="29" t="s">
        <v>2741</v>
      </c>
      <c r="C2098" s="29" t="s">
        <v>2418</v>
      </c>
      <c r="D2098" s="31">
        <f>SUMIFS(D2099:D3130,K2099:K3130,"0",B2099:B3130,"5 1 1 3 4 12 31111 6 M78 22000 271 00C 001 13406*")-SUMIFS(E2099:E3130,K2099:K3130,"0",B2099:B3130,"5 1 1 3 4 12 31111 6 M78 22000 271 00C 001 13406*")</f>
        <v>0</v>
      </c>
      <c r="E2098"/>
      <c r="F2098" s="31">
        <f>SUMIFS(F2099:F3130,K2099:K3130,"0",B2099:B3130,"5 1 1 3 4 12 31111 6 M78 22000 271 00C 001 13406*")</f>
        <v>7459.65</v>
      </c>
      <c r="G2098" s="31">
        <f>SUMIFS(G2099:G3130,K2099:K3130,"0",B2099:B3130,"5 1 1 3 4 12 31111 6 M78 22000 271 00C 001 13406*")</f>
        <v>0</v>
      </c>
      <c r="H2098" s="31">
        <f t="shared" si="33"/>
        <v>7459.65</v>
      </c>
      <c r="I2098" s="31"/>
      <c r="K2098" t="s">
        <v>13</v>
      </c>
    </row>
    <row r="2099" spans="2:11" ht="22" x14ac:dyDescent="0.15">
      <c r="B2099" s="29" t="s">
        <v>2742</v>
      </c>
      <c r="C2099" s="29" t="s">
        <v>271</v>
      </c>
      <c r="D2099" s="31">
        <f>SUMIFS(D2100:D3130,K2100:K3130,"0",B2100:B3130,"5 1 1 3 4 12 31111 6 M78 22000 271 00C 001 13406 015*")-SUMIFS(E2100:E3130,K2100:K3130,"0",B2100:B3130,"5 1 1 3 4 12 31111 6 M78 22000 271 00C 001 13406 015*")</f>
        <v>0</v>
      </c>
      <c r="E2099"/>
      <c r="F2099" s="31">
        <f>SUMIFS(F2100:F3130,K2100:K3130,"0",B2100:B3130,"5 1 1 3 4 12 31111 6 M78 22000 271 00C 001 13406 015*")</f>
        <v>7459.65</v>
      </c>
      <c r="G2099" s="31">
        <f>SUMIFS(G2100:G3130,K2100:K3130,"0",B2100:B3130,"5 1 1 3 4 12 31111 6 M78 22000 271 00C 001 13406 015*")</f>
        <v>0</v>
      </c>
      <c r="H2099" s="31">
        <f t="shared" si="33"/>
        <v>7459.65</v>
      </c>
      <c r="I2099" s="31"/>
      <c r="K2099" t="s">
        <v>13</v>
      </c>
    </row>
    <row r="2100" spans="2:11" ht="22" x14ac:dyDescent="0.15">
      <c r="B2100" s="29" t="s">
        <v>2743</v>
      </c>
      <c r="C2100" s="29" t="s">
        <v>1813</v>
      </c>
      <c r="D2100" s="31">
        <f>SUMIFS(D2101:D3130,K2101:K3130,"0",B2101:B3130,"5 1 1 3 4 12 31111 6 M78 22000 271 00C 001 13406 015 2111100*")-SUMIFS(E2101:E3130,K2101:K3130,"0",B2101:B3130,"5 1 1 3 4 12 31111 6 M78 22000 271 00C 001 13406 015 2111100*")</f>
        <v>0</v>
      </c>
      <c r="E2100"/>
      <c r="F2100" s="31">
        <f>SUMIFS(F2101:F3130,K2101:K3130,"0",B2101:B3130,"5 1 1 3 4 12 31111 6 M78 22000 271 00C 001 13406 015 2111100*")</f>
        <v>7459.65</v>
      </c>
      <c r="G2100" s="31">
        <f>SUMIFS(G2101:G3130,K2101:K3130,"0",B2101:B3130,"5 1 1 3 4 12 31111 6 M78 22000 271 00C 001 13406 015 2111100*")</f>
        <v>0</v>
      </c>
      <c r="H2100" s="31">
        <f t="shared" si="33"/>
        <v>7459.65</v>
      </c>
      <c r="I2100" s="31"/>
      <c r="K2100" t="s">
        <v>13</v>
      </c>
    </row>
    <row r="2101" spans="2:11" ht="22" x14ac:dyDescent="0.15">
      <c r="B2101" s="29" t="s">
        <v>2744</v>
      </c>
      <c r="C2101" s="29" t="s">
        <v>275</v>
      </c>
      <c r="D2101" s="31">
        <f>SUMIFS(D2102:D3130,K2102:K3130,"0",B2102:B3130,"5 1 1 3 4 12 31111 6 M78 22000 271 00C 001 13406 015 2111100 2024*")-SUMIFS(E2102:E3130,K2102:K3130,"0",B2102:B3130,"5 1 1 3 4 12 31111 6 M78 22000 271 00C 001 13406 015 2111100 2024*")</f>
        <v>0</v>
      </c>
      <c r="E2101"/>
      <c r="F2101" s="31">
        <f>SUMIFS(F2102:F3130,K2102:K3130,"0",B2102:B3130,"5 1 1 3 4 12 31111 6 M78 22000 271 00C 001 13406 015 2111100 2024*")</f>
        <v>7459.65</v>
      </c>
      <c r="G2101" s="31">
        <f>SUMIFS(G2102:G3130,K2102:K3130,"0",B2102:B3130,"5 1 1 3 4 12 31111 6 M78 22000 271 00C 001 13406 015 2111100 2024*")</f>
        <v>0</v>
      </c>
      <c r="H2101" s="31">
        <f t="shared" si="33"/>
        <v>7459.65</v>
      </c>
      <c r="I2101" s="31"/>
      <c r="K2101" t="s">
        <v>13</v>
      </c>
    </row>
    <row r="2102" spans="2:11" ht="22" x14ac:dyDescent="0.15">
      <c r="B2102" s="29" t="s">
        <v>2745</v>
      </c>
      <c r="C2102" s="29" t="s">
        <v>277</v>
      </c>
      <c r="D2102" s="31">
        <f>SUMIFS(D2103:D3130,K2103:K3130,"0",B2103:B3130,"5 1 1 3 4 12 31111 6 M78 22000 271 00C 001 13406 015 2111100 2024 00000000*")-SUMIFS(E2103:E3130,K2103:K3130,"0",B2103:B3130,"5 1 1 3 4 12 31111 6 M78 22000 271 00C 001 13406 015 2111100 2024 00000000*")</f>
        <v>0</v>
      </c>
      <c r="E2102"/>
      <c r="F2102" s="31">
        <f>SUMIFS(F2103:F3130,K2103:K3130,"0",B2103:B3130,"5 1 1 3 4 12 31111 6 M78 22000 271 00C 001 13406 015 2111100 2024 00000000*")</f>
        <v>7459.65</v>
      </c>
      <c r="G2102" s="31">
        <f>SUMIFS(G2103:G3130,K2103:K3130,"0",B2103:B3130,"5 1 1 3 4 12 31111 6 M78 22000 271 00C 001 13406 015 2111100 2024 00000000*")</f>
        <v>0</v>
      </c>
      <c r="H2102" s="31">
        <f t="shared" si="33"/>
        <v>7459.65</v>
      </c>
      <c r="I2102" s="31"/>
      <c r="K2102" t="s">
        <v>13</v>
      </c>
    </row>
    <row r="2103" spans="2:11" ht="22" x14ac:dyDescent="0.15">
      <c r="B2103" s="29" t="s">
        <v>2746</v>
      </c>
      <c r="C2103" s="29" t="s">
        <v>2085</v>
      </c>
      <c r="D2103" s="31">
        <f>SUMIFS(D2104:D3130,K2104:K3130,"0",B2104:B3130,"5 1 1 3 4 12 31111 6 M78 22000 271 00C 001 13406 015 2111100 2024 00000000 001*")-SUMIFS(E2104:E3130,K2104:K3130,"0",B2104:B3130,"5 1 1 3 4 12 31111 6 M78 22000 271 00C 001 13406 015 2111100 2024 00000000 001*")</f>
        <v>0</v>
      </c>
      <c r="E2103"/>
      <c r="F2103" s="31">
        <f>SUMIFS(F2104:F3130,K2104:K3130,"0",B2104:B3130,"5 1 1 3 4 12 31111 6 M78 22000 271 00C 001 13406 015 2111100 2024 00000000 001*")</f>
        <v>7459.65</v>
      </c>
      <c r="G2103" s="31">
        <f>SUMIFS(G2104:G3130,K2104:K3130,"0",B2104:B3130,"5 1 1 3 4 12 31111 6 M78 22000 271 00C 001 13406 015 2111100 2024 00000000 001*")</f>
        <v>0</v>
      </c>
      <c r="H2103" s="31">
        <f t="shared" si="33"/>
        <v>7459.65</v>
      </c>
      <c r="I2103" s="31"/>
      <c r="K2103" t="s">
        <v>13</v>
      </c>
    </row>
    <row r="2104" spans="2:11" ht="22" x14ac:dyDescent="0.15">
      <c r="B2104" s="29" t="s">
        <v>2747</v>
      </c>
      <c r="C2104" s="29" t="s">
        <v>2102</v>
      </c>
      <c r="D2104" s="31">
        <f>SUMIFS(D2105:D3130,K2105:K3130,"0",B2105:B3130,"5 1 1 3 4 12 31111 6 M78 22000 271 00C 001 13406 015 2111100 2024 00000000 001 001*")-SUMIFS(E2105:E3130,K2105:K3130,"0",B2105:B3130,"5 1 1 3 4 12 31111 6 M78 22000 271 00C 001 13406 015 2111100 2024 00000000 001 001*")</f>
        <v>0</v>
      </c>
      <c r="E2104"/>
      <c r="F2104" s="31">
        <f>SUMIFS(F2105:F3130,K2105:K3130,"0",B2105:B3130,"5 1 1 3 4 12 31111 6 M78 22000 271 00C 001 13406 015 2111100 2024 00000000 001 001*")</f>
        <v>7459.65</v>
      </c>
      <c r="G2104" s="31">
        <f>SUMIFS(G2105:G3130,K2105:K3130,"0",B2105:B3130,"5 1 1 3 4 12 31111 6 M78 22000 271 00C 001 13406 015 2111100 2024 00000000 001 001*")</f>
        <v>0</v>
      </c>
      <c r="H2104" s="31">
        <f t="shared" si="33"/>
        <v>7459.65</v>
      </c>
      <c r="I2104" s="31"/>
      <c r="K2104" t="s">
        <v>13</v>
      </c>
    </row>
    <row r="2105" spans="2:11" ht="22" x14ac:dyDescent="0.15">
      <c r="B2105" s="27" t="s">
        <v>2748</v>
      </c>
      <c r="C2105" s="27" t="s">
        <v>2426</v>
      </c>
      <c r="D2105" s="30">
        <v>0</v>
      </c>
      <c r="E2105" s="30"/>
      <c r="F2105" s="30">
        <v>7459.65</v>
      </c>
      <c r="G2105" s="30">
        <v>0</v>
      </c>
      <c r="H2105" s="30">
        <f t="shared" si="33"/>
        <v>7459.65</v>
      </c>
      <c r="I2105" s="30"/>
      <c r="K2105" t="s">
        <v>37</v>
      </c>
    </row>
    <row r="2106" spans="2:11" ht="13" x14ac:dyDescent="0.15">
      <c r="B2106" s="29" t="s">
        <v>2749</v>
      </c>
      <c r="C2106" s="29" t="s">
        <v>2105</v>
      </c>
      <c r="D2106" s="31">
        <f>SUMIFS(D2107:D3130,K2107:K3130,"0",B2107:B3130,"5 1 1 3 4 12 31111 6 M78 26000*")-SUMIFS(E2107:E3130,K2107:K3130,"0",B2107:B3130,"5 1 1 3 4 12 31111 6 M78 26000*")</f>
        <v>0</v>
      </c>
      <c r="E2106"/>
      <c r="F2106" s="31">
        <f>SUMIFS(F2107:F3130,K2107:K3130,"0",B2107:B3130,"5 1 1 3 4 12 31111 6 M78 26000*")</f>
        <v>10700.04</v>
      </c>
      <c r="G2106" s="31">
        <f>SUMIFS(G2107:G3130,K2107:K3130,"0",B2107:B3130,"5 1 1 3 4 12 31111 6 M78 26000*")</f>
        <v>0</v>
      </c>
      <c r="H2106" s="31">
        <f t="shared" si="33"/>
        <v>10700.04</v>
      </c>
      <c r="I2106" s="31"/>
      <c r="K2106" t="s">
        <v>13</v>
      </c>
    </row>
    <row r="2107" spans="2:11" ht="13" x14ac:dyDescent="0.15">
      <c r="B2107" s="29" t="s">
        <v>2750</v>
      </c>
      <c r="C2107" s="29" t="s">
        <v>2107</v>
      </c>
      <c r="D2107" s="31">
        <f>SUMIFS(D2108:D3130,K2108:K3130,"0",B2108:B3130,"5 1 1 3 4 12 31111 6 M78 26000 183*")-SUMIFS(E2108:E3130,K2108:K3130,"0",B2108:B3130,"5 1 1 3 4 12 31111 6 M78 26000 183*")</f>
        <v>0</v>
      </c>
      <c r="E2107"/>
      <c r="F2107" s="31">
        <f>SUMIFS(F2108:F3130,K2108:K3130,"0",B2108:B3130,"5 1 1 3 4 12 31111 6 M78 26000 183*")</f>
        <v>10700.04</v>
      </c>
      <c r="G2107" s="31">
        <f>SUMIFS(G2108:G3130,K2108:K3130,"0",B2108:B3130,"5 1 1 3 4 12 31111 6 M78 26000 183*")</f>
        <v>0</v>
      </c>
      <c r="H2107" s="31">
        <f t="shared" si="33"/>
        <v>10700.04</v>
      </c>
      <c r="I2107" s="31"/>
      <c r="K2107" t="s">
        <v>13</v>
      </c>
    </row>
    <row r="2108" spans="2:11" ht="13" x14ac:dyDescent="0.15">
      <c r="B2108" s="29" t="s">
        <v>2751</v>
      </c>
      <c r="C2108" s="29" t="s">
        <v>265</v>
      </c>
      <c r="D2108" s="31">
        <f>SUMIFS(D2109:D3130,K2109:K3130,"0",B2109:B3130,"5 1 1 3 4 12 31111 6 M78 26000 183 00C*")-SUMIFS(E2109:E3130,K2109:K3130,"0",B2109:B3130,"5 1 1 3 4 12 31111 6 M78 26000 183 00C*")</f>
        <v>0</v>
      </c>
      <c r="E2108"/>
      <c r="F2108" s="31">
        <f>SUMIFS(F2109:F3130,K2109:K3130,"0",B2109:B3130,"5 1 1 3 4 12 31111 6 M78 26000 183 00C*")</f>
        <v>10700.04</v>
      </c>
      <c r="G2108" s="31">
        <f>SUMIFS(G2109:G3130,K2109:K3130,"0",B2109:B3130,"5 1 1 3 4 12 31111 6 M78 26000 183 00C*")</f>
        <v>0</v>
      </c>
      <c r="H2108" s="31">
        <f t="shared" si="33"/>
        <v>10700.04</v>
      </c>
      <c r="I2108" s="31"/>
      <c r="K2108" t="s">
        <v>13</v>
      </c>
    </row>
    <row r="2109" spans="2:11" ht="13" x14ac:dyDescent="0.15">
      <c r="B2109" s="29" t="s">
        <v>2752</v>
      </c>
      <c r="C2109" s="29" t="s">
        <v>32</v>
      </c>
      <c r="D2109" s="31">
        <f>SUMIFS(D2110:D3130,K2110:K3130,"0",B2110:B3130,"5 1 1 3 4 12 31111 6 M78 26000 183 00C 001*")-SUMIFS(E2110:E3130,K2110:K3130,"0",B2110:B3130,"5 1 1 3 4 12 31111 6 M78 26000 183 00C 001*")</f>
        <v>0</v>
      </c>
      <c r="E2109"/>
      <c r="F2109" s="31">
        <f>SUMIFS(F2110:F3130,K2110:K3130,"0",B2110:B3130,"5 1 1 3 4 12 31111 6 M78 26000 183 00C 001*")</f>
        <v>10700.04</v>
      </c>
      <c r="G2109" s="31">
        <f>SUMIFS(G2110:G3130,K2110:K3130,"0",B2110:B3130,"5 1 1 3 4 12 31111 6 M78 26000 183 00C 001*")</f>
        <v>0</v>
      </c>
      <c r="H2109" s="31">
        <f t="shared" si="33"/>
        <v>10700.04</v>
      </c>
      <c r="I2109" s="31"/>
      <c r="K2109" t="s">
        <v>13</v>
      </c>
    </row>
    <row r="2110" spans="2:11" ht="13" x14ac:dyDescent="0.15">
      <c r="B2110" s="29" t="s">
        <v>2753</v>
      </c>
      <c r="C2110" s="29" t="s">
        <v>2418</v>
      </c>
      <c r="D2110" s="31">
        <f>SUMIFS(D2111:D3130,K2111:K3130,"0",B2111:B3130,"5 1 1 3 4 12 31111 6 M78 26000 183 00C 001 13406*")-SUMIFS(E2111:E3130,K2111:K3130,"0",B2111:B3130,"5 1 1 3 4 12 31111 6 M78 26000 183 00C 001 13406*")</f>
        <v>0</v>
      </c>
      <c r="E2110"/>
      <c r="F2110" s="31">
        <f>SUMIFS(F2111:F3130,K2111:K3130,"0",B2111:B3130,"5 1 1 3 4 12 31111 6 M78 26000 183 00C 001 13406*")</f>
        <v>10700.04</v>
      </c>
      <c r="G2110" s="31">
        <f>SUMIFS(G2111:G3130,K2111:K3130,"0",B2111:B3130,"5 1 1 3 4 12 31111 6 M78 26000 183 00C 001 13406*")</f>
        <v>0</v>
      </c>
      <c r="H2110" s="31">
        <f t="shared" si="33"/>
        <v>10700.04</v>
      </c>
      <c r="I2110" s="31"/>
      <c r="K2110" t="s">
        <v>13</v>
      </c>
    </row>
    <row r="2111" spans="2:11" ht="22" x14ac:dyDescent="0.15">
      <c r="B2111" s="29" t="s">
        <v>2754</v>
      </c>
      <c r="C2111" s="29" t="s">
        <v>271</v>
      </c>
      <c r="D2111" s="31">
        <f>SUMIFS(D2112:D3130,K2112:K3130,"0",B2112:B3130,"5 1 1 3 4 12 31111 6 M78 26000 183 00C 001 13406 015*")-SUMIFS(E2112:E3130,K2112:K3130,"0",B2112:B3130,"5 1 1 3 4 12 31111 6 M78 26000 183 00C 001 13406 015*")</f>
        <v>0</v>
      </c>
      <c r="E2111"/>
      <c r="F2111" s="31">
        <f>SUMIFS(F2112:F3130,K2112:K3130,"0",B2112:B3130,"5 1 1 3 4 12 31111 6 M78 26000 183 00C 001 13406 015*")</f>
        <v>10700.04</v>
      </c>
      <c r="G2111" s="31">
        <f>SUMIFS(G2112:G3130,K2112:K3130,"0",B2112:B3130,"5 1 1 3 4 12 31111 6 M78 26000 183 00C 001 13406 015*")</f>
        <v>0</v>
      </c>
      <c r="H2111" s="31">
        <f t="shared" si="33"/>
        <v>10700.04</v>
      </c>
      <c r="I2111" s="31"/>
      <c r="K2111" t="s">
        <v>13</v>
      </c>
    </row>
    <row r="2112" spans="2:11" ht="22" x14ac:dyDescent="0.15">
      <c r="B2112" s="29" t="s">
        <v>2755</v>
      </c>
      <c r="C2112" s="29" t="s">
        <v>1813</v>
      </c>
      <c r="D2112" s="31">
        <f>SUMIFS(D2113:D3130,K2113:K3130,"0",B2113:B3130,"5 1 1 3 4 12 31111 6 M78 26000 183 00C 001 13406 015 2111100*")-SUMIFS(E2113:E3130,K2113:K3130,"0",B2113:B3130,"5 1 1 3 4 12 31111 6 M78 26000 183 00C 001 13406 015 2111100*")</f>
        <v>0</v>
      </c>
      <c r="E2112"/>
      <c r="F2112" s="31">
        <f>SUMIFS(F2113:F3130,K2113:K3130,"0",B2113:B3130,"5 1 1 3 4 12 31111 6 M78 26000 183 00C 001 13406 015 2111100*")</f>
        <v>10700.04</v>
      </c>
      <c r="G2112" s="31">
        <f>SUMIFS(G2113:G3130,K2113:K3130,"0",B2113:B3130,"5 1 1 3 4 12 31111 6 M78 26000 183 00C 001 13406 015 2111100*")</f>
        <v>0</v>
      </c>
      <c r="H2112" s="31">
        <f t="shared" si="33"/>
        <v>10700.04</v>
      </c>
      <c r="I2112" s="31"/>
      <c r="K2112" t="s">
        <v>13</v>
      </c>
    </row>
    <row r="2113" spans="2:11" ht="22" x14ac:dyDescent="0.15">
      <c r="B2113" s="29" t="s">
        <v>2756</v>
      </c>
      <c r="C2113" s="29" t="s">
        <v>275</v>
      </c>
      <c r="D2113" s="31">
        <f>SUMIFS(D2114:D3130,K2114:K3130,"0",B2114:B3130,"5 1 1 3 4 12 31111 6 M78 26000 183 00C 001 13406 015 2111100 2024*")-SUMIFS(E2114:E3130,K2114:K3130,"0",B2114:B3130,"5 1 1 3 4 12 31111 6 M78 26000 183 00C 001 13406 015 2111100 2024*")</f>
        <v>0</v>
      </c>
      <c r="E2113"/>
      <c r="F2113" s="31">
        <f>SUMIFS(F2114:F3130,K2114:K3130,"0",B2114:B3130,"5 1 1 3 4 12 31111 6 M78 26000 183 00C 001 13406 015 2111100 2024*")</f>
        <v>10700.04</v>
      </c>
      <c r="G2113" s="31">
        <f>SUMIFS(G2114:G3130,K2114:K3130,"0",B2114:B3130,"5 1 1 3 4 12 31111 6 M78 26000 183 00C 001 13406 015 2111100 2024*")</f>
        <v>0</v>
      </c>
      <c r="H2113" s="31">
        <f t="shared" si="33"/>
        <v>10700.04</v>
      </c>
      <c r="I2113" s="31"/>
      <c r="K2113" t="s">
        <v>13</v>
      </c>
    </row>
    <row r="2114" spans="2:11" ht="22" x14ac:dyDescent="0.15">
      <c r="B2114" s="29" t="s">
        <v>2757</v>
      </c>
      <c r="C2114" s="29" t="s">
        <v>277</v>
      </c>
      <c r="D2114" s="31">
        <f>SUMIFS(D2115:D3130,K2115:K3130,"0",B2115:B3130,"5 1 1 3 4 12 31111 6 M78 26000 183 00C 001 13406 015 2111100 2024 00000000*")-SUMIFS(E2115:E3130,K2115:K3130,"0",B2115:B3130,"5 1 1 3 4 12 31111 6 M78 26000 183 00C 001 13406 015 2111100 2024 00000000*")</f>
        <v>0</v>
      </c>
      <c r="E2114"/>
      <c r="F2114" s="31">
        <f>SUMIFS(F2115:F3130,K2115:K3130,"0",B2115:B3130,"5 1 1 3 4 12 31111 6 M78 26000 183 00C 001 13406 015 2111100 2024 00000000*")</f>
        <v>10700.04</v>
      </c>
      <c r="G2114" s="31">
        <f>SUMIFS(G2115:G3130,K2115:K3130,"0",B2115:B3130,"5 1 1 3 4 12 31111 6 M78 26000 183 00C 001 13406 015 2111100 2024 00000000*")</f>
        <v>0</v>
      </c>
      <c r="H2114" s="31">
        <f t="shared" si="33"/>
        <v>10700.04</v>
      </c>
      <c r="I2114" s="31"/>
      <c r="K2114" t="s">
        <v>13</v>
      </c>
    </row>
    <row r="2115" spans="2:11" ht="22" x14ac:dyDescent="0.15">
      <c r="B2115" s="29" t="s">
        <v>2758</v>
      </c>
      <c r="C2115" s="29" t="s">
        <v>32</v>
      </c>
      <c r="D2115" s="31">
        <f>SUMIFS(D2116:D3130,K2116:K3130,"0",B2116:B3130,"5 1 1 3 4 12 31111 6 M78 26000 183 00C 001 13406 015 2111100 2024 00000000 001*")-SUMIFS(E2116:E3130,K2116:K3130,"0",B2116:B3130,"5 1 1 3 4 12 31111 6 M78 26000 183 00C 001 13406 015 2111100 2024 00000000 001*")</f>
        <v>0</v>
      </c>
      <c r="E2115"/>
      <c r="F2115" s="31">
        <f>SUMIFS(F2116:F3130,K2116:K3130,"0",B2116:B3130,"5 1 1 3 4 12 31111 6 M78 26000 183 00C 001 13406 015 2111100 2024 00000000 001*")</f>
        <v>10700.04</v>
      </c>
      <c r="G2115" s="31">
        <f>SUMIFS(G2116:G3130,K2116:K3130,"0",B2116:B3130,"5 1 1 3 4 12 31111 6 M78 26000 183 00C 001 13406 015 2111100 2024 00000000 001*")</f>
        <v>0</v>
      </c>
      <c r="H2115" s="31">
        <f t="shared" si="33"/>
        <v>10700.04</v>
      </c>
      <c r="I2115" s="31"/>
      <c r="K2115" t="s">
        <v>13</v>
      </c>
    </row>
    <row r="2116" spans="2:11" ht="22" x14ac:dyDescent="0.15">
      <c r="B2116" s="29" t="s">
        <v>2759</v>
      </c>
      <c r="C2116" s="29" t="s">
        <v>2117</v>
      </c>
      <c r="D2116" s="31">
        <f>SUMIFS(D2117:D3130,K2117:K3130,"0",B2117:B3130,"5 1 1 3 4 12 31111 6 M78 26000 183 00C 001 13406 015 2111100 2024 00000000 001 001*")-SUMIFS(E2117:E3130,K2117:K3130,"0",B2117:B3130,"5 1 1 3 4 12 31111 6 M78 26000 183 00C 001 13406 015 2111100 2024 00000000 001 001*")</f>
        <v>0</v>
      </c>
      <c r="E2116"/>
      <c r="F2116" s="31">
        <f>SUMIFS(F2117:F3130,K2117:K3130,"0",B2117:B3130,"5 1 1 3 4 12 31111 6 M78 26000 183 00C 001 13406 015 2111100 2024 00000000 001 001*")</f>
        <v>10700.04</v>
      </c>
      <c r="G2116" s="31">
        <f>SUMIFS(G2117:G3130,K2117:K3130,"0",B2117:B3130,"5 1 1 3 4 12 31111 6 M78 26000 183 00C 001 13406 015 2111100 2024 00000000 001 001*")</f>
        <v>0</v>
      </c>
      <c r="H2116" s="31">
        <f t="shared" si="33"/>
        <v>10700.04</v>
      </c>
      <c r="I2116" s="31"/>
      <c r="K2116" t="s">
        <v>13</v>
      </c>
    </row>
    <row r="2117" spans="2:11" ht="22" x14ac:dyDescent="0.15">
      <c r="B2117" s="27" t="s">
        <v>2760</v>
      </c>
      <c r="C2117" s="27" t="s">
        <v>2426</v>
      </c>
      <c r="D2117" s="30">
        <v>0</v>
      </c>
      <c r="E2117" s="30"/>
      <c r="F2117" s="30">
        <v>10700.04</v>
      </c>
      <c r="G2117" s="30">
        <v>0</v>
      </c>
      <c r="H2117" s="30">
        <f t="shared" si="33"/>
        <v>10700.04</v>
      </c>
      <c r="I2117" s="30"/>
      <c r="K2117" t="s">
        <v>37</v>
      </c>
    </row>
    <row r="2118" spans="2:11" ht="13" x14ac:dyDescent="0.15">
      <c r="B2118" s="29" t="s">
        <v>2761</v>
      </c>
      <c r="C2118" s="29" t="s">
        <v>2120</v>
      </c>
      <c r="D2118" s="31">
        <f>SUMIFS(D2119:D3130,K2119:K3130,"0",B2119:B3130,"5 1 1 3 4 12 31111 6 M78 27000*")-SUMIFS(E2119:E3130,K2119:K3130,"0",B2119:B3130,"5 1 1 3 4 12 31111 6 M78 27000*")</f>
        <v>0</v>
      </c>
      <c r="E2118"/>
      <c r="F2118" s="31">
        <f>SUMIFS(F2119:F3130,K2119:K3130,"0",B2119:B3130,"5 1 1 3 4 12 31111 6 M78 27000*")</f>
        <v>101160.54</v>
      </c>
      <c r="G2118" s="31">
        <f>SUMIFS(G2119:G3130,K2119:K3130,"0",B2119:B3130,"5 1 1 3 4 12 31111 6 M78 27000*")</f>
        <v>0</v>
      </c>
      <c r="H2118" s="31">
        <f t="shared" si="33"/>
        <v>101160.54</v>
      </c>
      <c r="I2118" s="31"/>
      <c r="K2118" t="s">
        <v>13</v>
      </c>
    </row>
    <row r="2119" spans="2:11" ht="13" x14ac:dyDescent="0.15">
      <c r="B2119" s="29" t="s">
        <v>2762</v>
      </c>
      <c r="C2119" s="29" t="s">
        <v>2122</v>
      </c>
      <c r="D2119" s="31">
        <f>SUMIFS(D2120:D3130,K2120:K3130,"0",B2120:B3130,"5 1 1 3 4 12 31111 6 M78 27000 184*")-SUMIFS(E2120:E3130,K2120:K3130,"0",B2120:B3130,"5 1 1 3 4 12 31111 6 M78 27000 184*")</f>
        <v>0</v>
      </c>
      <c r="E2119"/>
      <c r="F2119" s="31">
        <f>SUMIFS(F2120:F3130,K2120:K3130,"0",B2120:B3130,"5 1 1 3 4 12 31111 6 M78 27000 184*")</f>
        <v>101160.54</v>
      </c>
      <c r="G2119" s="31">
        <f>SUMIFS(G2120:G3130,K2120:K3130,"0",B2120:B3130,"5 1 1 3 4 12 31111 6 M78 27000 184*")</f>
        <v>0</v>
      </c>
      <c r="H2119" s="31">
        <f t="shared" si="33"/>
        <v>101160.54</v>
      </c>
      <c r="I2119" s="31"/>
      <c r="K2119" t="s">
        <v>13</v>
      </c>
    </row>
    <row r="2120" spans="2:11" ht="13" x14ac:dyDescent="0.15">
      <c r="B2120" s="29" t="s">
        <v>2763</v>
      </c>
      <c r="C2120" s="29" t="s">
        <v>265</v>
      </c>
      <c r="D2120" s="31">
        <f>SUMIFS(D2121:D3130,K2121:K3130,"0",B2121:B3130,"5 1 1 3 4 12 31111 6 M78 27000 184 00C*")-SUMIFS(E2121:E3130,K2121:K3130,"0",B2121:B3130,"5 1 1 3 4 12 31111 6 M78 27000 184 00C*")</f>
        <v>0</v>
      </c>
      <c r="E2120"/>
      <c r="F2120" s="31">
        <f>SUMIFS(F2121:F3130,K2121:K3130,"0",B2121:B3130,"5 1 1 3 4 12 31111 6 M78 27000 184 00C*")</f>
        <v>101160.54</v>
      </c>
      <c r="G2120" s="31">
        <f>SUMIFS(G2121:G3130,K2121:K3130,"0",B2121:B3130,"5 1 1 3 4 12 31111 6 M78 27000 184 00C*")</f>
        <v>0</v>
      </c>
      <c r="H2120" s="31">
        <f t="shared" si="33"/>
        <v>101160.54</v>
      </c>
      <c r="I2120" s="31"/>
      <c r="K2120" t="s">
        <v>13</v>
      </c>
    </row>
    <row r="2121" spans="2:11" ht="13" x14ac:dyDescent="0.15">
      <c r="B2121" s="29" t="s">
        <v>2764</v>
      </c>
      <c r="C2121" s="29" t="s">
        <v>32</v>
      </c>
      <c r="D2121" s="31">
        <f>SUMIFS(D2122:D3130,K2122:K3130,"0",B2122:B3130,"5 1 1 3 4 12 31111 6 M78 27000 184 00C 001*")-SUMIFS(E2122:E3130,K2122:K3130,"0",B2122:B3130,"5 1 1 3 4 12 31111 6 M78 27000 184 00C 001*")</f>
        <v>0</v>
      </c>
      <c r="E2121"/>
      <c r="F2121" s="31">
        <f>SUMIFS(F2122:F3130,K2122:K3130,"0",B2122:B3130,"5 1 1 3 4 12 31111 6 M78 27000 184 00C 001*")</f>
        <v>101160.54</v>
      </c>
      <c r="G2121" s="31">
        <f>SUMIFS(G2122:G3130,K2122:K3130,"0",B2122:B3130,"5 1 1 3 4 12 31111 6 M78 27000 184 00C 001*")</f>
        <v>0</v>
      </c>
      <c r="H2121" s="31">
        <f t="shared" si="33"/>
        <v>101160.54</v>
      </c>
      <c r="I2121" s="31"/>
      <c r="K2121" t="s">
        <v>13</v>
      </c>
    </row>
    <row r="2122" spans="2:11" ht="13" x14ac:dyDescent="0.15">
      <c r="B2122" s="29" t="s">
        <v>2765</v>
      </c>
      <c r="C2122" s="29" t="s">
        <v>2408</v>
      </c>
      <c r="D2122" s="31">
        <f>SUMIFS(D2123:D3130,K2123:K3130,"0",B2123:B3130,"5 1 1 3 4 12 31111 6 M78 27000 184 00C 001 13403*")-SUMIFS(E2123:E3130,K2123:K3130,"0",B2123:B3130,"5 1 1 3 4 12 31111 6 M78 27000 184 00C 001 13403*")</f>
        <v>0</v>
      </c>
      <c r="E2122"/>
      <c r="F2122" s="31">
        <f>SUMIFS(F2123:F3130,K2123:K3130,"0",B2123:B3130,"5 1 1 3 4 12 31111 6 M78 27000 184 00C 001 13403*")</f>
        <v>77465.7</v>
      </c>
      <c r="G2122" s="31">
        <f>SUMIFS(G2123:G3130,K2123:K3130,"0",B2123:B3130,"5 1 1 3 4 12 31111 6 M78 27000 184 00C 001 13403*")</f>
        <v>0</v>
      </c>
      <c r="H2122" s="31">
        <f t="shared" si="33"/>
        <v>77465.7</v>
      </c>
      <c r="I2122" s="31"/>
      <c r="K2122" t="s">
        <v>13</v>
      </c>
    </row>
    <row r="2123" spans="2:11" ht="22" x14ac:dyDescent="0.15">
      <c r="B2123" s="29" t="s">
        <v>2766</v>
      </c>
      <c r="C2123" s="29" t="s">
        <v>271</v>
      </c>
      <c r="D2123" s="31">
        <f>SUMIFS(D2124:D3130,K2124:K3130,"0",B2124:B3130,"5 1 1 3 4 12 31111 6 M78 27000 184 00C 001 13403 015*")-SUMIFS(E2124:E3130,K2124:K3130,"0",B2124:B3130,"5 1 1 3 4 12 31111 6 M78 27000 184 00C 001 13403 015*")</f>
        <v>0</v>
      </c>
      <c r="E2123"/>
      <c r="F2123" s="31">
        <f>SUMIFS(F2124:F3130,K2124:K3130,"0",B2124:B3130,"5 1 1 3 4 12 31111 6 M78 27000 184 00C 001 13403 015*")</f>
        <v>77465.7</v>
      </c>
      <c r="G2123" s="31">
        <f>SUMIFS(G2124:G3130,K2124:K3130,"0",B2124:B3130,"5 1 1 3 4 12 31111 6 M78 27000 184 00C 001 13403 015*")</f>
        <v>0</v>
      </c>
      <c r="H2123" s="31">
        <f t="shared" ref="H2123:H2186" si="34">D2123 + F2123 - G2123</f>
        <v>77465.7</v>
      </c>
      <c r="I2123" s="31"/>
      <c r="K2123" t="s">
        <v>13</v>
      </c>
    </row>
    <row r="2124" spans="2:11" ht="22" x14ac:dyDescent="0.15">
      <c r="B2124" s="29" t="s">
        <v>2767</v>
      </c>
      <c r="C2124" s="29" t="s">
        <v>1813</v>
      </c>
      <c r="D2124" s="31">
        <f>SUMIFS(D2125:D3130,K2125:K3130,"0",B2125:B3130,"5 1 1 3 4 12 31111 6 M78 27000 184 00C 001 13403 015 2111100*")-SUMIFS(E2125:E3130,K2125:K3130,"0",B2125:B3130,"5 1 1 3 4 12 31111 6 M78 27000 184 00C 001 13403 015 2111100*")</f>
        <v>0</v>
      </c>
      <c r="E2124"/>
      <c r="F2124" s="31">
        <f>SUMIFS(F2125:F3130,K2125:K3130,"0",B2125:B3130,"5 1 1 3 4 12 31111 6 M78 27000 184 00C 001 13403 015 2111100*")</f>
        <v>77465.7</v>
      </c>
      <c r="G2124" s="31">
        <f>SUMIFS(G2125:G3130,K2125:K3130,"0",B2125:B3130,"5 1 1 3 4 12 31111 6 M78 27000 184 00C 001 13403 015 2111100*")</f>
        <v>0</v>
      </c>
      <c r="H2124" s="31">
        <f t="shared" si="34"/>
        <v>77465.7</v>
      </c>
      <c r="I2124" s="31"/>
      <c r="K2124" t="s">
        <v>13</v>
      </c>
    </row>
    <row r="2125" spans="2:11" ht="22" x14ac:dyDescent="0.15">
      <c r="B2125" s="29" t="s">
        <v>2768</v>
      </c>
      <c r="C2125" s="29" t="s">
        <v>275</v>
      </c>
      <c r="D2125" s="31">
        <f>SUMIFS(D2126:D3130,K2126:K3130,"0",B2126:B3130,"5 1 1 3 4 12 31111 6 M78 27000 184 00C 001 13403 015 2111100 2024*")-SUMIFS(E2126:E3130,K2126:K3130,"0",B2126:B3130,"5 1 1 3 4 12 31111 6 M78 27000 184 00C 001 13403 015 2111100 2024*")</f>
        <v>0</v>
      </c>
      <c r="E2125"/>
      <c r="F2125" s="31">
        <f>SUMIFS(F2126:F3130,K2126:K3130,"0",B2126:B3130,"5 1 1 3 4 12 31111 6 M78 27000 184 00C 001 13403 015 2111100 2024*")</f>
        <v>77465.7</v>
      </c>
      <c r="G2125" s="31">
        <f>SUMIFS(G2126:G3130,K2126:K3130,"0",B2126:B3130,"5 1 1 3 4 12 31111 6 M78 27000 184 00C 001 13403 015 2111100 2024*")</f>
        <v>0</v>
      </c>
      <c r="H2125" s="31">
        <f t="shared" si="34"/>
        <v>77465.7</v>
      </c>
      <c r="I2125" s="31"/>
      <c r="K2125" t="s">
        <v>13</v>
      </c>
    </row>
    <row r="2126" spans="2:11" ht="22" x14ac:dyDescent="0.15">
      <c r="B2126" s="29" t="s">
        <v>2769</v>
      </c>
      <c r="C2126" s="29" t="s">
        <v>277</v>
      </c>
      <c r="D2126" s="31">
        <f>SUMIFS(D2127:D3130,K2127:K3130,"0",B2127:B3130,"5 1 1 3 4 12 31111 6 M78 27000 184 00C 001 13403 015 2111100 2024 00000000*")-SUMIFS(E2127:E3130,K2127:K3130,"0",B2127:B3130,"5 1 1 3 4 12 31111 6 M78 27000 184 00C 001 13403 015 2111100 2024 00000000*")</f>
        <v>0</v>
      </c>
      <c r="E2126"/>
      <c r="F2126" s="31">
        <f>SUMIFS(F2127:F3130,K2127:K3130,"0",B2127:B3130,"5 1 1 3 4 12 31111 6 M78 27000 184 00C 001 13403 015 2111100 2024 00000000*")</f>
        <v>77465.7</v>
      </c>
      <c r="G2126" s="31">
        <f>SUMIFS(G2127:G3130,K2127:K3130,"0",B2127:B3130,"5 1 1 3 4 12 31111 6 M78 27000 184 00C 001 13403 015 2111100 2024 00000000*")</f>
        <v>0</v>
      </c>
      <c r="H2126" s="31">
        <f t="shared" si="34"/>
        <v>77465.7</v>
      </c>
      <c r="I2126" s="31"/>
      <c r="K2126" t="s">
        <v>13</v>
      </c>
    </row>
    <row r="2127" spans="2:11" ht="22" x14ac:dyDescent="0.15">
      <c r="B2127" s="29" t="s">
        <v>2770</v>
      </c>
      <c r="C2127" s="29" t="s">
        <v>32</v>
      </c>
      <c r="D2127" s="31">
        <f>SUMIFS(D2128:D3130,K2128:K3130,"0",B2128:B3130,"5 1 1 3 4 12 31111 6 M78 27000 184 00C 001 13403 015 2111100 2024 00000000 001*")-SUMIFS(E2128:E3130,K2128:K3130,"0",B2128:B3130,"5 1 1 3 4 12 31111 6 M78 27000 184 00C 001 13403 015 2111100 2024 00000000 001*")</f>
        <v>0</v>
      </c>
      <c r="E2127"/>
      <c r="F2127" s="31">
        <f>SUMIFS(F2128:F3130,K2128:K3130,"0",B2128:B3130,"5 1 1 3 4 12 31111 6 M78 27000 184 00C 001 13403 015 2111100 2024 00000000 001*")</f>
        <v>77465.7</v>
      </c>
      <c r="G2127" s="31">
        <f>SUMIFS(G2128:G3130,K2128:K3130,"0",B2128:B3130,"5 1 1 3 4 12 31111 6 M78 27000 184 00C 001 13403 015 2111100 2024 00000000 001*")</f>
        <v>0</v>
      </c>
      <c r="H2127" s="31">
        <f t="shared" si="34"/>
        <v>77465.7</v>
      </c>
      <c r="I2127" s="31"/>
      <c r="K2127" t="s">
        <v>13</v>
      </c>
    </row>
    <row r="2128" spans="2:11" ht="22" x14ac:dyDescent="0.15">
      <c r="B2128" s="29" t="s">
        <v>2771</v>
      </c>
      <c r="C2128" s="29" t="s">
        <v>2132</v>
      </c>
      <c r="D2128" s="31">
        <f>SUMIFS(D2129:D3130,K2129:K3130,"0",B2129:B3130,"5 1 1 3 4 12 31111 6 M78 27000 184 00C 001 13403 015 2111100 2024 00000000 001 001*")-SUMIFS(E2129:E3130,K2129:K3130,"0",B2129:B3130,"5 1 1 3 4 12 31111 6 M78 27000 184 00C 001 13403 015 2111100 2024 00000000 001 001*")</f>
        <v>0</v>
      </c>
      <c r="E2128"/>
      <c r="F2128" s="31">
        <f>SUMIFS(F2129:F3130,K2129:K3130,"0",B2129:B3130,"5 1 1 3 4 12 31111 6 M78 27000 184 00C 001 13403 015 2111100 2024 00000000 001 001*")</f>
        <v>77465.7</v>
      </c>
      <c r="G2128" s="31">
        <f>SUMIFS(G2129:G3130,K2129:K3130,"0",B2129:B3130,"5 1 1 3 4 12 31111 6 M78 27000 184 00C 001 13403 015 2111100 2024 00000000 001 001*")</f>
        <v>0</v>
      </c>
      <c r="H2128" s="31">
        <f t="shared" si="34"/>
        <v>77465.7</v>
      </c>
      <c r="I2128" s="31"/>
      <c r="K2128" t="s">
        <v>13</v>
      </c>
    </row>
    <row r="2129" spans="2:11" ht="22" x14ac:dyDescent="0.15">
      <c r="B2129" s="27" t="s">
        <v>2772</v>
      </c>
      <c r="C2129" s="27" t="s">
        <v>2416</v>
      </c>
      <c r="D2129" s="30">
        <v>0</v>
      </c>
      <c r="E2129" s="30"/>
      <c r="F2129" s="30">
        <v>77465.7</v>
      </c>
      <c r="G2129" s="30">
        <v>0</v>
      </c>
      <c r="H2129" s="30">
        <f t="shared" si="34"/>
        <v>77465.7</v>
      </c>
      <c r="I2129" s="30"/>
      <c r="K2129" t="s">
        <v>37</v>
      </c>
    </row>
    <row r="2130" spans="2:11" ht="13" x14ac:dyDescent="0.15">
      <c r="B2130" s="29" t="s">
        <v>2773</v>
      </c>
      <c r="C2130" s="29" t="s">
        <v>2418</v>
      </c>
      <c r="D2130" s="31">
        <f>SUMIFS(D2131:D3130,K2131:K3130,"0",B2131:B3130,"5 1 1 3 4 12 31111 6 M78 27000 184 00C 001 13406*")-SUMIFS(E2131:E3130,K2131:K3130,"0",B2131:B3130,"5 1 1 3 4 12 31111 6 M78 27000 184 00C 001 13406*")</f>
        <v>0</v>
      </c>
      <c r="E2130"/>
      <c r="F2130" s="31">
        <f>SUMIFS(F2131:F3130,K2131:K3130,"0",B2131:B3130,"5 1 1 3 4 12 31111 6 M78 27000 184 00C 001 13406*")</f>
        <v>23694.84</v>
      </c>
      <c r="G2130" s="31">
        <f>SUMIFS(G2131:G3130,K2131:K3130,"0",B2131:B3130,"5 1 1 3 4 12 31111 6 M78 27000 184 00C 001 13406*")</f>
        <v>0</v>
      </c>
      <c r="H2130" s="31">
        <f t="shared" si="34"/>
        <v>23694.84</v>
      </c>
      <c r="I2130" s="31"/>
      <c r="K2130" t="s">
        <v>13</v>
      </c>
    </row>
    <row r="2131" spans="2:11" ht="22" x14ac:dyDescent="0.15">
      <c r="B2131" s="29" t="s">
        <v>2774</v>
      </c>
      <c r="C2131" s="29" t="s">
        <v>271</v>
      </c>
      <c r="D2131" s="31">
        <f>SUMIFS(D2132:D3130,K2132:K3130,"0",B2132:B3130,"5 1 1 3 4 12 31111 6 M78 27000 184 00C 001 13406 015*")-SUMIFS(E2132:E3130,K2132:K3130,"0",B2132:B3130,"5 1 1 3 4 12 31111 6 M78 27000 184 00C 001 13406 015*")</f>
        <v>0</v>
      </c>
      <c r="E2131"/>
      <c r="F2131" s="31">
        <f>SUMIFS(F2132:F3130,K2132:K3130,"0",B2132:B3130,"5 1 1 3 4 12 31111 6 M78 27000 184 00C 001 13406 015*")</f>
        <v>23694.84</v>
      </c>
      <c r="G2131" s="31">
        <f>SUMIFS(G2132:G3130,K2132:K3130,"0",B2132:B3130,"5 1 1 3 4 12 31111 6 M78 27000 184 00C 001 13406 015*")</f>
        <v>0</v>
      </c>
      <c r="H2131" s="31">
        <f t="shared" si="34"/>
        <v>23694.84</v>
      </c>
      <c r="I2131" s="31"/>
      <c r="K2131" t="s">
        <v>13</v>
      </c>
    </row>
    <row r="2132" spans="2:11" ht="22" x14ac:dyDescent="0.15">
      <c r="B2132" s="29" t="s">
        <v>2775</v>
      </c>
      <c r="C2132" s="29" t="s">
        <v>1813</v>
      </c>
      <c r="D2132" s="31">
        <f>SUMIFS(D2133:D3130,K2133:K3130,"0",B2133:B3130,"5 1 1 3 4 12 31111 6 M78 27000 184 00C 001 13406 015 2111100*")-SUMIFS(E2133:E3130,K2133:K3130,"0",B2133:B3130,"5 1 1 3 4 12 31111 6 M78 27000 184 00C 001 13406 015 2111100*")</f>
        <v>0</v>
      </c>
      <c r="E2132"/>
      <c r="F2132" s="31">
        <f>SUMIFS(F2133:F3130,K2133:K3130,"0",B2133:B3130,"5 1 1 3 4 12 31111 6 M78 27000 184 00C 001 13406 015 2111100*")</f>
        <v>23694.84</v>
      </c>
      <c r="G2132" s="31">
        <f>SUMIFS(G2133:G3130,K2133:K3130,"0",B2133:B3130,"5 1 1 3 4 12 31111 6 M78 27000 184 00C 001 13406 015 2111100*")</f>
        <v>0</v>
      </c>
      <c r="H2132" s="31">
        <f t="shared" si="34"/>
        <v>23694.84</v>
      </c>
      <c r="I2132" s="31"/>
      <c r="K2132" t="s">
        <v>13</v>
      </c>
    </row>
    <row r="2133" spans="2:11" ht="22" x14ac:dyDescent="0.15">
      <c r="B2133" s="29" t="s">
        <v>2776</v>
      </c>
      <c r="C2133" s="29" t="s">
        <v>275</v>
      </c>
      <c r="D2133" s="31">
        <f>SUMIFS(D2134:D3130,K2134:K3130,"0",B2134:B3130,"5 1 1 3 4 12 31111 6 M78 27000 184 00C 001 13406 015 2111100 2024*")-SUMIFS(E2134:E3130,K2134:K3130,"0",B2134:B3130,"5 1 1 3 4 12 31111 6 M78 27000 184 00C 001 13406 015 2111100 2024*")</f>
        <v>0</v>
      </c>
      <c r="E2133"/>
      <c r="F2133" s="31">
        <f>SUMIFS(F2134:F3130,K2134:K3130,"0",B2134:B3130,"5 1 1 3 4 12 31111 6 M78 27000 184 00C 001 13406 015 2111100 2024*")</f>
        <v>23694.84</v>
      </c>
      <c r="G2133" s="31">
        <f>SUMIFS(G2134:G3130,K2134:K3130,"0",B2134:B3130,"5 1 1 3 4 12 31111 6 M78 27000 184 00C 001 13406 015 2111100 2024*")</f>
        <v>0</v>
      </c>
      <c r="H2133" s="31">
        <f t="shared" si="34"/>
        <v>23694.84</v>
      </c>
      <c r="I2133" s="31"/>
      <c r="K2133" t="s">
        <v>13</v>
      </c>
    </row>
    <row r="2134" spans="2:11" ht="22" x14ac:dyDescent="0.15">
      <c r="B2134" s="29" t="s">
        <v>2777</v>
      </c>
      <c r="C2134" s="29" t="s">
        <v>277</v>
      </c>
      <c r="D2134" s="31">
        <f>SUMIFS(D2135:D3130,K2135:K3130,"0",B2135:B3130,"5 1 1 3 4 12 31111 6 M78 27000 184 00C 001 13406 015 2111100 2024 00000000*")-SUMIFS(E2135:E3130,K2135:K3130,"0",B2135:B3130,"5 1 1 3 4 12 31111 6 M78 27000 184 00C 001 13406 015 2111100 2024 00000000*")</f>
        <v>0</v>
      </c>
      <c r="E2134"/>
      <c r="F2134" s="31">
        <f>SUMIFS(F2135:F3130,K2135:K3130,"0",B2135:B3130,"5 1 1 3 4 12 31111 6 M78 27000 184 00C 001 13406 015 2111100 2024 00000000*")</f>
        <v>23694.84</v>
      </c>
      <c r="G2134" s="31">
        <f>SUMIFS(G2135:G3130,K2135:K3130,"0",B2135:B3130,"5 1 1 3 4 12 31111 6 M78 27000 184 00C 001 13406 015 2111100 2024 00000000*")</f>
        <v>0</v>
      </c>
      <c r="H2134" s="31">
        <f t="shared" si="34"/>
        <v>23694.84</v>
      </c>
      <c r="I2134" s="31"/>
      <c r="K2134" t="s">
        <v>13</v>
      </c>
    </row>
    <row r="2135" spans="2:11" ht="22" x14ac:dyDescent="0.15">
      <c r="B2135" s="29" t="s">
        <v>2778</v>
      </c>
      <c r="C2135" s="29" t="s">
        <v>32</v>
      </c>
      <c r="D2135" s="31">
        <f>SUMIFS(D2136:D3130,K2136:K3130,"0",B2136:B3130,"5 1 1 3 4 12 31111 6 M78 27000 184 00C 001 13406 015 2111100 2024 00000000 001*")-SUMIFS(E2136:E3130,K2136:K3130,"0",B2136:B3130,"5 1 1 3 4 12 31111 6 M78 27000 184 00C 001 13406 015 2111100 2024 00000000 001*")</f>
        <v>0</v>
      </c>
      <c r="E2135"/>
      <c r="F2135" s="31">
        <f>SUMIFS(F2136:F3130,K2136:K3130,"0",B2136:B3130,"5 1 1 3 4 12 31111 6 M78 27000 184 00C 001 13406 015 2111100 2024 00000000 001*")</f>
        <v>23694.84</v>
      </c>
      <c r="G2135" s="31">
        <f>SUMIFS(G2136:G3130,K2136:K3130,"0",B2136:B3130,"5 1 1 3 4 12 31111 6 M78 27000 184 00C 001 13406 015 2111100 2024 00000000 001*")</f>
        <v>0</v>
      </c>
      <c r="H2135" s="31">
        <f t="shared" si="34"/>
        <v>23694.84</v>
      </c>
      <c r="I2135" s="31"/>
      <c r="K2135" t="s">
        <v>13</v>
      </c>
    </row>
    <row r="2136" spans="2:11" ht="22" x14ac:dyDescent="0.15">
      <c r="B2136" s="29" t="s">
        <v>2779</v>
      </c>
      <c r="C2136" s="29" t="s">
        <v>2132</v>
      </c>
      <c r="D2136" s="31">
        <f>SUMIFS(D2137:D3130,K2137:K3130,"0",B2137:B3130,"5 1 1 3 4 12 31111 6 M78 27000 184 00C 001 13406 015 2111100 2024 00000000 001 001*")-SUMIFS(E2137:E3130,K2137:K3130,"0",B2137:B3130,"5 1 1 3 4 12 31111 6 M78 27000 184 00C 001 13406 015 2111100 2024 00000000 001 001*")</f>
        <v>0</v>
      </c>
      <c r="E2136"/>
      <c r="F2136" s="31">
        <f>SUMIFS(F2137:F3130,K2137:K3130,"0",B2137:B3130,"5 1 1 3 4 12 31111 6 M78 27000 184 00C 001 13406 015 2111100 2024 00000000 001 001*")</f>
        <v>23694.84</v>
      </c>
      <c r="G2136" s="31">
        <f>SUMIFS(G2137:G3130,K2137:K3130,"0",B2137:B3130,"5 1 1 3 4 12 31111 6 M78 27000 184 00C 001 13406 015 2111100 2024 00000000 001 001*")</f>
        <v>0</v>
      </c>
      <c r="H2136" s="31">
        <f t="shared" si="34"/>
        <v>23694.84</v>
      </c>
      <c r="I2136" s="31"/>
      <c r="K2136" t="s">
        <v>13</v>
      </c>
    </row>
    <row r="2137" spans="2:11" ht="22" x14ac:dyDescent="0.15">
      <c r="B2137" s="27" t="s">
        <v>2780</v>
      </c>
      <c r="C2137" s="27" t="s">
        <v>2426</v>
      </c>
      <c r="D2137" s="30">
        <v>0</v>
      </c>
      <c r="E2137" s="30"/>
      <c r="F2137" s="30">
        <v>23694.84</v>
      </c>
      <c r="G2137" s="30">
        <v>0</v>
      </c>
      <c r="H2137" s="30">
        <f t="shared" si="34"/>
        <v>23694.84</v>
      </c>
      <c r="I2137" s="30"/>
      <c r="K2137" t="s">
        <v>37</v>
      </c>
    </row>
    <row r="2138" spans="2:11" ht="13" x14ac:dyDescent="0.15">
      <c r="B2138" s="29" t="s">
        <v>2781</v>
      </c>
      <c r="C2138" s="29" t="s">
        <v>2782</v>
      </c>
      <c r="D2138" s="31">
        <f>SUMIFS(D2139:D3130,K2139:K3130,"0",B2139:B3130,"5 1 1 5*")-SUMIFS(E2139:E3130,K2139:K3130,"0",B2139:B3130,"5 1 1 5*")</f>
        <v>0</v>
      </c>
      <c r="E2138"/>
      <c r="F2138" s="31">
        <f>SUMIFS(F2139:F3130,K2139:K3130,"0",B2139:B3130,"5 1 1 5*")</f>
        <v>93000</v>
      </c>
      <c r="G2138" s="31">
        <f>SUMIFS(G2139:G3130,K2139:K3130,"0",B2139:B3130,"5 1 1 5*")</f>
        <v>0</v>
      </c>
      <c r="H2138" s="31">
        <f t="shared" si="34"/>
        <v>93000</v>
      </c>
      <c r="I2138" s="31"/>
      <c r="K2138" t="s">
        <v>13</v>
      </c>
    </row>
    <row r="2139" spans="2:11" ht="13" x14ac:dyDescent="0.15">
      <c r="B2139" s="29" t="s">
        <v>2783</v>
      </c>
      <c r="C2139" s="29" t="s">
        <v>2784</v>
      </c>
      <c r="D2139" s="31">
        <f>SUMIFS(D2140:D3130,K2140:K3130,"0",B2140:B3130,"5 1 1 5 2*")-SUMIFS(E2140:E3130,K2140:K3130,"0",B2140:B3130,"5 1 1 5 2*")</f>
        <v>0</v>
      </c>
      <c r="E2139"/>
      <c r="F2139" s="31">
        <f>SUMIFS(F2140:F3130,K2140:K3130,"0",B2140:B3130,"5 1 1 5 2*")</f>
        <v>93000</v>
      </c>
      <c r="G2139" s="31">
        <f>SUMIFS(G2140:G3130,K2140:K3130,"0",B2140:B3130,"5 1 1 5 2*")</f>
        <v>0</v>
      </c>
      <c r="H2139" s="31">
        <f t="shared" si="34"/>
        <v>93000</v>
      </c>
      <c r="I2139" s="31"/>
      <c r="K2139" t="s">
        <v>13</v>
      </c>
    </row>
    <row r="2140" spans="2:11" ht="13" x14ac:dyDescent="0.15">
      <c r="B2140" s="29" t="s">
        <v>2785</v>
      </c>
      <c r="C2140" s="29" t="s">
        <v>24</v>
      </c>
      <c r="D2140" s="31">
        <f>SUMIFS(D2141:D3130,K2141:K3130,"0",B2141:B3130,"5 1 1 5 2 12*")-SUMIFS(E2141:E3130,K2141:K3130,"0",B2141:B3130,"5 1 1 5 2 12*")</f>
        <v>0</v>
      </c>
      <c r="E2140"/>
      <c r="F2140" s="31">
        <f>SUMIFS(F2141:F3130,K2141:K3130,"0",B2141:B3130,"5 1 1 5 2 12*")</f>
        <v>93000</v>
      </c>
      <c r="G2140" s="31">
        <f>SUMIFS(G2141:G3130,K2141:K3130,"0",B2141:B3130,"5 1 1 5 2 12*")</f>
        <v>0</v>
      </c>
      <c r="H2140" s="31">
        <f t="shared" si="34"/>
        <v>93000</v>
      </c>
      <c r="I2140" s="31"/>
      <c r="K2140" t="s">
        <v>13</v>
      </c>
    </row>
    <row r="2141" spans="2:11" ht="13" x14ac:dyDescent="0.15">
      <c r="B2141" s="29" t="s">
        <v>2786</v>
      </c>
      <c r="C2141" s="29" t="s">
        <v>26</v>
      </c>
      <c r="D2141" s="31">
        <f>SUMIFS(D2142:D3130,K2142:K3130,"0",B2142:B3130,"5 1 1 5 2 12 31111*")-SUMIFS(E2142:E3130,K2142:K3130,"0",B2142:B3130,"5 1 1 5 2 12 31111*")</f>
        <v>0</v>
      </c>
      <c r="E2141"/>
      <c r="F2141" s="31">
        <f>SUMIFS(F2142:F3130,K2142:K3130,"0",B2142:B3130,"5 1 1 5 2 12 31111*")</f>
        <v>93000</v>
      </c>
      <c r="G2141" s="31">
        <f>SUMIFS(G2142:G3130,K2142:K3130,"0",B2142:B3130,"5 1 1 5 2 12 31111*")</f>
        <v>0</v>
      </c>
      <c r="H2141" s="31">
        <f t="shared" si="34"/>
        <v>93000</v>
      </c>
      <c r="I2141" s="31"/>
      <c r="K2141" t="s">
        <v>13</v>
      </c>
    </row>
    <row r="2142" spans="2:11" ht="13" x14ac:dyDescent="0.15">
      <c r="B2142" s="29" t="s">
        <v>2787</v>
      </c>
      <c r="C2142" s="29" t="s">
        <v>28</v>
      </c>
      <c r="D2142" s="31">
        <f>SUMIFS(D2143:D3130,K2143:K3130,"0",B2143:B3130,"5 1 1 5 2 12 31111 6*")-SUMIFS(E2143:E3130,K2143:K3130,"0",B2143:B3130,"5 1 1 5 2 12 31111 6*")</f>
        <v>0</v>
      </c>
      <c r="E2142"/>
      <c r="F2142" s="31">
        <f>SUMIFS(F2143:F3130,K2143:K3130,"0",B2143:B3130,"5 1 1 5 2 12 31111 6*")</f>
        <v>93000</v>
      </c>
      <c r="G2142" s="31">
        <f>SUMIFS(G2143:G3130,K2143:K3130,"0",B2143:B3130,"5 1 1 5 2 12 31111 6*")</f>
        <v>0</v>
      </c>
      <c r="H2142" s="31">
        <f t="shared" si="34"/>
        <v>93000</v>
      </c>
      <c r="I2142" s="31"/>
      <c r="K2142" t="s">
        <v>13</v>
      </c>
    </row>
    <row r="2143" spans="2:11" ht="13" x14ac:dyDescent="0.15">
      <c r="B2143" s="29" t="s">
        <v>2788</v>
      </c>
      <c r="C2143" s="29" t="s">
        <v>1567</v>
      </c>
      <c r="D2143" s="31">
        <f>SUMIFS(D2144:D3130,K2144:K3130,"0",B2144:B3130,"5 1 1 5 2 12 31111 6 M78*")-SUMIFS(E2144:E3130,K2144:K3130,"0",B2144:B3130,"5 1 1 5 2 12 31111 6 M78*")</f>
        <v>0</v>
      </c>
      <c r="E2143"/>
      <c r="F2143" s="31">
        <f>SUMIFS(F2144:F3130,K2144:K3130,"0",B2144:B3130,"5 1 1 5 2 12 31111 6 M78*")</f>
        <v>93000</v>
      </c>
      <c r="G2143" s="31">
        <f>SUMIFS(G2144:G3130,K2144:K3130,"0",B2144:B3130,"5 1 1 5 2 12 31111 6 M78*")</f>
        <v>0</v>
      </c>
      <c r="H2143" s="31">
        <f t="shared" si="34"/>
        <v>93000</v>
      </c>
      <c r="I2143" s="31"/>
      <c r="K2143" t="s">
        <v>13</v>
      </c>
    </row>
    <row r="2144" spans="2:11" ht="13" x14ac:dyDescent="0.15">
      <c r="B2144" s="29" t="s">
        <v>2789</v>
      </c>
      <c r="C2144" s="29" t="s">
        <v>833</v>
      </c>
      <c r="D2144" s="31">
        <f>SUMIFS(D2145:D3130,K2145:K3130,"0",B2145:B3130,"5 1 1 5 2 12 31111 6 M78 15000*")-SUMIFS(E2145:E3130,K2145:K3130,"0",B2145:B3130,"5 1 1 5 2 12 31111 6 M78 15000*")</f>
        <v>0</v>
      </c>
      <c r="E2144"/>
      <c r="F2144" s="31">
        <f>SUMIFS(F2145:F3130,K2145:K3130,"0",B2145:B3130,"5 1 1 5 2 12 31111 6 M78 15000*")</f>
        <v>93000</v>
      </c>
      <c r="G2144" s="31">
        <f>SUMIFS(G2145:G3130,K2145:K3130,"0",B2145:B3130,"5 1 1 5 2 12 31111 6 M78 15000*")</f>
        <v>0</v>
      </c>
      <c r="H2144" s="31">
        <f t="shared" si="34"/>
        <v>93000</v>
      </c>
      <c r="I2144" s="31"/>
      <c r="K2144" t="s">
        <v>13</v>
      </c>
    </row>
    <row r="2145" spans="2:11" ht="13" x14ac:dyDescent="0.15">
      <c r="B2145" s="29" t="s">
        <v>2790</v>
      </c>
      <c r="C2145" s="29" t="s">
        <v>835</v>
      </c>
      <c r="D2145" s="31">
        <f>SUMIFS(D2146:D3130,K2146:K3130,"0",B2146:B3130,"5 1 1 5 2 12 31111 6 M78 15000 171*")-SUMIFS(E2146:E3130,K2146:K3130,"0",B2146:B3130,"5 1 1 5 2 12 31111 6 M78 15000 171*")</f>
        <v>0</v>
      </c>
      <c r="E2145"/>
      <c r="F2145" s="31">
        <f>SUMIFS(F2146:F3130,K2146:K3130,"0",B2146:B3130,"5 1 1 5 2 12 31111 6 M78 15000 171*")</f>
        <v>93000</v>
      </c>
      <c r="G2145" s="31">
        <f>SUMIFS(G2146:G3130,K2146:K3130,"0",B2146:B3130,"5 1 1 5 2 12 31111 6 M78 15000 171*")</f>
        <v>0</v>
      </c>
      <c r="H2145" s="31">
        <f t="shared" si="34"/>
        <v>93000</v>
      </c>
      <c r="I2145" s="31"/>
      <c r="K2145" t="s">
        <v>13</v>
      </c>
    </row>
    <row r="2146" spans="2:11" ht="13" x14ac:dyDescent="0.15">
      <c r="B2146" s="29" t="s">
        <v>2791</v>
      </c>
      <c r="C2146" s="29" t="s">
        <v>285</v>
      </c>
      <c r="D2146" s="31">
        <f>SUMIFS(D2147:D3130,K2147:K3130,"0",B2147:B3130,"5 1 1 5 2 12 31111 6 M78 15000 171 00I*")-SUMIFS(E2147:E3130,K2147:K3130,"0",B2147:B3130,"5 1 1 5 2 12 31111 6 M78 15000 171 00I*")</f>
        <v>0</v>
      </c>
      <c r="E2146"/>
      <c r="F2146" s="31">
        <f>SUMIFS(F2147:F3130,K2147:K3130,"0",B2147:B3130,"5 1 1 5 2 12 31111 6 M78 15000 171 00I*")</f>
        <v>93000</v>
      </c>
      <c r="G2146" s="31">
        <f>SUMIFS(G2147:G3130,K2147:K3130,"0",B2147:B3130,"5 1 1 5 2 12 31111 6 M78 15000 171 00I*")</f>
        <v>0</v>
      </c>
      <c r="H2146" s="31">
        <f t="shared" si="34"/>
        <v>93000</v>
      </c>
      <c r="I2146" s="31"/>
      <c r="K2146" t="s">
        <v>13</v>
      </c>
    </row>
    <row r="2147" spans="2:11" ht="13" x14ac:dyDescent="0.15">
      <c r="B2147" s="29" t="s">
        <v>2792</v>
      </c>
      <c r="C2147" s="29" t="s">
        <v>32</v>
      </c>
      <c r="D2147" s="31">
        <f>SUMIFS(D2148:D3130,K2148:K3130,"0",B2148:B3130,"5 1 1 5 2 12 31111 6 M78 15000 171 00I 001*")-SUMIFS(E2148:E3130,K2148:K3130,"0",B2148:B3130,"5 1 1 5 2 12 31111 6 M78 15000 171 00I 001*")</f>
        <v>0</v>
      </c>
      <c r="E2147"/>
      <c r="F2147" s="31">
        <f>SUMIFS(F2148:F3130,K2148:K3130,"0",B2148:B3130,"5 1 1 5 2 12 31111 6 M78 15000 171 00I 001*")</f>
        <v>93000</v>
      </c>
      <c r="G2147" s="31">
        <f>SUMIFS(G2148:G3130,K2148:K3130,"0",B2148:B3130,"5 1 1 5 2 12 31111 6 M78 15000 171 00I 001*")</f>
        <v>0</v>
      </c>
      <c r="H2147" s="31">
        <f t="shared" si="34"/>
        <v>93000</v>
      </c>
      <c r="I2147" s="31"/>
      <c r="K2147" t="s">
        <v>13</v>
      </c>
    </row>
    <row r="2148" spans="2:11" ht="13" x14ac:dyDescent="0.15">
      <c r="B2148" s="29" t="s">
        <v>2793</v>
      </c>
      <c r="C2148" s="29" t="s">
        <v>2794</v>
      </c>
      <c r="D2148" s="31">
        <f>SUMIFS(D2149:D3130,K2149:K3130,"0",B2149:B3130,"5 1 1 5 2 12 31111 6 M78 15000 171 00I 001 15202*")-SUMIFS(E2149:E3130,K2149:K3130,"0",B2149:B3130,"5 1 1 5 2 12 31111 6 M78 15000 171 00I 001 15202*")</f>
        <v>0</v>
      </c>
      <c r="E2148"/>
      <c r="F2148" s="31">
        <f>SUMIFS(F2149:F3130,K2149:K3130,"0",B2149:B3130,"5 1 1 5 2 12 31111 6 M78 15000 171 00I 001 15202*")</f>
        <v>93000</v>
      </c>
      <c r="G2148" s="31">
        <f>SUMIFS(G2149:G3130,K2149:K3130,"0",B2149:B3130,"5 1 1 5 2 12 31111 6 M78 15000 171 00I 001 15202*")</f>
        <v>0</v>
      </c>
      <c r="H2148" s="31">
        <f t="shared" si="34"/>
        <v>93000</v>
      </c>
      <c r="I2148" s="31"/>
      <c r="K2148" t="s">
        <v>13</v>
      </c>
    </row>
    <row r="2149" spans="2:11" ht="22" x14ac:dyDescent="0.15">
      <c r="B2149" s="29" t="s">
        <v>2795</v>
      </c>
      <c r="C2149" s="29" t="s">
        <v>290</v>
      </c>
      <c r="D2149" s="31">
        <f>SUMIFS(D2150:D3130,K2150:K3130,"0",B2150:B3130,"5 1 1 5 2 12 31111 6 M78 15000 171 00I 001 15202 025*")-SUMIFS(E2150:E3130,K2150:K3130,"0",B2150:B3130,"5 1 1 5 2 12 31111 6 M78 15000 171 00I 001 15202 025*")</f>
        <v>0</v>
      </c>
      <c r="E2149"/>
      <c r="F2149" s="31">
        <f>SUMIFS(F2150:F3130,K2150:K3130,"0",B2150:B3130,"5 1 1 5 2 12 31111 6 M78 15000 171 00I 001 15202 025*")</f>
        <v>93000</v>
      </c>
      <c r="G2149" s="31">
        <f>SUMIFS(G2150:G3130,K2150:K3130,"0",B2150:B3130,"5 1 1 5 2 12 31111 6 M78 15000 171 00I 001 15202 025*")</f>
        <v>0</v>
      </c>
      <c r="H2149" s="31">
        <f t="shared" si="34"/>
        <v>93000</v>
      </c>
      <c r="I2149" s="31"/>
      <c r="K2149" t="s">
        <v>13</v>
      </c>
    </row>
    <row r="2150" spans="2:11" ht="22" x14ac:dyDescent="0.15">
      <c r="B2150" s="29" t="s">
        <v>2796</v>
      </c>
      <c r="C2150" s="29" t="s">
        <v>1813</v>
      </c>
      <c r="D2150" s="31">
        <f>SUMIFS(D2151:D3130,K2151:K3130,"0",B2151:B3130,"5 1 1 5 2 12 31111 6 M78 15000 171 00I 001 15202 025 2111100*")-SUMIFS(E2151:E3130,K2151:K3130,"0",B2151:B3130,"5 1 1 5 2 12 31111 6 M78 15000 171 00I 001 15202 025 2111100*")</f>
        <v>0</v>
      </c>
      <c r="E2150"/>
      <c r="F2150" s="31">
        <f>SUMIFS(F2151:F3130,K2151:K3130,"0",B2151:B3130,"5 1 1 5 2 12 31111 6 M78 15000 171 00I 001 15202 025 2111100*")</f>
        <v>93000</v>
      </c>
      <c r="G2150" s="31">
        <f>SUMIFS(G2151:G3130,K2151:K3130,"0",B2151:B3130,"5 1 1 5 2 12 31111 6 M78 15000 171 00I 001 15202 025 2111100*")</f>
        <v>0</v>
      </c>
      <c r="H2150" s="31">
        <f t="shared" si="34"/>
        <v>93000</v>
      </c>
      <c r="I2150" s="31"/>
      <c r="K2150" t="s">
        <v>13</v>
      </c>
    </row>
    <row r="2151" spans="2:11" ht="22" x14ac:dyDescent="0.15">
      <c r="B2151" s="29" t="s">
        <v>2797</v>
      </c>
      <c r="C2151" s="29" t="s">
        <v>275</v>
      </c>
      <c r="D2151" s="31">
        <f>SUMIFS(D2152:D3130,K2152:K3130,"0",B2152:B3130,"5 1 1 5 2 12 31111 6 M78 15000 171 00I 001 15202 025 2111100 2024*")-SUMIFS(E2152:E3130,K2152:K3130,"0",B2152:B3130,"5 1 1 5 2 12 31111 6 M78 15000 171 00I 001 15202 025 2111100 2024*")</f>
        <v>0</v>
      </c>
      <c r="E2151"/>
      <c r="F2151" s="31">
        <f>SUMIFS(F2152:F3130,K2152:K3130,"0",B2152:B3130,"5 1 1 5 2 12 31111 6 M78 15000 171 00I 001 15202 025 2111100 2024*")</f>
        <v>93000</v>
      </c>
      <c r="G2151" s="31">
        <f>SUMIFS(G2152:G3130,K2152:K3130,"0",B2152:B3130,"5 1 1 5 2 12 31111 6 M78 15000 171 00I 001 15202 025 2111100 2024*")</f>
        <v>0</v>
      </c>
      <c r="H2151" s="31">
        <f t="shared" si="34"/>
        <v>93000</v>
      </c>
      <c r="I2151" s="31"/>
      <c r="K2151" t="s">
        <v>13</v>
      </c>
    </row>
    <row r="2152" spans="2:11" ht="22" x14ac:dyDescent="0.15">
      <c r="B2152" s="29" t="s">
        <v>2798</v>
      </c>
      <c r="C2152" s="29" t="s">
        <v>277</v>
      </c>
      <c r="D2152" s="31">
        <f>SUMIFS(D2153:D3130,K2153:K3130,"0",B2153:B3130,"5 1 1 5 2 12 31111 6 M78 15000 171 00I 001 15202 025 2111100 2024 00000000*")-SUMIFS(E2153:E3130,K2153:K3130,"0",B2153:B3130,"5 1 1 5 2 12 31111 6 M78 15000 171 00I 001 15202 025 2111100 2024 00000000*")</f>
        <v>0</v>
      </c>
      <c r="E2152"/>
      <c r="F2152" s="31">
        <f>SUMIFS(F2153:F3130,K2153:K3130,"0",B2153:B3130,"5 1 1 5 2 12 31111 6 M78 15000 171 00I 001 15202 025 2111100 2024 00000000*")</f>
        <v>93000</v>
      </c>
      <c r="G2152" s="31">
        <f>SUMIFS(G2153:G3130,K2153:K3130,"0",B2153:B3130,"5 1 1 5 2 12 31111 6 M78 15000 171 00I 001 15202 025 2111100 2024 00000000*")</f>
        <v>0</v>
      </c>
      <c r="H2152" s="31">
        <f t="shared" si="34"/>
        <v>93000</v>
      </c>
      <c r="I2152" s="31"/>
      <c r="K2152" t="s">
        <v>13</v>
      </c>
    </row>
    <row r="2153" spans="2:11" ht="22" x14ac:dyDescent="0.15">
      <c r="B2153" s="29" t="s">
        <v>2799</v>
      </c>
      <c r="C2153" s="29" t="s">
        <v>581</v>
      </c>
      <c r="D2153" s="31">
        <f>SUMIFS(D2154:D3130,K2154:K3130,"0",B2154:B3130,"5 1 1 5 2 12 31111 6 M78 15000 171 00I 001 15202 025 2111100 2024 00000000 003*")-SUMIFS(E2154:E3130,K2154:K3130,"0",B2154:B3130,"5 1 1 5 2 12 31111 6 M78 15000 171 00I 001 15202 025 2111100 2024 00000000 003*")</f>
        <v>0</v>
      </c>
      <c r="E2153"/>
      <c r="F2153" s="31">
        <f>SUMIFS(F2154:F3130,K2154:K3130,"0",B2154:B3130,"5 1 1 5 2 12 31111 6 M78 15000 171 00I 001 15202 025 2111100 2024 00000000 003*")</f>
        <v>93000</v>
      </c>
      <c r="G2153" s="31">
        <f>SUMIFS(G2154:G3130,K2154:K3130,"0",B2154:B3130,"5 1 1 5 2 12 31111 6 M78 15000 171 00I 001 15202 025 2111100 2024 00000000 003*")</f>
        <v>0</v>
      </c>
      <c r="H2153" s="31">
        <f t="shared" si="34"/>
        <v>93000</v>
      </c>
      <c r="I2153" s="31"/>
      <c r="K2153" t="s">
        <v>13</v>
      </c>
    </row>
    <row r="2154" spans="2:11" ht="22" x14ac:dyDescent="0.15">
      <c r="B2154" s="27" t="s">
        <v>2800</v>
      </c>
      <c r="C2154" s="27" t="s">
        <v>2801</v>
      </c>
      <c r="D2154" s="30">
        <v>0</v>
      </c>
      <c r="E2154" s="30"/>
      <c r="F2154" s="30">
        <v>93000</v>
      </c>
      <c r="G2154" s="30">
        <v>0</v>
      </c>
      <c r="H2154" s="30">
        <f t="shared" si="34"/>
        <v>93000</v>
      </c>
      <c r="I2154" s="30"/>
      <c r="K2154" t="s">
        <v>37</v>
      </c>
    </row>
    <row r="2155" spans="2:11" ht="13" x14ac:dyDescent="0.15">
      <c r="B2155" s="29" t="s">
        <v>2802</v>
      </c>
      <c r="C2155" s="29" t="s">
        <v>2803</v>
      </c>
      <c r="D2155" s="31">
        <f>SUMIFS(D2156:D3130,K2156:K3130,"0",B2156:B3130,"5 1 1 6*")-SUMIFS(E2156:E3130,K2156:K3130,"0",B2156:B3130,"5 1 1 6*")</f>
        <v>0</v>
      </c>
      <c r="E2155"/>
      <c r="F2155" s="31">
        <f>SUMIFS(F2156:F3130,K2156:K3130,"0",B2156:B3130,"5 1 1 6*")</f>
        <v>345500</v>
      </c>
      <c r="G2155" s="31">
        <f>SUMIFS(G2156:G3130,K2156:K3130,"0",B2156:B3130,"5 1 1 6*")</f>
        <v>0</v>
      </c>
      <c r="H2155" s="31">
        <f t="shared" si="34"/>
        <v>345500</v>
      </c>
      <c r="I2155" s="31"/>
      <c r="K2155" t="s">
        <v>13</v>
      </c>
    </row>
    <row r="2156" spans="2:11" ht="13" x14ac:dyDescent="0.15">
      <c r="B2156" s="29" t="s">
        <v>2804</v>
      </c>
      <c r="C2156" s="29" t="s">
        <v>2805</v>
      </c>
      <c r="D2156" s="31">
        <f>SUMIFS(D2157:D3130,K2157:K3130,"0",B2157:B3130,"5 1 1 6 1*")-SUMIFS(E2157:E3130,K2157:K3130,"0",B2157:B3130,"5 1 1 6 1*")</f>
        <v>0</v>
      </c>
      <c r="E2156"/>
      <c r="F2156" s="31">
        <f>SUMIFS(F2157:F3130,K2157:K3130,"0",B2157:B3130,"5 1 1 6 1*")</f>
        <v>345500</v>
      </c>
      <c r="G2156" s="31">
        <f>SUMIFS(G2157:G3130,K2157:K3130,"0",B2157:B3130,"5 1 1 6 1*")</f>
        <v>0</v>
      </c>
      <c r="H2156" s="31">
        <f t="shared" si="34"/>
        <v>345500</v>
      </c>
      <c r="I2156" s="31"/>
      <c r="K2156" t="s">
        <v>13</v>
      </c>
    </row>
    <row r="2157" spans="2:11" ht="13" x14ac:dyDescent="0.15">
      <c r="B2157" s="29" t="s">
        <v>2806</v>
      </c>
      <c r="C2157" s="29" t="s">
        <v>24</v>
      </c>
      <c r="D2157" s="31">
        <f>SUMIFS(D2158:D3130,K2158:K3130,"0",B2158:B3130,"5 1 1 6 1 12*")-SUMIFS(E2158:E3130,K2158:K3130,"0",B2158:B3130,"5 1 1 6 1 12*")</f>
        <v>0</v>
      </c>
      <c r="E2157"/>
      <c r="F2157" s="31">
        <f>SUMIFS(F2158:F3130,K2158:K3130,"0",B2158:B3130,"5 1 1 6 1 12*")</f>
        <v>345500</v>
      </c>
      <c r="G2157" s="31">
        <f>SUMIFS(G2158:G3130,K2158:K3130,"0",B2158:B3130,"5 1 1 6 1 12*")</f>
        <v>0</v>
      </c>
      <c r="H2157" s="31">
        <f t="shared" si="34"/>
        <v>345500</v>
      </c>
      <c r="I2157" s="31"/>
      <c r="K2157" t="s">
        <v>13</v>
      </c>
    </row>
    <row r="2158" spans="2:11" ht="13" x14ac:dyDescent="0.15">
      <c r="B2158" s="29" t="s">
        <v>2807</v>
      </c>
      <c r="C2158" s="29" t="s">
        <v>26</v>
      </c>
      <c r="D2158" s="31">
        <f>SUMIFS(D2159:D3130,K2159:K3130,"0",B2159:B3130,"5 1 1 6 1 12 31111*")-SUMIFS(E2159:E3130,K2159:K3130,"0",B2159:B3130,"5 1 1 6 1 12 31111*")</f>
        <v>0</v>
      </c>
      <c r="E2158"/>
      <c r="F2158" s="31">
        <f>SUMIFS(F2159:F3130,K2159:K3130,"0",B2159:B3130,"5 1 1 6 1 12 31111*")</f>
        <v>345500</v>
      </c>
      <c r="G2158" s="31">
        <f>SUMIFS(G2159:G3130,K2159:K3130,"0",B2159:B3130,"5 1 1 6 1 12 31111*")</f>
        <v>0</v>
      </c>
      <c r="H2158" s="31">
        <f t="shared" si="34"/>
        <v>345500</v>
      </c>
      <c r="I2158" s="31"/>
      <c r="K2158" t="s">
        <v>13</v>
      </c>
    </row>
    <row r="2159" spans="2:11" ht="13" x14ac:dyDescent="0.15">
      <c r="B2159" s="29" t="s">
        <v>2808</v>
      </c>
      <c r="C2159" s="29" t="s">
        <v>28</v>
      </c>
      <c r="D2159" s="31">
        <f>SUMIFS(D2160:D3130,K2160:K3130,"0",B2160:B3130,"5 1 1 6 1 12 31111 6*")-SUMIFS(E2160:E3130,K2160:K3130,"0",B2160:B3130,"5 1 1 6 1 12 31111 6*")</f>
        <v>0</v>
      </c>
      <c r="E2159"/>
      <c r="F2159" s="31">
        <f>SUMIFS(F2160:F3130,K2160:K3130,"0",B2160:B3130,"5 1 1 6 1 12 31111 6*")</f>
        <v>345500</v>
      </c>
      <c r="G2159" s="31">
        <f>SUMIFS(G2160:G3130,K2160:K3130,"0",B2160:B3130,"5 1 1 6 1 12 31111 6*")</f>
        <v>0</v>
      </c>
      <c r="H2159" s="31">
        <f t="shared" si="34"/>
        <v>345500</v>
      </c>
      <c r="I2159" s="31"/>
      <c r="K2159" t="s">
        <v>13</v>
      </c>
    </row>
    <row r="2160" spans="2:11" ht="13" x14ac:dyDescent="0.15">
      <c r="B2160" s="29" t="s">
        <v>2809</v>
      </c>
      <c r="C2160" s="29" t="s">
        <v>1567</v>
      </c>
      <c r="D2160" s="31">
        <f>SUMIFS(D2161:D3130,K2161:K3130,"0",B2161:B3130,"5 1 1 6 1 12 31111 6 M78*")-SUMIFS(E2161:E3130,K2161:K3130,"0",B2161:B3130,"5 1 1 6 1 12 31111 6 M78*")</f>
        <v>0</v>
      </c>
      <c r="E2160"/>
      <c r="F2160" s="31">
        <f>SUMIFS(F2161:F3130,K2161:K3130,"0",B2161:B3130,"5 1 1 6 1 12 31111 6 M78*")</f>
        <v>345500</v>
      </c>
      <c r="G2160" s="31">
        <f>SUMIFS(G2161:G3130,K2161:K3130,"0",B2161:B3130,"5 1 1 6 1 12 31111 6 M78*")</f>
        <v>0</v>
      </c>
      <c r="H2160" s="31">
        <f t="shared" si="34"/>
        <v>345500</v>
      </c>
      <c r="I2160" s="31"/>
      <c r="K2160" t="s">
        <v>13</v>
      </c>
    </row>
    <row r="2161" spans="2:11" ht="13" x14ac:dyDescent="0.15">
      <c r="B2161" s="29" t="s">
        <v>2810</v>
      </c>
      <c r="C2161" s="29" t="s">
        <v>833</v>
      </c>
      <c r="D2161" s="31">
        <f>SUMIFS(D2162:D3130,K2162:K3130,"0",B2162:B3130,"5 1 1 6 1 12 31111 6 M78 15000*")-SUMIFS(E2162:E3130,K2162:K3130,"0",B2162:B3130,"5 1 1 6 1 12 31111 6 M78 15000*")</f>
        <v>0</v>
      </c>
      <c r="E2161"/>
      <c r="F2161" s="31">
        <f>SUMIFS(F2162:F3130,K2162:K3130,"0",B2162:B3130,"5 1 1 6 1 12 31111 6 M78 15000*")</f>
        <v>345500</v>
      </c>
      <c r="G2161" s="31">
        <f>SUMIFS(G2162:G3130,K2162:K3130,"0",B2162:B3130,"5 1 1 6 1 12 31111 6 M78 15000*")</f>
        <v>0</v>
      </c>
      <c r="H2161" s="31">
        <f t="shared" si="34"/>
        <v>345500</v>
      </c>
      <c r="I2161" s="31"/>
      <c r="K2161" t="s">
        <v>13</v>
      </c>
    </row>
    <row r="2162" spans="2:11" ht="13" x14ac:dyDescent="0.15">
      <c r="B2162" s="29" t="s">
        <v>2811</v>
      </c>
      <c r="C2162" s="29" t="s">
        <v>835</v>
      </c>
      <c r="D2162" s="31">
        <f>SUMIFS(D2163:D3130,K2163:K3130,"0",B2163:B3130,"5 1 1 6 1 12 31111 6 M78 15000 171*")-SUMIFS(E2163:E3130,K2163:K3130,"0",B2163:B3130,"5 1 1 6 1 12 31111 6 M78 15000 171*")</f>
        <v>0</v>
      </c>
      <c r="E2162"/>
      <c r="F2162" s="31">
        <f>SUMIFS(F2163:F3130,K2163:K3130,"0",B2163:B3130,"5 1 1 6 1 12 31111 6 M78 15000 171*")</f>
        <v>345500</v>
      </c>
      <c r="G2162" s="31">
        <f>SUMIFS(G2163:G3130,K2163:K3130,"0",B2163:B3130,"5 1 1 6 1 12 31111 6 M78 15000 171*")</f>
        <v>0</v>
      </c>
      <c r="H2162" s="31">
        <f t="shared" si="34"/>
        <v>345500</v>
      </c>
      <c r="I2162" s="31"/>
      <c r="K2162" t="s">
        <v>13</v>
      </c>
    </row>
    <row r="2163" spans="2:11" ht="13" x14ac:dyDescent="0.15">
      <c r="B2163" s="29" t="s">
        <v>2812</v>
      </c>
      <c r="C2163" s="29" t="s">
        <v>285</v>
      </c>
      <c r="D2163" s="31">
        <f>SUMIFS(D2164:D3130,K2164:K3130,"0",B2164:B3130,"5 1 1 6 1 12 31111 6 M78 15000 171 00I*")-SUMIFS(E2164:E3130,K2164:K3130,"0",B2164:B3130,"5 1 1 6 1 12 31111 6 M78 15000 171 00I*")</f>
        <v>0</v>
      </c>
      <c r="E2163"/>
      <c r="F2163" s="31">
        <f>SUMIFS(F2164:F3130,K2164:K3130,"0",B2164:B3130,"5 1 1 6 1 12 31111 6 M78 15000 171 00I*")</f>
        <v>345500</v>
      </c>
      <c r="G2163" s="31">
        <f>SUMIFS(G2164:G3130,K2164:K3130,"0",B2164:B3130,"5 1 1 6 1 12 31111 6 M78 15000 171 00I*")</f>
        <v>0</v>
      </c>
      <c r="H2163" s="31">
        <f t="shared" si="34"/>
        <v>345500</v>
      </c>
      <c r="I2163" s="31"/>
      <c r="K2163" t="s">
        <v>13</v>
      </c>
    </row>
    <row r="2164" spans="2:11" ht="13" x14ac:dyDescent="0.15">
      <c r="B2164" s="29" t="s">
        <v>2813</v>
      </c>
      <c r="C2164" s="29" t="s">
        <v>32</v>
      </c>
      <c r="D2164" s="31">
        <f>SUMIFS(D2165:D3130,K2165:K3130,"0",B2165:B3130,"5 1 1 6 1 12 31111 6 M78 15000 171 00I 001*")-SUMIFS(E2165:E3130,K2165:K3130,"0",B2165:B3130,"5 1 1 6 1 12 31111 6 M78 15000 171 00I 001*")</f>
        <v>0</v>
      </c>
      <c r="E2164"/>
      <c r="F2164" s="31">
        <f>SUMIFS(F2165:F3130,K2165:K3130,"0",B2165:B3130,"5 1 1 6 1 12 31111 6 M78 15000 171 00I 001*")</f>
        <v>345500</v>
      </c>
      <c r="G2164" s="31">
        <f>SUMIFS(G2165:G3130,K2165:K3130,"0",B2165:B3130,"5 1 1 6 1 12 31111 6 M78 15000 171 00I 001*")</f>
        <v>0</v>
      </c>
      <c r="H2164" s="31">
        <f t="shared" si="34"/>
        <v>345500</v>
      </c>
      <c r="I2164" s="31"/>
      <c r="K2164" t="s">
        <v>13</v>
      </c>
    </row>
    <row r="2165" spans="2:11" ht="13" x14ac:dyDescent="0.15">
      <c r="B2165" s="29" t="s">
        <v>2814</v>
      </c>
      <c r="C2165" s="29" t="s">
        <v>2815</v>
      </c>
      <c r="D2165" s="31">
        <f>SUMIFS(D2166:D3130,K2166:K3130,"0",B2166:B3130,"5 1 1 6 1 12 31111 6 M78 15000 171 00I 001 17102*")-SUMIFS(E2166:E3130,K2166:K3130,"0",B2166:B3130,"5 1 1 6 1 12 31111 6 M78 15000 171 00I 001 17102*")</f>
        <v>0</v>
      </c>
      <c r="E2165"/>
      <c r="F2165" s="31">
        <f>SUMIFS(F2166:F3130,K2166:K3130,"0",B2166:B3130,"5 1 1 6 1 12 31111 6 M78 15000 171 00I 001 17102*")</f>
        <v>345500</v>
      </c>
      <c r="G2165" s="31">
        <f>SUMIFS(G2166:G3130,K2166:K3130,"0",B2166:B3130,"5 1 1 6 1 12 31111 6 M78 15000 171 00I 001 17102*")</f>
        <v>0</v>
      </c>
      <c r="H2165" s="31">
        <f t="shared" si="34"/>
        <v>345500</v>
      </c>
      <c r="I2165" s="31"/>
      <c r="K2165" t="s">
        <v>13</v>
      </c>
    </row>
    <row r="2166" spans="2:11" ht="22" x14ac:dyDescent="0.15">
      <c r="B2166" s="29" t="s">
        <v>2816</v>
      </c>
      <c r="C2166" s="29" t="s">
        <v>290</v>
      </c>
      <c r="D2166" s="31">
        <f>SUMIFS(D2167:D3130,K2167:K3130,"0",B2167:B3130,"5 1 1 6 1 12 31111 6 M78 15000 171 00I 001 17102 025*")-SUMIFS(E2167:E3130,K2167:K3130,"0",B2167:B3130,"5 1 1 6 1 12 31111 6 M78 15000 171 00I 001 17102 025*")</f>
        <v>0</v>
      </c>
      <c r="E2166"/>
      <c r="F2166" s="31">
        <f>SUMIFS(F2167:F3130,K2167:K3130,"0",B2167:B3130,"5 1 1 6 1 12 31111 6 M78 15000 171 00I 001 17102 025*")</f>
        <v>345500</v>
      </c>
      <c r="G2166" s="31">
        <f>SUMIFS(G2167:G3130,K2167:K3130,"0",B2167:B3130,"5 1 1 6 1 12 31111 6 M78 15000 171 00I 001 17102 025*")</f>
        <v>0</v>
      </c>
      <c r="H2166" s="31">
        <f t="shared" si="34"/>
        <v>345500</v>
      </c>
      <c r="I2166" s="31"/>
      <c r="K2166" t="s">
        <v>13</v>
      </c>
    </row>
    <row r="2167" spans="2:11" ht="22" x14ac:dyDescent="0.15">
      <c r="B2167" s="29" t="s">
        <v>2817</v>
      </c>
      <c r="C2167" s="29" t="s">
        <v>1813</v>
      </c>
      <c r="D2167" s="31">
        <f>SUMIFS(D2168:D3130,K2168:K3130,"0",B2168:B3130,"5 1 1 6 1 12 31111 6 M78 15000 171 00I 001 17102 025 2111100*")-SUMIFS(E2168:E3130,K2168:K3130,"0",B2168:B3130,"5 1 1 6 1 12 31111 6 M78 15000 171 00I 001 17102 025 2111100*")</f>
        <v>0</v>
      </c>
      <c r="E2167"/>
      <c r="F2167" s="31">
        <f>SUMIFS(F2168:F3130,K2168:K3130,"0",B2168:B3130,"5 1 1 6 1 12 31111 6 M78 15000 171 00I 001 17102 025 2111100*")</f>
        <v>345500</v>
      </c>
      <c r="G2167" s="31">
        <f>SUMIFS(G2168:G3130,K2168:K3130,"0",B2168:B3130,"5 1 1 6 1 12 31111 6 M78 15000 171 00I 001 17102 025 2111100*")</f>
        <v>0</v>
      </c>
      <c r="H2167" s="31">
        <f t="shared" si="34"/>
        <v>345500</v>
      </c>
      <c r="I2167" s="31"/>
      <c r="K2167" t="s">
        <v>13</v>
      </c>
    </row>
    <row r="2168" spans="2:11" ht="22" x14ac:dyDescent="0.15">
      <c r="B2168" s="29" t="s">
        <v>2818</v>
      </c>
      <c r="C2168" s="29" t="s">
        <v>275</v>
      </c>
      <c r="D2168" s="31">
        <f>SUMIFS(D2169:D3130,K2169:K3130,"0",B2169:B3130,"5 1 1 6 1 12 31111 6 M78 15000 171 00I 001 17102 025 2111100 2024*")-SUMIFS(E2169:E3130,K2169:K3130,"0",B2169:B3130,"5 1 1 6 1 12 31111 6 M78 15000 171 00I 001 17102 025 2111100 2024*")</f>
        <v>0</v>
      </c>
      <c r="E2168"/>
      <c r="F2168" s="31">
        <f>SUMIFS(F2169:F3130,K2169:K3130,"0",B2169:B3130,"5 1 1 6 1 12 31111 6 M78 15000 171 00I 001 17102 025 2111100 2024*")</f>
        <v>345500</v>
      </c>
      <c r="G2168" s="31">
        <f>SUMIFS(G2169:G3130,K2169:K3130,"0",B2169:B3130,"5 1 1 6 1 12 31111 6 M78 15000 171 00I 001 17102 025 2111100 2024*")</f>
        <v>0</v>
      </c>
      <c r="H2168" s="31">
        <f t="shared" si="34"/>
        <v>345500</v>
      </c>
      <c r="I2168" s="31"/>
      <c r="K2168" t="s">
        <v>13</v>
      </c>
    </row>
    <row r="2169" spans="2:11" ht="22" x14ac:dyDescent="0.15">
      <c r="B2169" s="29" t="s">
        <v>2819</v>
      </c>
      <c r="C2169" s="29" t="s">
        <v>277</v>
      </c>
      <c r="D2169" s="31">
        <f>SUMIFS(D2170:D3130,K2170:K3130,"0",B2170:B3130,"5 1 1 6 1 12 31111 6 M78 15000 171 00I 001 17102 025 2111100 2024 00000000*")-SUMIFS(E2170:E3130,K2170:K3130,"0",B2170:B3130,"5 1 1 6 1 12 31111 6 M78 15000 171 00I 001 17102 025 2111100 2024 00000000*")</f>
        <v>0</v>
      </c>
      <c r="E2169"/>
      <c r="F2169" s="31">
        <f>SUMIFS(F2170:F3130,K2170:K3130,"0",B2170:B3130,"5 1 1 6 1 12 31111 6 M78 15000 171 00I 001 17102 025 2111100 2024 00000000*")</f>
        <v>345500</v>
      </c>
      <c r="G2169" s="31">
        <f>SUMIFS(G2170:G3130,K2170:K3130,"0",B2170:B3130,"5 1 1 6 1 12 31111 6 M78 15000 171 00I 001 17102 025 2111100 2024 00000000*")</f>
        <v>0</v>
      </c>
      <c r="H2169" s="31">
        <f t="shared" si="34"/>
        <v>345500</v>
      </c>
      <c r="I2169" s="31"/>
      <c r="K2169" t="s">
        <v>13</v>
      </c>
    </row>
    <row r="2170" spans="2:11" ht="22" x14ac:dyDescent="0.15">
      <c r="B2170" s="29" t="s">
        <v>2820</v>
      </c>
      <c r="C2170" s="29" t="s">
        <v>581</v>
      </c>
      <c r="D2170" s="31">
        <f>SUMIFS(D2171:D3130,K2171:K3130,"0",B2171:B3130,"5 1 1 6 1 12 31111 6 M78 15000 171 00I 001 17102 025 2111100 2024 00000000 003*")-SUMIFS(E2171:E3130,K2171:K3130,"0",B2171:B3130,"5 1 1 6 1 12 31111 6 M78 15000 171 00I 001 17102 025 2111100 2024 00000000 003*")</f>
        <v>0</v>
      </c>
      <c r="E2170"/>
      <c r="F2170" s="31">
        <f>SUMIFS(F2171:F3130,K2171:K3130,"0",B2171:B3130,"5 1 1 6 1 12 31111 6 M78 15000 171 00I 001 17102 025 2111100 2024 00000000 003*")</f>
        <v>345500</v>
      </c>
      <c r="G2170" s="31">
        <f>SUMIFS(G2171:G3130,K2171:K3130,"0",B2171:B3130,"5 1 1 6 1 12 31111 6 M78 15000 171 00I 001 17102 025 2111100 2024 00000000 003*")</f>
        <v>0</v>
      </c>
      <c r="H2170" s="31">
        <f t="shared" si="34"/>
        <v>345500</v>
      </c>
      <c r="I2170" s="31"/>
      <c r="K2170" t="s">
        <v>13</v>
      </c>
    </row>
    <row r="2171" spans="2:11" ht="22" x14ac:dyDescent="0.15">
      <c r="B2171" s="27" t="s">
        <v>2821</v>
      </c>
      <c r="C2171" s="27" t="s">
        <v>2822</v>
      </c>
      <c r="D2171" s="30">
        <v>0</v>
      </c>
      <c r="E2171" s="30"/>
      <c r="F2171" s="30">
        <v>345500</v>
      </c>
      <c r="G2171" s="30">
        <v>0</v>
      </c>
      <c r="H2171" s="30">
        <f t="shared" si="34"/>
        <v>345500</v>
      </c>
      <c r="I2171" s="30"/>
      <c r="K2171" t="s">
        <v>37</v>
      </c>
    </row>
    <row r="2172" spans="2:11" ht="13" x14ac:dyDescent="0.15">
      <c r="B2172" s="29" t="s">
        <v>2823</v>
      </c>
      <c r="C2172" s="29" t="s">
        <v>2824</v>
      </c>
      <c r="D2172" s="31">
        <f>SUMIFS(D2173:D3130,K2173:K3130,"0",B2173:B3130,"5 1 2*")-SUMIFS(E2173:E3130,K2173:K3130,"0",B2173:B3130,"5 1 2*")</f>
        <v>0</v>
      </c>
      <c r="E2172"/>
      <c r="F2172" s="31">
        <f>SUMIFS(F2173:F3130,K2173:K3130,"0",B2173:B3130,"5 1 2*")</f>
        <v>5906189.1500000004</v>
      </c>
      <c r="G2172" s="31">
        <f>SUMIFS(G2173:G3130,K2173:K3130,"0",B2173:B3130,"5 1 2*")</f>
        <v>75253.59</v>
      </c>
      <c r="H2172" s="31">
        <f t="shared" si="34"/>
        <v>5830935.5600000005</v>
      </c>
      <c r="I2172" s="31"/>
      <c r="K2172" t="s">
        <v>13</v>
      </c>
    </row>
    <row r="2173" spans="2:11" ht="22" x14ac:dyDescent="0.15">
      <c r="B2173" s="29" t="s">
        <v>2825</v>
      </c>
      <c r="C2173" s="29" t="s">
        <v>2826</v>
      </c>
      <c r="D2173" s="31">
        <f>SUMIFS(D2174:D3130,K2174:K3130,"0",B2174:B3130,"5 1 2 1*")-SUMIFS(E2174:E3130,K2174:K3130,"0",B2174:B3130,"5 1 2 1*")</f>
        <v>0</v>
      </c>
      <c r="E2173"/>
      <c r="F2173" s="31">
        <f>SUMIFS(F2174:F3130,K2174:K3130,"0",B2174:B3130,"5 1 2 1*")</f>
        <v>2686088.9699999997</v>
      </c>
      <c r="G2173" s="31">
        <f>SUMIFS(G2174:G3130,K2174:K3130,"0",B2174:B3130,"5 1 2 1*")</f>
        <v>19430.010000000002</v>
      </c>
      <c r="H2173" s="31">
        <f t="shared" si="34"/>
        <v>2666658.96</v>
      </c>
      <c r="I2173" s="31"/>
      <c r="K2173" t="s">
        <v>13</v>
      </c>
    </row>
    <row r="2174" spans="2:11" ht="13" x14ac:dyDescent="0.15">
      <c r="B2174" s="29" t="s">
        <v>2827</v>
      </c>
      <c r="C2174" s="29" t="s">
        <v>2828</v>
      </c>
      <c r="D2174" s="31">
        <f>SUMIFS(D2175:D3130,K2175:K3130,"0",B2175:B3130,"5 1 2 1 1*")-SUMIFS(E2175:E3130,K2175:K3130,"0",B2175:B3130,"5 1 2 1 1*")</f>
        <v>0</v>
      </c>
      <c r="E2174"/>
      <c r="F2174" s="31">
        <f>SUMIFS(F2175:F3130,K2175:K3130,"0",B2175:B3130,"5 1 2 1 1*")</f>
        <v>1056412.3999999999</v>
      </c>
      <c r="G2174" s="31">
        <f>SUMIFS(G2175:G3130,K2175:K3130,"0",B2175:B3130,"5 1 2 1 1*")</f>
        <v>9430.01</v>
      </c>
      <c r="H2174" s="31">
        <f t="shared" si="34"/>
        <v>1046982.3899999999</v>
      </c>
      <c r="I2174" s="31"/>
      <c r="K2174" t="s">
        <v>13</v>
      </c>
    </row>
    <row r="2175" spans="2:11" ht="13" x14ac:dyDescent="0.15">
      <c r="B2175" s="29" t="s">
        <v>2829</v>
      </c>
      <c r="C2175" s="29" t="s">
        <v>24</v>
      </c>
      <c r="D2175" s="31">
        <f>SUMIFS(D2176:D3130,K2176:K3130,"0",B2176:B3130,"5 1 2 1 1 12*")-SUMIFS(E2176:E3130,K2176:K3130,"0",B2176:B3130,"5 1 2 1 1 12*")</f>
        <v>0</v>
      </c>
      <c r="E2175"/>
      <c r="F2175" s="31">
        <f>SUMIFS(F2176:F3130,K2176:K3130,"0",B2176:B3130,"5 1 2 1 1 12*")</f>
        <v>1056412.3999999999</v>
      </c>
      <c r="G2175" s="31">
        <f>SUMIFS(G2176:G3130,K2176:K3130,"0",B2176:B3130,"5 1 2 1 1 12*")</f>
        <v>9430.01</v>
      </c>
      <c r="H2175" s="31">
        <f t="shared" si="34"/>
        <v>1046982.3899999999</v>
      </c>
      <c r="I2175" s="31"/>
      <c r="K2175" t="s">
        <v>13</v>
      </c>
    </row>
    <row r="2176" spans="2:11" ht="13" x14ac:dyDescent="0.15">
      <c r="B2176" s="29" t="s">
        <v>2830</v>
      </c>
      <c r="C2176" s="29" t="s">
        <v>26</v>
      </c>
      <c r="D2176" s="31">
        <f>SUMIFS(D2177:D3130,K2177:K3130,"0",B2177:B3130,"5 1 2 1 1 12 31111*")-SUMIFS(E2177:E3130,K2177:K3130,"0",B2177:B3130,"5 1 2 1 1 12 31111*")</f>
        <v>0</v>
      </c>
      <c r="E2176"/>
      <c r="F2176" s="31">
        <f>SUMIFS(F2177:F3130,K2177:K3130,"0",B2177:B3130,"5 1 2 1 1 12 31111*")</f>
        <v>1056412.3999999999</v>
      </c>
      <c r="G2176" s="31">
        <f>SUMIFS(G2177:G3130,K2177:K3130,"0",B2177:B3130,"5 1 2 1 1 12 31111*")</f>
        <v>9430.01</v>
      </c>
      <c r="H2176" s="31">
        <f t="shared" si="34"/>
        <v>1046982.3899999999</v>
      </c>
      <c r="I2176" s="31"/>
      <c r="K2176" t="s">
        <v>13</v>
      </c>
    </row>
    <row r="2177" spans="2:11" ht="13" x14ac:dyDescent="0.15">
      <c r="B2177" s="29" t="s">
        <v>2831</v>
      </c>
      <c r="C2177" s="29" t="s">
        <v>28</v>
      </c>
      <c r="D2177" s="31">
        <f>SUMIFS(D2178:D3130,K2178:K3130,"0",B2178:B3130,"5 1 2 1 1 12 31111 6*")-SUMIFS(E2178:E3130,K2178:K3130,"0",B2178:B3130,"5 1 2 1 1 12 31111 6*")</f>
        <v>0</v>
      </c>
      <c r="E2177"/>
      <c r="F2177" s="31">
        <f>SUMIFS(F2178:F3130,K2178:K3130,"0",B2178:B3130,"5 1 2 1 1 12 31111 6*")</f>
        <v>1056412.3999999999</v>
      </c>
      <c r="G2177" s="31">
        <f>SUMIFS(G2178:G3130,K2178:K3130,"0",B2178:B3130,"5 1 2 1 1 12 31111 6*")</f>
        <v>9430.01</v>
      </c>
      <c r="H2177" s="31">
        <f t="shared" si="34"/>
        <v>1046982.3899999999</v>
      </c>
      <c r="I2177" s="31"/>
      <c r="K2177" t="s">
        <v>13</v>
      </c>
    </row>
    <row r="2178" spans="2:11" ht="13" x14ac:dyDescent="0.15">
      <c r="B2178" s="29" t="s">
        <v>2832</v>
      </c>
      <c r="C2178" s="29" t="s">
        <v>1567</v>
      </c>
      <c r="D2178" s="31">
        <f>SUMIFS(D2179:D3130,K2179:K3130,"0",B2179:B3130,"5 1 2 1 1 12 31111 6 M78*")-SUMIFS(E2179:E3130,K2179:K3130,"0",B2179:B3130,"5 1 2 1 1 12 31111 6 M78*")</f>
        <v>0</v>
      </c>
      <c r="E2178"/>
      <c r="F2178" s="31">
        <f>SUMIFS(F2179:F3130,K2179:K3130,"0",B2179:B3130,"5 1 2 1 1 12 31111 6 M78*")</f>
        <v>1056412.3999999999</v>
      </c>
      <c r="G2178" s="31">
        <f>SUMIFS(G2179:G3130,K2179:K3130,"0",B2179:B3130,"5 1 2 1 1 12 31111 6 M78*")</f>
        <v>9430.01</v>
      </c>
      <c r="H2178" s="31">
        <f t="shared" si="34"/>
        <v>1046982.3899999999</v>
      </c>
      <c r="I2178" s="31"/>
      <c r="K2178" t="s">
        <v>13</v>
      </c>
    </row>
    <row r="2179" spans="2:11" ht="13" x14ac:dyDescent="0.15">
      <c r="B2179" s="29" t="s">
        <v>2833</v>
      </c>
      <c r="C2179" s="29" t="s">
        <v>8</v>
      </c>
      <c r="D2179" s="31">
        <f>SUMIFS(D2180:D3130,K2180:K3130,"0",B2180:B3130,"5 1 2 1 1 12 31111 6 M78 07000*")-SUMIFS(E2180:E3130,K2180:K3130,"0",B2180:B3130,"5 1 2 1 1 12 31111 6 M78 07000*")</f>
        <v>0</v>
      </c>
      <c r="E2179"/>
      <c r="F2179" s="31">
        <f>SUMIFS(F2180:F3130,K2180:K3130,"0",B2180:B3130,"5 1 2 1 1 12 31111 6 M78 07000*")</f>
        <v>739460.58</v>
      </c>
      <c r="G2179" s="31">
        <f>SUMIFS(G2180:G3130,K2180:K3130,"0",B2180:B3130,"5 1 2 1 1 12 31111 6 M78 07000*")</f>
        <v>9430.01</v>
      </c>
      <c r="H2179" s="31">
        <f t="shared" si="34"/>
        <v>730030.57</v>
      </c>
      <c r="I2179" s="31"/>
      <c r="K2179" t="s">
        <v>13</v>
      </c>
    </row>
    <row r="2180" spans="2:11" ht="13" x14ac:dyDescent="0.15">
      <c r="B2180" s="29" t="s">
        <v>2834</v>
      </c>
      <c r="C2180" s="29" t="s">
        <v>588</v>
      </c>
      <c r="D2180" s="31">
        <f>SUMIFS(D2181:D3130,K2181:K3130,"0",B2181:B3130,"5 1 2 1 1 12 31111 6 M78 07000 151*")-SUMIFS(E2181:E3130,K2181:K3130,"0",B2181:B3130,"5 1 2 1 1 12 31111 6 M78 07000 151*")</f>
        <v>0</v>
      </c>
      <c r="E2180"/>
      <c r="F2180" s="31">
        <f>SUMIFS(F2181:F3130,K2181:K3130,"0",B2181:B3130,"5 1 2 1 1 12 31111 6 M78 07000 151*")</f>
        <v>739460.58</v>
      </c>
      <c r="G2180" s="31">
        <f>SUMIFS(G2181:G3130,K2181:K3130,"0",B2181:B3130,"5 1 2 1 1 12 31111 6 M78 07000 151*")</f>
        <v>9430.01</v>
      </c>
      <c r="H2180" s="31">
        <f t="shared" si="34"/>
        <v>730030.57</v>
      </c>
      <c r="I2180" s="31"/>
      <c r="K2180" t="s">
        <v>13</v>
      </c>
    </row>
    <row r="2181" spans="2:11" ht="13" x14ac:dyDescent="0.15">
      <c r="B2181" s="29" t="s">
        <v>2835</v>
      </c>
      <c r="C2181" s="29" t="s">
        <v>265</v>
      </c>
      <c r="D2181" s="31">
        <f>SUMIFS(D2182:D3130,K2182:K3130,"0",B2182:B3130,"5 1 2 1 1 12 31111 6 M78 07000 151 00C*")-SUMIFS(E2182:E3130,K2182:K3130,"0",B2182:B3130,"5 1 2 1 1 12 31111 6 M78 07000 151 00C*")</f>
        <v>0</v>
      </c>
      <c r="E2181"/>
      <c r="F2181" s="31">
        <f>SUMIFS(F2182:F3130,K2182:K3130,"0",B2182:B3130,"5 1 2 1 1 12 31111 6 M78 07000 151 00C*")</f>
        <v>696596.44</v>
      </c>
      <c r="G2181" s="31">
        <f>SUMIFS(G2182:G3130,K2182:K3130,"0",B2182:B3130,"5 1 2 1 1 12 31111 6 M78 07000 151 00C*")</f>
        <v>9430.01</v>
      </c>
      <c r="H2181" s="31">
        <f t="shared" si="34"/>
        <v>687166.42999999993</v>
      </c>
      <c r="I2181" s="31"/>
      <c r="K2181" t="s">
        <v>13</v>
      </c>
    </row>
    <row r="2182" spans="2:11" ht="13" x14ac:dyDescent="0.15">
      <c r="B2182" s="29" t="s">
        <v>2836</v>
      </c>
      <c r="C2182" s="29" t="s">
        <v>32</v>
      </c>
      <c r="D2182" s="31">
        <f>SUMIFS(D2183:D3130,K2183:K3130,"0",B2183:B3130,"5 1 2 1 1 12 31111 6 M78 07000 151 00C 001*")-SUMIFS(E2183:E3130,K2183:K3130,"0",B2183:B3130,"5 1 2 1 1 12 31111 6 M78 07000 151 00C 001*")</f>
        <v>0</v>
      </c>
      <c r="E2182"/>
      <c r="F2182" s="31">
        <f>SUMIFS(F2183:F3130,K2183:K3130,"0",B2183:B3130,"5 1 2 1 1 12 31111 6 M78 07000 151 00C 001*")</f>
        <v>696596.44</v>
      </c>
      <c r="G2182" s="31">
        <f>SUMIFS(G2183:G3130,K2183:K3130,"0",B2183:B3130,"5 1 2 1 1 12 31111 6 M78 07000 151 00C 001*")</f>
        <v>9430.01</v>
      </c>
      <c r="H2182" s="31">
        <f t="shared" si="34"/>
        <v>687166.42999999993</v>
      </c>
      <c r="I2182" s="31"/>
      <c r="K2182" t="s">
        <v>13</v>
      </c>
    </row>
    <row r="2183" spans="2:11" ht="13" x14ac:dyDescent="0.15">
      <c r="B2183" s="29" t="s">
        <v>2837</v>
      </c>
      <c r="C2183" s="29" t="s">
        <v>2838</v>
      </c>
      <c r="D2183" s="31">
        <f>SUMIFS(D2184:D3130,K2184:K3130,"0",B2184:B3130,"5 1 2 1 1 12 31111 6 M78 07000 151 00C 001 21101*")-SUMIFS(E2184:E3130,K2184:K3130,"0",B2184:B3130,"5 1 2 1 1 12 31111 6 M78 07000 151 00C 001 21101*")</f>
        <v>0</v>
      </c>
      <c r="E2183"/>
      <c r="F2183" s="31">
        <f>SUMIFS(F2184:F3130,K2184:K3130,"0",B2184:B3130,"5 1 2 1 1 12 31111 6 M78 07000 151 00C 001 21101*")</f>
        <v>696596.44</v>
      </c>
      <c r="G2183" s="31">
        <f>SUMIFS(G2184:G3130,K2184:K3130,"0",B2184:B3130,"5 1 2 1 1 12 31111 6 M78 07000 151 00C 001 21101*")</f>
        <v>9430.01</v>
      </c>
      <c r="H2183" s="31">
        <f t="shared" si="34"/>
        <v>687166.42999999993</v>
      </c>
      <c r="I2183" s="31"/>
      <c r="K2183" t="s">
        <v>13</v>
      </c>
    </row>
    <row r="2184" spans="2:11" ht="22" x14ac:dyDescent="0.15">
      <c r="B2184" s="29" t="s">
        <v>2839</v>
      </c>
      <c r="C2184" s="29" t="s">
        <v>271</v>
      </c>
      <c r="D2184" s="31">
        <f>SUMIFS(D2185:D3130,K2185:K3130,"0",B2185:B3130,"5 1 2 1 1 12 31111 6 M78 07000 151 00C 001 21101 015*")-SUMIFS(E2185:E3130,K2185:K3130,"0",B2185:B3130,"5 1 2 1 1 12 31111 6 M78 07000 151 00C 001 21101 015*")</f>
        <v>0</v>
      </c>
      <c r="E2184"/>
      <c r="F2184" s="31">
        <f>SUMIFS(F2185:F3130,K2185:K3130,"0",B2185:B3130,"5 1 2 1 1 12 31111 6 M78 07000 151 00C 001 21101 015*")</f>
        <v>696596.44</v>
      </c>
      <c r="G2184" s="31">
        <f>SUMIFS(G2185:G3130,K2185:K3130,"0",B2185:B3130,"5 1 2 1 1 12 31111 6 M78 07000 151 00C 001 21101 015*")</f>
        <v>9430.01</v>
      </c>
      <c r="H2184" s="31">
        <f t="shared" si="34"/>
        <v>687166.42999999993</v>
      </c>
      <c r="I2184" s="31"/>
      <c r="K2184" t="s">
        <v>13</v>
      </c>
    </row>
    <row r="2185" spans="2:11" ht="22" x14ac:dyDescent="0.15">
      <c r="B2185" s="29" t="s">
        <v>2840</v>
      </c>
      <c r="C2185" s="29" t="s">
        <v>595</v>
      </c>
      <c r="D2185" s="31">
        <f>SUMIFS(D2186:D3130,K2186:K3130,"0",B2186:B3130,"5 1 2 1 1 12 31111 6 M78 07000 151 00C 001 21101 015 2112000*")-SUMIFS(E2186:E3130,K2186:K3130,"0",B2186:B3130,"5 1 2 1 1 12 31111 6 M78 07000 151 00C 001 21101 015 2112000*")</f>
        <v>0</v>
      </c>
      <c r="E2185"/>
      <c r="F2185" s="31">
        <f>SUMIFS(F2186:F3130,K2186:K3130,"0",B2186:B3130,"5 1 2 1 1 12 31111 6 M78 07000 151 00C 001 21101 015 2112000*")</f>
        <v>696596.44</v>
      </c>
      <c r="G2185" s="31">
        <f>SUMIFS(G2186:G3130,K2186:K3130,"0",B2186:B3130,"5 1 2 1 1 12 31111 6 M78 07000 151 00C 001 21101 015 2112000*")</f>
        <v>9430.01</v>
      </c>
      <c r="H2185" s="31">
        <f t="shared" si="34"/>
        <v>687166.42999999993</v>
      </c>
      <c r="I2185" s="31"/>
      <c r="K2185" t="s">
        <v>13</v>
      </c>
    </row>
    <row r="2186" spans="2:11" ht="22" x14ac:dyDescent="0.15">
      <c r="B2186" s="29" t="s">
        <v>2841</v>
      </c>
      <c r="C2186" s="29" t="s">
        <v>275</v>
      </c>
      <c r="D2186" s="31">
        <f>SUMIFS(D2187:D3130,K2187:K3130,"0",B2187:B3130,"5 1 2 1 1 12 31111 6 M78 07000 151 00C 001 21101 015 2112000 2024*")-SUMIFS(E2187:E3130,K2187:K3130,"0",B2187:B3130,"5 1 2 1 1 12 31111 6 M78 07000 151 00C 001 21101 015 2112000 2024*")</f>
        <v>0</v>
      </c>
      <c r="E2186"/>
      <c r="F2186" s="31">
        <f>SUMIFS(F2187:F3130,K2187:K3130,"0",B2187:B3130,"5 1 2 1 1 12 31111 6 M78 07000 151 00C 001 21101 015 2112000 2024*")</f>
        <v>696596.44</v>
      </c>
      <c r="G2186" s="31">
        <f>SUMIFS(G2187:G3130,K2187:K3130,"0",B2187:B3130,"5 1 2 1 1 12 31111 6 M78 07000 151 00C 001 21101 015 2112000 2024*")</f>
        <v>9430.01</v>
      </c>
      <c r="H2186" s="31">
        <f t="shared" si="34"/>
        <v>687166.42999999993</v>
      </c>
      <c r="I2186" s="31"/>
      <c r="K2186" t="s">
        <v>13</v>
      </c>
    </row>
    <row r="2187" spans="2:11" ht="22" x14ac:dyDescent="0.15">
      <c r="B2187" s="29" t="s">
        <v>2842</v>
      </c>
      <c r="C2187" s="29" t="s">
        <v>277</v>
      </c>
      <c r="D2187" s="31">
        <f>SUMIFS(D2188:D3130,K2188:K3130,"0",B2188:B3130,"5 1 2 1 1 12 31111 6 M78 07000 151 00C 001 21101 015 2112000 2024 00000000*")-SUMIFS(E2188:E3130,K2188:K3130,"0",B2188:B3130,"5 1 2 1 1 12 31111 6 M78 07000 151 00C 001 21101 015 2112000 2024 00000000*")</f>
        <v>0</v>
      </c>
      <c r="E2187"/>
      <c r="F2187" s="31">
        <f>SUMIFS(F2188:F3130,K2188:K3130,"0",B2188:B3130,"5 1 2 1 1 12 31111 6 M78 07000 151 00C 001 21101 015 2112000 2024 00000000*")</f>
        <v>696596.44</v>
      </c>
      <c r="G2187" s="31">
        <f>SUMIFS(G2188:G3130,K2188:K3130,"0",B2188:B3130,"5 1 2 1 1 12 31111 6 M78 07000 151 00C 001 21101 015 2112000 2024 00000000*")</f>
        <v>9430.01</v>
      </c>
      <c r="H2187" s="31">
        <f t="shared" ref="H2187:H2250" si="35">D2187 + F2187 - G2187</f>
        <v>687166.42999999993</v>
      </c>
      <c r="I2187" s="31"/>
      <c r="K2187" t="s">
        <v>13</v>
      </c>
    </row>
    <row r="2188" spans="2:11" ht="22" x14ac:dyDescent="0.15">
      <c r="B2188" s="29" t="s">
        <v>2843</v>
      </c>
      <c r="C2188" s="29" t="s">
        <v>32</v>
      </c>
      <c r="D2188" s="31">
        <f>SUMIFS(D2189:D3130,K2189:K3130,"0",B2189:B3130,"5 1 2 1 1 12 31111 6 M78 07000 151 00C 001 21101 015 2112000 2024 00000000 001*")-SUMIFS(E2189:E3130,K2189:K3130,"0",B2189:B3130,"5 1 2 1 1 12 31111 6 M78 07000 151 00C 001 21101 015 2112000 2024 00000000 001*")</f>
        <v>0</v>
      </c>
      <c r="E2188"/>
      <c r="F2188" s="31">
        <f>SUMIFS(F2189:F3130,K2189:K3130,"0",B2189:B3130,"5 1 2 1 1 12 31111 6 M78 07000 151 00C 001 21101 015 2112000 2024 00000000 001*")</f>
        <v>696596.44</v>
      </c>
      <c r="G2188" s="31">
        <f>SUMIFS(G2189:G3130,K2189:K3130,"0",B2189:B3130,"5 1 2 1 1 12 31111 6 M78 07000 151 00C 001 21101 015 2112000 2024 00000000 001*")</f>
        <v>9430.01</v>
      </c>
      <c r="H2188" s="31">
        <f t="shared" si="35"/>
        <v>687166.42999999993</v>
      </c>
      <c r="I2188" s="31"/>
      <c r="K2188" t="s">
        <v>13</v>
      </c>
    </row>
    <row r="2189" spans="2:11" ht="22" x14ac:dyDescent="0.15">
      <c r="B2189" s="27" t="s">
        <v>2844</v>
      </c>
      <c r="C2189" s="27" t="s">
        <v>2845</v>
      </c>
      <c r="D2189" s="30">
        <v>0</v>
      </c>
      <c r="E2189" s="30"/>
      <c r="F2189" s="30">
        <v>696596.44</v>
      </c>
      <c r="G2189" s="30">
        <v>9430.01</v>
      </c>
      <c r="H2189" s="30">
        <f t="shared" si="35"/>
        <v>687166.42999999993</v>
      </c>
      <c r="I2189" s="30"/>
      <c r="K2189" t="s">
        <v>37</v>
      </c>
    </row>
    <row r="2190" spans="2:11" ht="13" x14ac:dyDescent="0.15">
      <c r="B2190" s="29" t="s">
        <v>2846</v>
      </c>
      <c r="C2190" s="29" t="s">
        <v>812</v>
      </c>
      <c r="D2190" s="31">
        <f>SUMIFS(D2191:D3130,K2191:K3130,"0",B2191:B3130,"5 1 2 1 1 12 31111 6 M78 07000 151 00E*")-SUMIFS(E2191:E3130,K2191:K3130,"0",B2191:B3130,"5 1 2 1 1 12 31111 6 M78 07000 151 00E*")</f>
        <v>0</v>
      </c>
      <c r="E2190"/>
      <c r="F2190" s="31">
        <f>SUMIFS(F2191:F3130,K2191:K3130,"0",B2191:B3130,"5 1 2 1 1 12 31111 6 M78 07000 151 00E*")</f>
        <v>42864.14</v>
      </c>
      <c r="G2190" s="31">
        <f>SUMIFS(G2191:G3130,K2191:K3130,"0",B2191:B3130,"5 1 2 1 1 12 31111 6 M78 07000 151 00E*")</f>
        <v>0</v>
      </c>
      <c r="H2190" s="31">
        <f t="shared" si="35"/>
        <v>42864.14</v>
      </c>
      <c r="I2190" s="31"/>
      <c r="K2190" t="s">
        <v>13</v>
      </c>
    </row>
    <row r="2191" spans="2:11" ht="13" x14ac:dyDescent="0.15">
      <c r="B2191" s="29" t="s">
        <v>2847</v>
      </c>
      <c r="C2191" s="29" t="s">
        <v>32</v>
      </c>
      <c r="D2191" s="31">
        <f>SUMIFS(D2192:D3130,K2192:K3130,"0",B2192:B3130,"5 1 2 1 1 12 31111 6 M78 07000 151 00E 001*")-SUMIFS(E2192:E3130,K2192:K3130,"0",B2192:B3130,"5 1 2 1 1 12 31111 6 M78 07000 151 00E 001*")</f>
        <v>0</v>
      </c>
      <c r="E2191"/>
      <c r="F2191" s="31">
        <f>SUMIFS(F2192:F3130,K2192:K3130,"0",B2192:B3130,"5 1 2 1 1 12 31111 6 M78 07000 151 00E 001*")</f>
        <v>42864.14</v>
      </c>
      <c r="G2191" s="31">
        <f>SUMIFS(G2192:G3130,K2192:K3130,"0",B2192:B3130,"5 1 2 1 1 12 31111 6 M78 07000 151 00E 001*")</f>
        <v>0</v>
      </c>
      <c r="H2191" s="31">
        <f t="shared" si="35"/>
        <v>42864.14</v>
      </c>
      <c r="I2191" s="31"/>
      <c r="K2191" t="s">
        <v>13</v>
      </c>
    </row>
    <row r="2192" spans="2:11" ht="13" x14ac:dyDescent="0.15">
      <c r="B2192" s="29" t="s">
        <v>2848</v>
      </c>
      <c r="C2192" s="29" t="s">
        <v>2849</v>
      </c>
      <c r="D2192" s="31">
        <f>SUMIFS(D2193:D3130,K2193:K3130,"0",B2193:B3130,"5 1 2 1 1 12 31111 6 M78 07000 151 00E 001 21101*")-SUMIFS(E2193:E3130,K2193:K3130,"0",B2193:B3130,"5 1 2 1 1 12 31111 6 M78 07000 151 00E 001 21101*")</f>
        <v>0</v>
      </c>
      <c r="E2192"/>
      <c r="F2192" s="31">
        <f>SUMIFS(F2193:F3130,K2193:K3130,"0",B2193:B3130,"5 1 2 1 1 12 31111 6 M78 07000 151 00E 001 21101*")</f>
        <v>42864.14</v>
      </c>
      <c r="G2192" s="31">
        <f>SUMIFS(G2193:G3130,K2193:K3130,"0",B2193:B3130,"5 1 2 1 1 12 31111 6 M78 07000 151 00E 001 21101*")</f>
        <v>0</v>
      </c>
      <c r="H2192" s="31">
        <f t="shared" si="35"/>
        <v>42864.14</v>
      </c>
      <c r="I2192" s="31"/>
      <c r="K2192" t="s">
        <v>13</v>
      </c>
    </row>
    <row r="2193" spans="2:11" ht="22" x14ac:dyDescent="0.15">
      <c r="B2193" s="29" t="s">
        <v>2850</v>
      </c>
      <c r="C2193" s="29" t="s">
        <v>1567</v>
      </c>
      <c r="D2193" s="31">
        <f>SUMIFS(D2194:D3130,K2194:K3130,"0",B2194:B3130,"5 1 2 1 1 12 31111 6 M78 07000 151 00E 001 21101 011*")-SUMIFS(E2194:E3130,K2194:K3130,"0",B2194:B3130,"5 1 2 1 1 12 31111 6 M78 07000 151 00E 001 21101 011*")</f>
        <v>0</v>
      </c>
      <c r="E2193"/>
      <c r="F2193" s="31">
        <f>SUMIFS(F2194:F3130,K2194:K3130,"0",B2194:B3130,"5 1 2 1 1 12 31111 6 M78 07000 151 00E 001 21101 011*")</f>
        <v>42864.14</v>
      </c>
      <c r="G2193" s="31">
        <f>SUMIFS(G2194:G3130,K2194:K3130,"0",B2194:B3130,"5 1 2 1 1 12 31111 6 M78 07000 151 00E 001 21101 011*")</f>
        <v>0</v>
      </c>
      <c r="H2193" s="31">
        <f t="shared" si="35"/>
        <v>42864.14</v>
      </c>
      <c r="I2193" s="31"/>
      <c r="K2193" t="s">
        <v>13</v>
      </c>
    </row>
    <row r="2194" spans="2:11" ht="22" x14ac:dyDescent="0.15">
      <c r="B2194" s="29" t="s">
        <v>2851</v>
      </c>
      <c r="C2194" s="29" t="s">
        <v>595</v>
      </c>
      <c r="D2194" s="31">
        <f>SUMIFS(D2195:D3130,K2195:K3130,"0",B2195:B3130,"5 1 2 1 1 12 31111 6 M78 07000 151 00E 001 21101 011 2112000*")-SUMIFS(E2195:E3130,K2195:K3130,"0",B2195:B3130,"5 1 2 1 1 12 31111 6 M78 07000 151 00E 001 21101 011 2112000*")</f>
        <v>0</v>
      </c>
      <c r="E2194"/>
      <c r="F2194" s="31">
        <f>SUMIFS(F2195:F3130,K2195:K3130,"0",B2195:B3130,"5 1 2 1 1 12 31111 6 M78 07000 151 00E 001 21101 011 2112000*")</f>
        <v>42864.14</v>
      </c>
      <c r="G2194" s="31">
        <f>SUMIFS(G2195:G3130,K2195:K3130,"0",B2195:B3130,"5 1 2 1 1 12 31111 6 M78 07000 151 00E 001 21101 011 2112000*")</f>
        <v>0</v>
      </c>
      <c r="H2194" s="31">
        <f t="shared" si="35"/>
        <v>42864.14</v>
      </c>
      <c r="I2194" s="31"/>
      <c r="K2194" t="s">
        <v>13</v>
      </c>
    </row>
    <row r="2195" spans="2:11" ht="22" x14ac:dyDescent="0.15">
      <c r="B2195" s="29" t="s">
        <v>2852</v>
      </c>
      <c r="C2195" s="29" t="s">
        <v>275</v>
      </c>
      <c r="D2195" s="31">
        <f>SUMIFS(D2196:D3130,K2196:K3130,"0",B2196:B3130,"5 1 2 1 1 12 31111 6 M78 07000 151 00E 001 21101 011 2112000 2024*")-SUMIFS(E2196:E3130,K2196:K3130,"0",B2196:B3130,"5 1 2 1 1 12 31111 6 M78 07000 151 00E 001 21101 011 2112000 2024*")</f>
        <v>0</v>
      </c>
      <c r="E2195"/>
      <c r="F2195" s="31">
        <f>SUMIFS(F2196:F3130,K2196:K3130,"0",B2196:B3130,"5 1 2 1 1 12 31111 6 M78 07000 151 00E 001 21101 011 2112000 2024*")</f>
        <v>42864.14</v>
      </c>
      <c r="G2195" s="31">
        <f>SUMIFS(G2196:G3130,K2196:K3130,"0",B2196:B3130,"5 1 2 1 1 12 31111 6 M78 07000 151 00E 001 21101 011 2112000 2024*")</f>
        <v>0</v>
      </c>
      <c r="H2195" s="31">
        <f t="shared" si="35"/>
        <v>42864.14</v>
      </c>
      <c r="I2195" s="31"/>
      <c r="K2195" t="s">
        <v>13</v>
      </c>
    </row>
    <row r="2196" spans="2:11" ht="22" x14ac:dyDescent="0.15">
      <c r="B2196" s="29" t="s">
        <v>2853</v>
      </c>
      <c r="C2196" s="29" t="s">
        <v>277</v>
      </c>
      <c r="D2196" s="31">
        <f>SUMIFS(D2197:D3130,K2197:K3130,"0",B2197:B3130,"5 1 2 1 1 12 31111 6 M78 07000 151 00E 001 21101 011 2112000 2024 00000000*")-SUMIFS(E2197:E3130,K2197:K3130,"0",B2197:B3130,"5 1 2 1 1 12 31111 6 M78 07000 151 00E 001 21101 011 2112000 2024 00000000*")</f>
        <v>0</v>
      </c>
      <c r="E2196"/>
      <c r="F2196" s="31">
        <f>SUMIFS(F2197:F3130,K2197:K3130,"0",B2197:B3130,"5 1 2 1 1 12 31111 6 M78 07000 151 00E 001 21101 011 2112000 2024 00000000*")</f>
        <v>42864.14</v>
      </c>
      <c r="G2196" s="31">
        <f>SUMIFS(G2197:G3130,K2197:K3130,"0",B2197:B3130,"5 1 2 1 1 12 31111 6 M78 07000 151 00E 001 21101 011 2112000 2024 00000000*")</f>
        <v>0</v>
      </c>
      <c r="H2196" s="31">
        <f t="shared" si="35"/>
        <v>42864.14</v>
      </c>
      <c r="I2196" s="31"/>
      <c r="K2196" t="s">
        <v>13</v>
      </c>
    </row>
    <row r="2197" spans="2:11" ht="22" x14ac:dyDescent="0.15">
      <c r="B2197" s="29" t="s">
        <v>2854</v>
      </c>
      <c r="C2197" s="29" t="s">
        <v>1567</v>
      </c>
      <c r="D2197" s="31">
        <f>SUMIFS(D2198:D3130,K2198:K3130,"0",B2198:B3130,"5 1 2 1 1 12 31111 6 M78 07000 151 00E 001 21101 011 2112000 2024 00000000 005*")-SUMIFS(E2198:E3130,K2198:K3130,"0",B2198:B3130,"5 1 2 1 1 12 31111 6 M78 07000 151 00E 001 21101 011 2112000 2024 00000000 005*")</f>
        <v>0</v>
      </c>
      <c r="E2197"/>
      <c r="F2197" s="31">
        <f>SUMIFS(F2198:F3130,K2198:K3130,"0",B2198:B3130,"5 1 2 1 1 12 31111 6 M78 07000 151 00E 001 21101 011 2112000 2024 00000000 005*")</f>
        <v>42864.14</v>
      </c>
      <c r="G2197" s="31">
        <f>SUMIFS(G2198:G3130,K2198:K3130,"0",B2198:B3130,"5 1 2 1 1 12 31111 6 M78 07000 151 00E 001 21101 011 2112000 2024 00000000 005*")</f>
        <v>0</v>
      </c>
      <c r="H2197" s="31">
        <f t="shared" si="35"/>
        <v>42864.14</v>
      </c>
      <c r="I2197" s="31"/>
      <c r="K2197" t="s">
        <v>13</v>
      </c>
    </row>
    <row r="2198" spans="2:11" ht="22" x14ac:dyDescent="0.15">
      <c r="B2198" s="27" t="s">
        <v>2855</v>
      </c>
      <c r="C2198" s="27" t="s">
        <v>1567</v>
      </c>
      <c r="D2198" s="30">
        <v>0</v>
      </c>
      <c r="E2198" s="30"/>
      <c r="F2198" s="30">
        <v>42864.14</v>
      </c>
      <c r="G2198" s="30">
        <v>0</v>
      </c>
      <c r="H2198" s="30">
        <f t="shared" si="35"/>
        <v>42864.14</v>
      </c>
      <c r="I2198" s="30"/>
      <c r="K2198" t="s">
        <v>37</v>
      </c>
    </row>
    <row r="2199" spans="2:11" ht="13" x14ac:dyDescent="0.15">
      <c r="B2199" s="29" t="s">
        <v>2856</v>
      </c>
      <c r="C2199" s="29" t="s">
        <v>833</v>
      </c>
      <c r="D2199" s="31">
        <f>SUMIFS(D2200:D3130,K2200:K3130,"0",B2200:B3130,"5 1 2 1 1 12 31111 6 M78 15000*")-SUMIFS(E2200:E3130,K2200:K3130,"0",B2200:B3130,"5 1 2 1 1 12 31111 6 M78 15000*")</f>
        <v>0</v>
      </c>
      <c r="E2199"/>
      <c r="F2199" s="31">
        <f>SUMIFS(F2200:F3130,K2200:K3130,"0",B2200:B3130,"5 1 2 1 1 12 31111 6 M78 15000*")</f>
        <v>316951.82</v>
      </c>
      <c r="G2199" s="31">
        <f>SUMIFS(G2200:G3130,K2200:K3130,"0",B2200:B3130,"5 1 2 1 1 12 31111 6 M78 15000*")</f>
        <v>0</v>
      </c>
      <c r="H2199" s="31">
        <f t="shared" si="35"/>
        <v>316951.82</v>
      </c>
      <c r="I2199" s="31"/>
      <c r="K2199" t="s">
        <v>13</v>
      </c>
    </row>
    <row r="2200" spans="2:11" ht="13" x14ac:dyDescent="0.15">
      <c r="B2200" s="29" t="s">
        <v>2857</v>
      </c>
      <c r="C2200" s="29" t="s">
        <v>835</v>
      </c>
      <c r="D2200" s="31">
        <f>SUMIFS(D2201:D3130,K2201:K3130,"0",B2201:B3130,"5 1 2 1 1 12 31111 6 M78 15000 171*")-SUMIFS(E2201:E3130,K2201:K3130,"0",B2201:B3130,"5 1 2 1 1 12 31111 6 M78 15000 171*")</f>
        <v>0</v>
      </c>
      <c r="E2200"/>
      <c r="F2200" s="31">
        <f>SUMIFS(F2201:F3130,K2201:K3130,"0",B2201:B3130,"5 1 2 1 1 12 31111 6 M78 15000 171*")</f>
        <v>316951.82</v>
      </c>
      <c r="G2200" s="31">
        <f>SUMIFS(G2201:G3130,K2201:K3130,"0",B2201:B3130,"5 1 2 1 1 12 31111 6 M78 15000 171*")</f>
        <v>0</v>
      </c>
      <c r="H2200" s="31">
        <f t="shared" si="35"/>
        <v>316951.82</v>
      </c>
      <c r="I2200" s="31"/>
      <c r="K2200" t="s">
        <v>13</v>
      </c>
    </row>
    <row r="2201" spans="2:11" ht="13" x14ac:dyDescent="0.15">
      <c r="B2201" s="29" t="s">
        <v>2858</v>
      </c>
      <c r="C2201" s="29" t="s">
        <v>285</v>
      </c>
      <c r="D2201" s="31">
        <f>SUMIFS(D2202:D3130,K2202:K3130,"0",B2202:B3130,"5 1 2 1 1 12 31111 6 M78 15000 171 00I*")-SUMIFS(E2202:E3130,K2202:K3130,"0",B2202:B3130,"5 1 2 1 1 12 31111 6 M78 15000 171 00I*")</f>
        <v>0</v>
      </c>
      <c r="E2201"/>
      <c r="F2201" s="31">
        <f>SUMIFS(F2202:F3130,K2202:K3130,"0",B2202:B3130,"5 1 2 1 1 12 31111 6 M78 15000 171 00I*")</f>
        <v>316951.82</v>
      </c>
      <c r="G2201" s="31">
        <f>SUMIFS(G2202:G3130,K2202:K3130,"0",B2202:B3130,"5 1 2 1 1 12 31111 6 M78 15000 171 00I*")</f>
        <v>0</v>
      </c>
      <c r="H2201" s="31">
        <f t="shared" si="35"/>
        <v>316951.82</v>
      </c>
      <c r="I2201" s="31"/>
      <c r="K2201" t="s">
        <v>13</v>
      </c>
    </row>
    <row r="2202" spans="2:11" ht="13" x14ac:dyDescent="0.15">
      <c r="B2202" s="29" t="s">
        <v>2859</v>
      </c>
      <c r="C2202" s="29" t="s">
        <v>32</v>
      </c>
      <c r="D2202" s="31">
        <f>SUMIFS(D2203:D3130,K2203:K3130,"0",B2203:B3130,"5 1 2 1 1 12 31111 6 M78 15000 171 00I 001*")-SUMIFS(E2203:E3130,K2203:K3130,"0",B2203:B3130,"5 1 2 1 1 12 31111 6 M78 15000 171 00I 001*")</f>
        <v>0</v>
      </c>
      <c r="E2202"/>
      <c r="F2202" s="31">
        <f>SUMIFS(F2203:F3130,K2203:K3130,"0",B2203:B3130,"5 1 2 1 1 12 31111 6 M78 15000 171 00I 001*")</f>
        <v>316951.82</v>
      </c>
      <c r="G2202" s="31">
        <f>SUMIFS(G2203:G3130,K2203:K3130,"0",B2203:B3130,"5 1 2 1 1 12 31111 6 M78 15000 171 00I 001*")</f>
        <v>0</v>
      </c>
      <c r="H2202" s="31">
        <f t="shared" si="35"/>
        <v>316951.82</v>
      </c>
      <c r="I2202" s="31"/>
      <c r="K2202" t="s">
        <v>13</v>
      </c>
    </row>
    <row r="2203" spans="2:11" ht="13" x14ac:dyDescent="0.15">
      <c r="B2203" s="29" t="s">
        <v>2860</v>
      </c>
      <c r="C2203" s="29" t="s">
        <v>2838</v>
      </c>
      <c r="D2203" s="31">
        <f>SUMIFS(D2204:D3130,K2204:K3130,"0",B2204:B3130,"5 1 2 1 1 12 31111 6 M78 15000 171 00I 001 21101*")-SUMIFS(E2204:E3130,K2204:K3130,"0",B2204:B3130,"5 1 2 1 1 12 31111 6 M78 15000 171 00I 001 21101*")</f>
        <v>0</v>
      </c>
      <c r="E2203"/>
      <c r="F2203" s="31">
        <f>SUMIFS(F2204:F3130,K2204:K3130,"0",B2204:B3130,"5 1 2 1 1 12 31111 6 M78 15000 171 00I 001 21101*")</f>
        <v>316951.82</v>
      </c>
      <c r="G2203" s="31">
        <f>SUMIFS(G2204:G3130,K2204:K3130,"0",B2204:B3130,"5 1 2 1 1 12 31111 6 M78 15000 171 00I 001 21101*")</f>
        <v>0</v>
      </c>
      <c r="H2203" s="31">
        <f t="shared" si="35"/>
        <v>316951.82</v>
      </c>
      <c r="I2203" s="31"/>
      <c r="K2203" t="s">
        <v>13</v>
      </c>
    </row>
    <row r="2204" spans="2:11" ht="22" x14ac:dyDescent="0.15">
      <c r="B2204" s="29" t="s">
        <v>2861</v>
      </c>
      <c r="C2204" s="29" t="s">
        <v>290</v>
      </c>
      <c r="D2204" s="31">
        <f>SUMIFS(D2205:D3130,K2205:K3130,"0",B2205:B3130,"5 1 2 1 1 12 31111 6 M78 15000 171 00I 001 21101 025*")-SUMIFS(E2205:E3130,K2205:K3130,"0",B2205:B3130,"5 1 2 1 1 12 31111 6 M78 15000 171 00I 001 21101 025*")</f>
        <v>0</v>
      </c>
      <c r="E2204"/>
      <c r="F2204" s="31">
        <f>SUMIFS(F2205:F3130,K2205:K3130,"0",B2205:B3130,"5 1 2 1 1 12 31111 6 M78 15000 171 00I 001 21101 025*")</f>
        <v>316951.82</v>
      </c>
      <c r="G2204" s="31">
        <f>SUMIFS(G2205:G3130,K2205:K3130,"0",B2205:B3130,"5 1 2 1 1 12 31111 6 M78 15000 171 00I 001 21101 025*")</f>
        <v>0</v>
      </c>
      <c r="H2204" s="31">
        <f t="shared" si="35"/>
        <v>316951.82</v>
      </c>
      <c r="I2204" s="31"/>
      <c r="K2204" t="s">
        <v>13</v>
      </c>
    </row>
    <row r="2205" spans="2:11" ht="22" x14ac:dyDescent="0.15">
      <c r="B2205" s="29" t="s">
        <v>2862</v>
      </c>
      <c r="C2205" s="29" t="s">
        <v>595</v>
      </c>
      <c r="D2205" s="31">
        <f>SUMIFS(D2206:D3130,K2206:K3130,"0",B2206:B3130,"5 1 2 1 1 12 31111 6 M78 15000 171 00I 001 21101 025 2112000*")-SUMIFS(E2206:E3130,K2206:K3130,"0",B2206:B3130,"5 1 2 1 1 12 31111 6 M78 15000 171 00I 001 21101 025 2112000*")</f>
        <v>0</v>
      </c>
      <c r="E2205"/>
      <c r="F2205" s="31">
        <f>SUMIFS(F2206:F3130,K2206:K3130,"0",B2206:B3130,"5 1 2 1 1 12 31111 6 M78 15000 171 00I 001 21101 025 2112000*")</f>
        <v>316951.82</v>
      </c>
      <c r="G2205" s="31">
        <f>SUMIFS(G2206:G3130,K2206:K3130,"0",B2206:B3130,"5 1 2 1 1 12 31111 6 M78 15000 171 00I 001 21101 025 2112000*")</f>
        <v>0</v>
      </c>
      <c r="H2205" s="31">
        <f t="shared" si="35"/>
        <v>316951.82</v>
      </c>
      <c r="I2205" s="31"/>
      <c r="K2205" t="s">
        <v>13</v>
      </c>
    </row>
    <row r="2206" spans="2:11" ht="22" x14ac:dyDescent="0.15">
      <c r="B2206" s="29" t="s">
        <v>2863</v>
      </c>
      <c r="C2206" s="29" t="s">
        <v>275</v>
      </c>
      <c r="D2206" s="31">
        <f>SUMIFS(D2207:D3130,K2207:K3130,"0",B2207:B3130,"5 1 2 1 1 12 31111 6 M78 15000 171 00I 001 21101 025 2112000 2024*")-SUMIFS(E2207:E3130,K2207:K3130,"0",B2207:B3130,"5 1 2 1 1 12 31111 6 M78 15000 171 00I 001 21101 025 2112000 2024*")</f>
        <v>0</v>
      </c>
      <c r="E2206"/>
      <c r="F2206" s="31">
        <f>SUMIFS(F2207:F3130,K2207:K3130,"0",B2207:B3130,"5 1 2 1 1 12 31111 6 M78 15000 171 00I 001 21101 025 2112000 2024*")</f>
        <v>316951.82</v>
      </c>
      <c r="G2206" s="31">
        <f>SUMIFS(G2207:G3130,K2207:K3130,"0",B2207:B3130,"5 1 2 1 1 12 31111 6 M78 15000 171 00I 001 21101 025 2112000 2024*")</f>
        <v>0</v>
      </c>
      <c r="H2206" s="31">
        <f t="shared" si="35"/>
        <v>316951.82</v>
      </c>
      <c r="I2206" s="31"/>
      <c r="K2206" t="s">
        <v>13</v>
      </c>
    </row>
    <row r="2207" spans="2:11" ht="22" x14ac:dyDescent="0.15">
      <c r="B2207" s="29" t="s">
        <v>2864</v>
      </c>
      <c r="C2207" s="29" t="s">
        <v>277</v>
      </c>
      <c r="D2207" s="31">
        <f>SUMIFS(D2208:D3130,K2208:K3130,"0",B2208:B3130,"5 1 2 1 1 12 31111 6 M78 15000 171 00I 001 21101 025 2112000 2024 00000000*")-SUMIFS(E2208:E3130,K2208:K3130,"0",B2208:B3130,"5 1 2 1 1 12 31111 6 M78 15000 171 00I 001 21101 025 2112000 2024 00000000*")</f>
        <v>0</v>
      </c>
      <c r="E2207"/>
      <c r="F2207" s="31">
        <f>SUMIFS(F2208:F3130,K2208:K3130,"0",B2208:B3130,"5 1 2 1 1 12 31111 6 M78 15000 171 00I 001 21101 025 2112000 2024 00000000*")</f>
        <v>316951.82</v>
      </c>
      <c r="G2207" s="31">
        <f>SUMIFS(G2208:G3130,K2208:K3130,"0",B2208:B3130,"5 1 2 1 1 12 31111 6 M78 15000 171 00I 001 21101 025 2112000 2024 00000000*")</f>
        <v>0</v>
      </c>
      <c r="H2207" s="31">
        <f t="shared" si="35"/>
        <v>316951.82</v>
      </c>
      <c r="I2207" s="31"/>
      <c r="K2207" t="s">
        <v>13</v>
      </c>
    </row>
    <row r="2208" spans="2:11" ht="22" x14ac:dyDescent="0.15">
      <c r="B2208" s="29" t="s">
        <v>2865</v>
      </c>
      <c r="C2208" s="29" t="s">
        <v>581</v>
      </c>
      <c r="D2208" s="31">
        <f>SUMIFS(D2209:D3130,K2209:K3130,"0",B2209:B3130,"5 1 2 1 1 12 31111 6 M78 15000 171 00I 001 21101 025 2112000 2024 00000000 003*")-SUMIFS(E2209:E3130,K2209:K3130,"0",B2209:B3130,"5 1 2 1 1 12 31111 6 M78 15000 171 00I 001 21101 025 2112000 2024 00000000 003*")</f>
        <v>0</v>
      </c>
      <c r="E2208"/>
      <c r="F2208" s="31">
        <f>SUMIFS(F2209:F3130,K2209:K3130,"0",B2209:B3130,"5 1 2 1 1 12 31111 6 M78 15000 171 00I 001 21101 025 2112000 2024 00000000 003*")</f>
        <v>316951.82</v>
      </c>
      <c r="G2208" s="31">
        <f>SUMIFS(G2209:G3130,K2209:K3130,"0",B2209:B3130,"5 1 2 1 1 12 31111 6 M78 15000 171 00I 001 21101 025 2112000 2024 00000000 003*")</f>
        <v>0</v>
      </c>
      <c r="H2208" s="31">
        <f t="shared" si="35"/>
        <v>316951.82</v>
      </c>
      <c r="I2208" s="31"/>
      <c r="K2208" t="s">
        <v>13</v>
      </c>
    </row>
    <row r="2209" spans="2:11" ht="22" x14ac:dyDescent="0.15">
      <c r="B2209" s="27" t="s">
        <v>2866</v>
      </c>
      <c r="C2209" s="27" t="s">
        <v>2845</v>
      </c>
      <c r="D2209" s="30">
        <v>0</v>
      </c>
      <c r="E2209" s="30"/>
      <c r="F2209" s="30">
        <v>316951.82</v>
      </c>
      <c r="G2209" s="30">
        <v>0</v>
      </c>
      <c r="H2209" s="30">
        <f t="shared" si="35"/>
        <v>316951.82</v>
      </c>
      <c r="I2209" s="30"/>
      <c r="K2209" t="s">
        <v>37</v>
      </c>
    </row>
    <row r="2210" spans="2:11" ht="13" x14ac:dyDescent="0.15">
      <c r="B2210" s="29" t="s">
        <v>2867</v>
      </c>
      <c r="C2210" s="29" t="s">
        <v>2868</v>
      </c>
      <c r="D2210" s="31">
        <f>SUMIFS(D2211:D3130,K2211:K3130,"0",B2211:B3130,"5 1 2 1 2*")-SUMIFS(E2211:E3130,K2211:K3130,"0",B2211:B3130,"5 1 2 1 2*")</f>
        <v>0</v>
      </c>
      <c r="E2210"/>
      <c r="F2210" s="31">
        <f>SUMIFS(F2211:F3130,K2211:K3130,"0",B2211:B3130,"5 1 2 1 2*")</f>
        <v>808671.22</v>
      </c>
      <c r="G2210" s="31">
        <f>SUMIFS(G2211:G3130,K2211:K3130,"0",B2211:B3130,"5 1 2 1 2*")</f>
        <v>7500</v>
      </c>
      <c r="H2210" s="31">
        <f t="shared" si="35"/>
        <v>801171.22</v>
      </c>
      <c r="I2210" s="31"/>
      <c r="K2210" t="s">
        <v>13</v>
      </c>
    </row>
    <row r="2211" spans="2:11" ht="13" x14ac:dyDescent="0.15">
      <c r="B2211" s="29" t="s">
        <v>2869</v>
      </c>
      <c r="C2211" s="29" t="s">
        <v>24</v>
      </c>
      <c r="D2211" s="31">
        <f>SUMIFS(D2212:D3130,K2212:K3130,"0",B2212:B3130,"5 1 2 1 2 12*")-SUMIFS(E2212:E3130,K2212:K3130,"0",B2212:B3130,"5 1 2 1 2 12*")</f>
        <v>0</v>
      </c>
      <c r="E2211"/>
      <c r="F2211" s="31">
        <f>SUMIFS(F2212:F3130,K2212:K3130,"0",B2212:B3130,"5 1 2 1 2 12*")</f>
        <v>808671.22</v>
      </c>
      <c r="G2211" s="31">
        <f>SUMIFS(G2212:G3130,K2212:K3130,"0",B2212:B3130,"5 1 2 1 2 12*")</f>
        <v>7500</v>
      </c>
      <c r="H2211" s="31">
        <f t="shared" si="35"/>
        <v>801171.22</v>
      </c>
      <c r="I2211" s="31"/>
      <c r="K2211" t="s">
        <v>13</v>
      </c>
    </row>
    <row r="2212" spans="2:11" ht="13" x14ac:dyDescent="0.15">
      <c r="B2212" s="29" t="s">
        <v>2870</v>
      </c>
      <c r="C2212" s="29" t="s">
        <v>26</v>
      </c>
      <c r="D2212" s="31">
        <f>SUMIFS(D2213:D3130,K2213:K3130,"0",B2213:B3130,"5 1 2 1 2 12 31111*")-SUMIFS(E2213:E3130,K2213:K3130,"0",B2213:B3130,"5 1 2 1 2 12 31111*")</f>
        <v>0</v>
      </c>
      <c r="E2212"/>
      <c r="F2212" s="31">
        <f>SUMIFS(F2213:F3130,K2213:K3130,"0",B2213:B3130,"5 1 2 1 2 12 31111*")</f>
        <v>808671.22</v>
      </c>
      <c r="G2212" s="31">
        <f>SUMIFS(G2213:G3130,K2213:K3130,"0",B2213:B3130,"5 1 2 1 2 12 31111*")</f>
        <v>7500</v>
      </c>
      <c r="H2212" s="31">
        <f t="shared" si="35"/>
        <v>801171.22</v>
      </c>
      <c r="I2212" s="31"/>
      <c r="K2212" t="s">
        <v>13</v>
      </c>
    </row>
    <row r="2213" spans="2:11" ht="13" x14ac:dyDescent="0.15">
      <c r="B2213" s="29" t="s">
        <v>2871</v>
      </c>
      <c r="C2213" s="29" t="s">
        <v>28</v>
      </c>
      <c r="D2213" s="31">
        <f>SUMIFS(D2214:D3130,K2214:K3130,"0",B2214:B3130,"5 1 2 1 2 12 31111 6*")-SUMIFS(E2214:E3130,K2214:K3130,"0",B2214:B3130,"5 1 2 1 2 12 31111 6*")</f>
        <v>0</v>
      </c>
      <c r="E2213"/>
      <c r="F2213" s="31">
        <f>SUMIFS(F2214:F3130,K2214:K3130,"0",B2214:B3130,"5 1 2 1 2 12 31111 6*")</f>
        <v>808671.22</v>
      </c>
      <c r="G2213" s="31">
        <f>SUMIFS(G2214:G3130,K2214:K3130,"0",B2214:B3130,"5 1 2 1 2 12 31111 6*")</f>
        <v>7500</v>
      </c>
      <c r="H2213" s="31">
        <f t="shared" si="35"/>
        <v>801171.22</v>
      </c>
      <c r="I2213" s="31"/>
      <c r="K2213" t="s">
        <v>13</v>
      </c>
    </row>
    <row r="2214" spans="2:11" ht="13" x14ac:dyDescent="0.15">
      <c r="B2214" s="29" t="s">
        <v>2872</v>
      </c>
      <c r="C2214" s="29" t="s">
        <v>1567</v>
      </c>
      <c r="D2214" s="31">
        <f>SUMIFS(D2215:D3130,K2215:K3130,"0",B2215:B3130,"5 1 2 1 2 12 31111 6 M78*")-SUMIFS(E2215:E3130,K2215:K3130,"0",B2215:B3130,"5 1 2 1 2 12 31111 6 M78*")</f>
        <v>0</v>
      </c>
      <c r="E2214"/>
      <c r="F2214" s="31">
        <f>SUMIFS(F2215:F3130,K2215:K3130,"0",B2215:B3130,"5 1 2 1 2 12 31111 6 M78*")</f>
        <v>808671.22</v>
      </c>
      <c r="G2214" s="31">
        <f>SUMIFS(G2215:G3130,K2215:K3130,"0",B2215:B3130,"5 1 2 1 2 12 31111 6 M78*")</f>
        <v>7500</v>
      </c>
      <c r="H2214" s="31">
        <f t="shared" si="35"/>
        <v>801171.22</v>
      </c>
      <c r="I2214" s="31"/>
      <c r="K2214" t="s">
        <v>13</v>
      </c>
    </row>
    <row r="2215" spans="2:11" ht="13" x14ac:dyDescent="0.15">
      <c r="B2215" s="29" t="s">
        <v>2873</v>
      </c>
      <c r="C2215" s="29" t="s">
        <v>8</v>
      </c>
      <c r="D2215" s="31">
        <f>SUMIFS(D2216:D3130,K2216:K3130,"0",B2216:B3130,"5 1 2 1 2 12 31111 6 M78 07000*")-SUMIFS(E2216:E3130,K2216:K3130,"0",B2216:B3130,"5 1 2 1 2 12 31111 6 M78 07000*")</f>
        <v>0</v>
      </c>
      <c r="E2215"/>
      <c r="F2215" s="31">
        <f>SUMIFS(F2216:F3130,K2216:K3130,"0",B2216:B3130,"5 1 2 1 2 12 31111 6 M78 07000*")</f>
        <v>458780.02</v>
      </c>
      <c r="G2215" s="31">
        <f>SUMIFS(G2216:G3130,K2216:K3130,"0",B2216:B3130,"5 1 2 1 2 12 31111 6 M78 07000*")</f>
        <v>7500</v>
      </c>
      <c r="H2215" s="31">
        <f t="shared" si="35"/>
        <v>451280.02</v>
      </c>
      <c r="I2215" s="31"/>
      <c r="K2215" t="s">
        <v>13</v>
      </c>
    </row>
    <row r="2216" spans="2:11" ht="13" x14ac:dyDescent="0.15">
      <c r="B2216" s="29" t="s">
        <v>2874</v>
      </c>
      <c r="C2216" s="29" t="s">
        <v>588</v>
      </c>
      <c r="D2216" s="31">
        <f>SUMIFS(D2217:D3130,K2217:K3130,"0",B2217:B3130,"5 1 2 1 2 12 31111 6 M78 07000 151*")-SUMIFS(E2217:E3130,K2217:K3130,"0",B2217:B3130,"5 1 2 1 2 12 31111 6 M78 07000 151*")</f>
        <v>0</v>
      </c>
      <c r="E2216"/>
      <c r="F2216" s="31">
        <f>SUMIFS(F2217:F3130,K2217:K3130,"0",B2217:B3130,"5 1 2 1 2 12 31111 6 M78 07000 151*")</f>
        <v>458780.02</v>
      </c>
      <c r="G2216" s="31">
        <f>SUMIFS(G2217:G3130,K2217:K3130,"0",B2217:B3130,"5 1 2 1 2 12 31111 6 M78 07000 151*")</f>
        <v>7500</v>
      </c>
      <c r="H2216" s="31">
        <f t="shared" si="35"/>
        <v>451280.02</v>
      </c>
      <c r="I2216" s="31"/>
      <c r="K2216" t="s">
        <v>13</v>
      </c>
    </row>
    <row r="2217" spans="2:11" ht="13" x14ac:dyDescent="0.15">
      <c r="B2217" s="29" t="s">
        <v>2875</v>
      </c>
      <c r="C2217" s="29" t="s">
        <v>265</v>
      </c>
      <c r="D2217" s="31">
        <f>SUMIFS(D2218:D3130,K2218:K3130,"0",B2218:B3130,"5 1 2 1 2 12 31111 6 M78 07000 151 00C*")-SUMIFS(E2218:E3130,K2218:K3130,"0",B2218:B3130,"5 1 2 1 2 12 31111 6 M78 07000 151 00C*")</f>
        <v>0</v>
      </c>
      <c r="E2217"/>
      <c r="F2217" s="31">
        <f>SUMIFS(F2218:F3130,K2218:K3130,"0",B2218:B3130,"5 1 2 1 2 12 31111 6 M78 07000 151 00C*")</f>
        <v>458780.02</v>
      </c>
      <c r="G2217" s="31">
        <f>SUMIFS(G2218:G3130,K2218:K3130,"0",B2218:B3130,"5 1 2 1 2 12 31111 6 M78 07000 151 00C*")</f>
        <v>7500</v>
      </c>
      <c r="H2217" s="31">
        <f t="shared" si="35"/>
        <v>451280.02</v>
      </c>
      <c r="I2217" s="31"/>
      <c r="K2217" t="s">
        <v>13</v>
      </c>
    </row>
    <row r="2218" spans="2:11" ht="13" x14ac:dyDescent="0.15">
      <c r="B2218" s="29" t="s">
        <v>2876</v>
      </c>
      <c r="C2218" s="29" t="s">
        <v>32</v>
      </c>
      <c r="D2218" s="31">
        <f>SUMIFS(D2219:D3130,K2219:K3130,"0",B2219:B3130,"5 1 2 1 2 12 31111 6 M78 07000 151 00C 001*")-SUMIFS(E2219:E3130,K2219:K3130,"0",B2219:B3130,"5 1 2 1 2 12 31111 6 M78 07000 151 00C 001*")</f>
        <v>0</v>
      </c>
      <c r="E2218"/>
      <c r="F2218" s="31">
        <f>SUMIFS(F2219:F3130,K2219:K3130,"0",B2219:B3130,"5 1 2 1 2 12 31111 6 M78 07000 151 00C 001*")</f>
        <v>458780.02</v>
      </c>
      <c r="G2218" s="31">
        <f>SUMIFS(G2219:G3130,K2219:K3130,"0",B2219:B3130,"5 1 2 1 2 12 31111 6 M78 07000 151 00C 001*")</f>
        <v>7500</v>
      </c>
      <c r="H2218" s="31">
        <f t="shared" si="35"/>
        <v>451280.02</v>
      </c>
      <c r="I2218" s="31"/>
      <c r="K2218" t="s">
        <v>13</v>
      </c>
    </row>
    <row r="2219" spans="2:11" ht="13" x14ac:dyDescent="0.15">
      <c r="B2219" s="29" t="s">
        <v>2877</v>
      </c>
      <c r="C2219" s="29" t="s">
        <v>2878</v>
      </c>
      <c r="D2219" s="31">
        <f>SUMIFS(D2220:D3130,K2220:K3130,"0",B2220:B3130,"5 1 2 1 2 12 31111 6 M78 07000 151 00C 001 21201*")-SUMIFS(E2220:E3130,K2220:K3130,"0",B2220:B3130,"5 1 2 1 2 12 31111 6 M78 07000 151 00C 001 21201*")</f>
        <v>0</v>
      </c>
      <c r="E2219"/>
      <c r="F2219" s="31">
        <f>SUMIFS(F2220:F3130,K2220:K3130,"0",B2220:B3130,"5 1 2 1 2 12 31111 6 M78 07000 151 00C 001 21201*")</f>
        <v>458780.02</v>
      </c>
      <c r="G2219" s="31">
        <f>SUMIFS(G2220:G3130,K2220:K3130,"0",B2220:B3130,"5 1 2 1 2 12 31111 6 M78 07000 151 00C 001 21201*")</f>
        <v>7500</v>
      </c>
      <c r="H2219" s="31">
        <f t="shared" si="35"/>
        <v>451280.02</v>
      </c>
      <c r="I2219" s="31"/>
      <c r="K2219" t="s">
        <v>13</v>
      </c>
    </row>
    <row r="2220" spans="2:11" ht="22" x14ac:dyDescent="0.15">
      <c r="B2220" s="29" t="s">
        <v>2879</v>
      </c>
      <c r="C2220" s="29" t="s">
        <v>271</v>
      </c>
      <c r="D2220" s="31">
        <f>SUMIFS(D2221:D3130,K2221:K3130,"0",B2221:B3130,"5 1 2 1 2 12 31111 6 M78 07000 151 00C 001 21201 015*")-SUMIFS(E2221:E3130,K2221:K3130,"0",B2221:B3130,"5 1 2 1 2 12 31111 6 M78 07000 151 00C 001 21201 015*")</f>
        <v>0</v>
      </c>
      <c r="E2220"/>
      <c r="F2220" s="31">
        <f>SUMIFS(F2221:F3130,K2221:K3130,"0",B2221:B3130,"5 1 2 1 2 12 31111 6 M78 07000 151 00C 001 21201 015*")</f>
        <v>458780.02</v>
      </c>
      <c r="G2220" s="31">
        <f>SUMIFS(G2221:G3130,K2221:K3130,"0",B2221:B3130,"5 1 2 1 2 12 31111 6 M78 07000 151 00C 001 21201 015*")</f>
        <v>7500</v>
      </c>
      <c r="H2220" s="31">
        <f t="shared" si="35"/>
        <v>451280.02</v>
      </c>
      <c r="I2220" s="31"/>
      <c r="K2220" t="s">
        <v>13</v>
      </c>
    </row>
    <row r="2221" spans="2:11" ht="22" x14ac:dyDescent="0.15">
      <c r="B2221" s="29" t="s">
        <v>2880</v>
      </c>
      <c r="C2221" s="29" t="s">
        <v>595</v>
      </c>
      <c r="D2221" s="31">
        <f>SUMIFS(D2222:D3130,K2222:K3130,"0",B2222:B3130,"5 1 2 1 2 12 31111 6 M78 07000 151 00C 001 21201 015 2112000*")-SUMIFS(E2222:E3130,K2222:K3130,"0",B2222:B3130,"5 1 2 1 2 12 31111 6 M78 07000 151 00C 001 21201 015 2112000*")</f>
        <v>0</v>
      </c>
      <c r="E2221"/>
      <c r="F2221" s="31">
        <f>SUMIFS(F2222:F3130,K2222:K3130,"0",B2222:B3130,"5 1 2 1 2 12 31111 6 M78 07000 151 00C 001 21201 015 2112000*")</f>
        <v>458780.02</v>
      </c>
      <c r="G2221" s="31">
        <f>SUMIFS(G2222:G3130,K2222:K3130,"0",B2222:B3130,"5 1 2 1 2 12 31111 6 M78 07000 151 00C 001 21201 015 2112000*")</f>
        <v>7500</v>
      </c>
      <c r="H2221" s="31">
        <f t="shared" si="35"/>
        <v>451280.02</v>
      </c>
      <c r="I2221" s="31"/>
      <c r="K2221" t="s">
        <v>13</v>
      </c>
    </row>
    <row r="2222" spans="2:11" ht="22" x14ac:dyDescent="0.15">
      <c r="B2222" s="29" t="s">
        <v>2881</v>
      </c>
      <c r="C2222" s="29" t="s">
        <v>275</v>
      </c>
      <c r="D2222" s="31">
        <f>SUMIFS(D2223:D3130,K2223:K3130,"0",B2223:B3130,"5 1 2 1 2 12 31111 6 M78 07000 151 00C 001 21201 015 2112000 2024*")-SUMIFS(E2223:E3130,K2223:K3130,"0",B2223:B3130,"5 1 2 1 2 12 31111 6 M78 07000 151 00C 001 21201 015 2112000 2024*")</f>
        <v>0</v>
      </c>
      <c r="E2222"/>
      <c r="F2222" s="31">
        <f>SUMIFS(F2223:F3130,K2223:K3130,"0",B2223:B3130,"5 1 2 1 2 12 31111 6 M78 07000 151 00C 001 21201 015 2112000 2024*")</f>
        <v>458780.02</v>
      </c>
      <c r="G2222" s="31">
        <f>SUMIFS(G2223:G3130,K2223:K3130,"0",B2223:B3130,"5 1 2 1 2 12 31111 6 M78 07000 151 00C 001 21201 015 2112000 2024*")</f>
        <v>7500</v>
      </c>
      <c r="H2222" s="31">
        <f t="shared" si="35"/>
        <v>451280.02</v>
      </c>
      <c r="I2222" s="31"/>
      <c r="K2222" t="s">
        <v>13</v>
      </c>
    </row>
    <row r="2223" spans="2:11" ht="22" x14ac:dyDescent="0.15">
      <c r="B2223" s="29" t="s">
        <v>2882</v>
      </c>
      <c r="C2223" s="29" t="s">
        <v>277</v>
      </c>
      <c r="D2223" s="31">
        <f>SUMIFS(D2224:D3130,K2224:K3130,"0",B2224:B3130,"5 1 2 1 2 12 31111 6 M78 07000 151 00C 001 21201 015 2112000 2024 00000000*")-SUMIFS(E2224:E3130,K2224:K3130,"0",B2224:B3130,"5 1 2 1 2 12 31111 6 M78 07000 151 00C 001 21201 015 2112000 2024 00000000*")</f>
        <v>0</v>
      </c>
      <c r="E2223"/>
      <c r="F2223" s="31">
        <f>SUMIFS(F2224:F3130,K2224:K3130,"0",B2224:B3130,"5 1 2 1 2 12 31111 6 M78 07000 151 00C 001 21201 015 2112000 2024 00000000*")</f>
        <v>458780.02</v>
      </c>
      <c r="G2223" s="31">
        <f>SUMIFS(G2224:G3130,K2224:K3130,"0",B2224:B3130,"5 1 2 1 2 12 31111 6 M78 07000 151 00C 001 21201 015 2112000 2024 00000000*")</f>
        <v>7500</v>
      </c>
      <c r="H2223" s="31">
        <f t="shared" si="35"/>
        <v>451280.02</v>
      </c>
      <c r="I2223" s="31"/>
      <c r="K2223" t="s">
        <v>13</v>
      </c>
    </row>
    <row r="2224" spans="2:11" ht="22" x14ac:dyDescent="0.15">
      <c r="B2224" s="29" t="s">
        <v>2883</v>
      </c>
      <c r="C2224" s="29" t="s">
        <v>32</v>
      </c>
      <c r="D2224" s="31">
        <f>SUMIFS(D2225:D3130,K2225:K3130,"0",B2225:B3130,"5 1 2 1 2 12 31111 6 M78 07000 151 00C 001 21201 015 2112000 2024 00000000 001*")-SUMIFS(E2225:E3130,K2225:K3130,"0",B2225:B3130,"5 1 2 1 2 12 31111 6 M78 07000 151 00C 001 21201 015 2112000 2024 00000000 001*")</f>
        <v>0</v>
      </c>
      <c r="E2224"/>
      <c r="F2224" s="31">
        <f>SUMIFS(F2225:F3130,K2225:K3130,"0",B2225:B3130,"5 1 2 1 2 12 31111 6 M78 07000 151 00C 001 21201 015 2112000 2024 00000000 001*")</f>
        <v>458780.02</v>
      </c>
      <c r="G2224" s="31">
        <f>SUMIFS(G2225:G3130,K2225:K3130,"0",B2225:B3130,"5 1 2 1 2 12 31111 6 M78 07000 151 00C 001 21201 015 2112000 2024 00000000 001*")</f>
        <v>7500</v>
      </c>
      <c r="H2224" s="31">
        <f t="shared" si="35"/>
        <v>451280.02</v>
      </c>
      <c r="I2224" s="31"/>
      <c r="K2224" t="s">
        <v>13</v>
      </c>
    </row>
    <row r="2225" spans="2:11" ht="22" x14ac:dyDescent="0.15">
      <c r="B2225" s="27" t="s">
        <v>2884</v>
      </c>
      <c r="C2225" s="27" t="s">
        <v>2868</v>
      </c>
      <c r="D2225" s="30">
        <v>0</v>
      </c>
      <c r="E2225" s="30"/>
      <c r="F2225" s="30">
        <v>458780.02</v>
      </c>
      <c r="G2225" s="30">
        <v>7500</v>
      </c>
      <c r="H2225" s="30">
        <f t="shared" si="35"/>
        <v>451280.02</v>
      </c>
      <c r="I2225" s="30"/>
      <c r="K2225" t="s">
        <v>37</v>
      </c>
    </row>
    <row r="2226" spans="2:11" ht="13" x14ac:dyDescent="0.15">
      <c r="B2226" s="29" t="s">
        <v>2885</v>
      </c>
      <c r="C2226" s="29" t="s">
        <v>833</v>
      </c>
      <c r="D2226" s="31">
        <f>SUMIFS(D2227:D3130,K2227:K3130,"0",B2227:B3130,"5 1 2 1 2 12 31111 6 M78 15000*")-SUMIFS(E2227:E3130,K2227:K3130,"0",B2227:B3130,"5 1 2 1 2 12 31111 6 M78 15000*")</f>
        <v>0</v>
      </c>
      <c r="E2226"/>
      <c r="F2226" s="31">
        <f>SUMIFS(F2227:F3130,K2227:K3130,"0",B2227:B3130,"5 1 2 1 2 12 31111 6 M78 15000*")</f>
        <v>349891.2</v>
      </c>
      <c r="G2226" s="31">
        <f>SUMIFS(G2227:G3130,K2227:K3130,"0",B2227:B3130,"5 1 2 1 2 12 31111 6 M78 15000*")</f>
        <v>0</v>
      </c>
      <c r="H2226" s="31">
        <f t="shared" si="35"/>
        <v>349891.2</v>
      </c>
      <c r="I2226" s="31"/>
      <c r="K2226" t="s">
        <v>13</v>
      </c>
    </row>
    <row r="2227" spans="2:11" ht="13" x14ac:dyDescent="0.15">
      <c r="B2227" s="29" t="s">
        <v>2886</v>
      </c>
      <c r="C2227" s="29" t="s">
        <v>835</v>
      </c>
      <c r="D2227" s="31">
        <f>SUMIFS(D2228:D3130,K2228:K3130,"0",B2228:B3130,"5 1 2 1 2 12 31111 6 M78 15000 171*")-SUMIFS(E2228:E3130,K2228:K3130,"0",B2228:B3130,"5 1 2 1 2 12 31111 6 M78 15000 171*")</f>
        <v>0</v>
      </c>
      <c r="E2227"/>
      <c r="F2227" s="31">
        <f>SUMIFS(F2228:F3130,K2228:K3130,"0",B2228:B3130,"5 1 2 1 2 12 31111 6 M78 15000 171*")</f>
        <v>349891.2</v>
      </c>
      <c r="G2227" s="31">
        <f>SUMIFS(G2228:G3130,K2228:K3130,"0",B2228:B3130,"5 1 2 1 2 12 31111 6 M78 15000 171*")</f>
        <v>0</v>
      </c>
      <c r="H2227" s="31">
        <f t="shared" si="35"/>
        <v>349891.2</v>
      </c>
      <c r="I2227" s="31"/>
      <c r="K2227" t="s">
        <v>13</v>
      </c>
    </row>
    <row r="2228" spans="2:11" ht="13" x14ac:dyDescent="0.15">
      <c r="B2228" s="29" t="s">
        <v>2887</v>
      </c>
      <c r="C2228" s="29" t="s">
        <v>285</v>
      </c>
      <c r="D2228" s="31">
        <f>SUMIFS(D2229:D3130,K2229:K3130,"0",B2229:B3130,"5 1 2 1 2 12 31111 6 M78 15000 171 00I*")-SUMIFS(E2229:E3130,K2229:K3130,"0",B2229:B3130,"5 1 2 1 2 12 31111 6 M78 15000 171 00I*")</f>
        <v>0</v>
      </c>
      <c r="E2228"/>
      <c r="F2228" s="31">
        <f>SUMIFS(F2229:F3130,K2229:K3130,"0",B2229:B3130,"5 1 2 1 2 12 31111 6 M78 15000 171 00I*")</f>
        <v>349891.2</v>
      </c>
      <c r="G2228" s="31">
        <f>SUMIFS(G2229:G3130,K2229:K3130,"0",B2229:B3130,"5 1 2 1 2 12 31111 6 M78 15000 171 00I*")</f>
        <v>0</v>
      </c>
      <c r="H2228" s="31">
        <f t="shared" si="35"/>
        <v>349891.2</v>
      </c>
      <c r="I2228" s="31"/>
      <c r="K2228" t="s">
        <v>13</v>
      </c>
    </row>
    <row r="2229" spans="2:11" ht="13" x14ac:dyDescent="0.15">
      <c r="B2229" s="29" t="s">
        <v>2888</v>
      </c>
      <c r="C2229" s="29" t="s">
        <v>32</v>
      </c>
      <c r="D2229" s="31">
        <f>SUMIFS(D2230:D3130,K2230:K3130,"0",B2230:B3130,"5 1 2 1 2 12 31111 6 M78 15000 171 00I 001*")-SUMIFS(E2230:E3130,K2230:K3130,"0",B2230:B3130,"5 1 2 1 2 12 31111 6 M78 15000 171 00I 001*")</f>
        <v>0</v>
      </c>
      <c r="E2229"/>
      <c r="F2229" s="31">
        <f>SUMIFS(F2230:F3130,K2230:K3130,"0",B2230:B3130,"5 1 2 1 2 12 31111 6 M78 15000 171 00I 001*")</f>
        <v>349891.2</v>
      </c>
      <c r="G2229" s="31">
        <f>SUMIFS(G2230:G3130,K2230:K3130,"0",B2230:B3130,"5 1 2 1 2 12 31111 6 M78 15000 171 00I 001*")</f>
        <v>0</v>
      </c>
      <c r="H2229" s="31">
        <f t="shared" si="35"/>
        <v>349891.2</v>
      </c>
      <c r="I2229" s="31"/>
      <c r="K2229" t="s">
        <v>13</v>
      </c>
    </row>
    <row r="2230" spans="2:11" ht="13" x14ac:dyDescent="0.15">
      <c r="B2230" s="29" t="s">
        <v>2889</v>
      </c>
      <c r="C2230" s="29" t="s">
        <v>2878</v>
      </c>
      <c r="D2230" s="31">
        <f>SUMIFS(D2231:D3130,K2231:K3130,"0",B2231:B3130,"5 1 2 1 2 12 31111 6 M78 15000 171 00I 001 21201*")-SUMIFS(E2231:E3130,K2231:K3130,"0",B2231:B3130,"5 1 2 1 2 12 31111 6 M78 15000 171 00I 001 21201*")</f>
        <v>0</v>
      </c>
      <c r="E2230"/>
      <c r="F2230" s="31">
        <f>SUMIFS(F2231:F3130,K2231:K3130,"0",B2231:B3130,"5 1 2 1 2 12 31111 6 M78 15000 171 00I 001 21201*")</f>
        <v>349891.2</v>
      </c>
      <c r="G2230" s="31">
        <f>SUMIFS(G2231:G3130,K2231:K3130,"0",B2231:B3130,"5 1 2 1 2 12 31111 6 M78 15000 171 00I 001 21201*")</f>
        <v>0</v>
      </c>
      <c r="H2230" s="31">
        <f t="shared" si="35"/>
        <v>349891.2</v>
      </c>
      <c r="I2230" s="31"/>
      <c r="K2230" t="s">
        <v>13</v>
      </c>
    </row>
    <row r="2231" spans="2:11" ht="22" x14ac:dyDescent="0.15">
      <c r="B2231" s="29" t="s">
        <v>2890</v>
      </c>
      <c r="C2231" s="29" t="s">
        <v>290</v>
      </c>
      <c r="D2231" s="31">
        <f>SUMIFS(D2232:D3130,K2232:K3130,"0",B2232:B3130,"5 1 2 1 2 12 31111 6 M78 15000 171 00I 001 21201 025*")-SUMIFS(E2232:E3130,K2232:K3130,"0",B2232:B3130,"5 1 2 1 2 12 31111 6 M78 15000 171 00I 001 21201 025*")</f>
        <v>0</v>
      </c>
      <c r="E2231"/>
      <c r="F2231" s="31">
        <f>SUMIFS(F2232:F3130,K2232:K3130,"0",B2232:B3130,"5 1 2 1 2 12 31111 6 M78 15000 171 00I 001 21201 025*")</f>
        <v>349891.2</v>
      </c>
      <c r="G2231" s="31">
        <f>SUMIFS(G2232:G3130,K2232:K3130,"0",B2232:B3130,"5 1 2 1 2 12 31111 6 M78 15000 171 00I 001 21201 025*")</f>
        <v>0</v>
      </c>
      <c r="H2231" s="31">
        <f t="shared" si="35"/>
        <v>349891.2</v>
      </c>
      <c r="I2231" s="31"/>
      <c r="K2231" t="s">
        <v>13</v>
      </c>
    </row>
    <row r="2232" spans="2:11" ht="22" x14ac:dyDescent="0.15">
      <c r="B2232" s="29" t="s">
        <v>2891</v>
      </c>
      <c r="C2232" s="29" t="s">
        <v>595</v>
      </c>
      <c r="D2232" s="31">
        <f>SUMIFS(D2233:D3130,K2233:K3130,"0",B2233:B3130,"5 1 2 1 2 12 31111 6 M78 15000 171 00I 001 21201 025 2112000*")-SUMIFS(E2233:E3130,K2233:K3130,"0",B2233:B3130,"5 1 2 1 2 12 31111 6 M78 15000 171 00I 001 21201 025 2112000*")</f>
        <v>0</v>
      </c>
      <c r="E2232"/>
      <c r="F2232" s="31">
        <f>SUMIFS(F2233:F3130,K2233:K3130,"0",B2233:B3130,"5 1 2 1 2 12 31111 6 M78 15000 171 00I 001 21201 025 2112000*")</f>
        <v>349891.2</v>
      </c>
      <c r="G2232" s="31">
        <f>SUMIFS(G2233:G3130,K2233:K3130,"0",B2233:B3130,"5 1 2 1 2 12 31111 6 M78 15000 171 00I 001 21201 025 2112000*")</f>
        <v>0</v>
      </c>
      <c r="H2232" s="31">
        <f t="shared" si="35"/>
        <v>349891.2</v>
      </c>
      <c r="I2232" s="31"/>
      <c r="K2232" t="s">
        <v>13</v>
      </c>
    </row>
    <row r="2233" spans="2:11" ht="22" x14ac:dyDescent="0.15">
      <c r="B2233" s="29" t="s">
        <v>2892</v>
      </c>
      <c r="C2233" s="29" t="s">
        <v>275</v>
      </c>
      <c r="D2233" s="31">
        <f>SUMIFS(D2234:D3130,K2234:K3130,"0",B2234:B3130,"5 1 2 1 2 12 31111 6 M78 15000 171 00I 001 21201 025 2112000 2024*")-SUMIFS(E2234:E3130,K2234:K3130,"0",B2234:B3130,"5 1 2 1 2 12 31111 6 M78 15000 171 00I 001 21201 025 2112000 2024*")</f>
        <v>0</v>
      </c>
      <c r="E2233"/>
      <c r="F2233" s="31">
        <f>SUMIFS(F2234:F3130,K2234:K3130,"0",B2234:B3130,"5 1 2 1 2 12 31111 6 M78 15000 171 00I 001 21201 025 2112000 2024*")</f>
        <v>349891.2</v>
      </c>
      <c r="G2233" s="31">
        <f>SUMIFS(G2234:G3130,K2234:K3130,"0",B2234:B3130,"5 1 2 1 2 12 31111 6 M78 15000 171 00I 001 21201 025 2112000 2024*")</f>
        <v>0</v>
      </c>
      <c r="H2233" s="31">
        <f t="shared" si="35"/>
        <v>349891.2</v>
      </c>
      <c r="I2233" s="31"/>
      <c r="K2233" t="s">
        <v>13</v>
      </c>
    </row>
    <row r="2234" spans="2:11" ht="22" x14ac:dyDescent="0.15">
      <c r="B2234" s="29" t="s">
        <v>2893</v>
      </c>
      <c r="C2234" s="29" t="s">
        <v>277</v>
      </c>
      <c r="D2234" s="31">
        <f>SUMIFS(D2235:D3130,K2235:K3130,"0",B2235:B3130,"5 1 2 1 2 12 31111 6 M78 15000 171 00I 001 21201 025 2112000 2024 00000000*")-SUMIFS(E2235:E3130,K2235:K3130,"0",B2235:B3130,"5 1 2 1 2 12 31111 6 M78 15000 171 00I 001 21201 025 2112000 2024 00000000*")</f>
        <v>0</v>
      </c>
      <c r="E2234"/>
      <c r="F2234" s="31">
        <f>SUMIFS(F2235:F3130,K2235:K3130,"0",B2235:B3130,"5 1 2 1 2 12 31111 6 M78 15000 171 00I 001 21201 025 2112000 2024 00000000*")</f>
        <v>349891.2</v>
      </c>
      <c r="G2234" s="31">
        <f>SUMIFS(G2235:G3130,K2235:K3130,"0",B2235:B3130,"5 1 2 1 2 12 31111 6 M78 15000 171 00I 001 21201 025 2112000 2024 00000000*")</f>
        <v>0</v>
      </c>
      <c r="H2234" s="31">
        <f t="shared" si="35"/>
        <v>349891.2</v>
      </c>
      <c r="I2234" s="31"/>
      <c r="K2234" t="s">
        <v>13</v>
      </c>
    </row>
    <row r="2235" spans="2:11" ht="22" x14ac:dyDescent="0.15">
      <c r="B2235" s="29" t="s">
        <v>2894</v>
      </c>
      <c r="C2235" s="29" t="s">
        <v>581</v>
      </c>
      <c r="D2235" s="31">
        <f>SUMIFS(D2236:D3130,K2236:K3130,"0",B2236:B3130,"5 1 2 1 2 12 31111 6 M78 15000 171 00I 001 21201 025 2112000 2024 00000000 003*")-SUMIFS(E2236:E3130,K2236:K3130,"0",B2236:B3130,"5 1 2 1 2 12 31111 6 M78 15000 171 00I 001 21201 025 2112000 2024 00000000 003*")</f>
        <v>0</v>
      </c>
      <c r="E2235"/>
      <c r="F2235" s="31">
        <f>SUMIFS(F2236:F3130,K2236:K3130,"0",B2236:B3130,"5 1 2 1 2 12 31111 6 M78 15000 171 00I 001 21201 025 2112000 2024 00000000 003*")</f>
        <v>349891.2</v>
      </c>
      <c r="G2235" s="31">
        <f>SUMIFS(G2236:G3130,K2236:K3130,"0",B2236:B3130,"5 1 2 1 2 12 31111 6 M78 15000 171 00I 001 21201 025 2112000 2024 00000000 003*")</f>
        <v>0</v>
      </c>
      <c r="H2235" s="31">
        <f t="shared" si="35"/>
        <v>349891.2</v>
      </c>
      <c r="I2235" s="31"/>
      <c r="K2235" t="s">
        <v>13</v>
      </c>
    </row>
    <row r="2236" spans="2:11" ht="22" x14ac:dyDescent="0.15">
      <c r="B2236" s="27" t="s">
        <v>2895</v>
      </c>
      <c r="C2236" s="27" t="s">
        <v>2896</v>
      </c>
      <c r="D2236" s="30">
        <v>0</v>
      </c>
      <c r="E2236" s="30"/>
      <c r="F2236" s="30">
        <v>349891.2</v>
      </c>
      <c r="G2236" s="30">
        <v>0</v>
      </c>
      <c r="H2236" s="30">
        <f t="shared" si="35"/>
        <v>349891.2</v>
      </c>
      <c r="I2236" s="30"/>
      <c r="K2236" t="s">
        <v>37</v>
      </c>
    </row>
    <row r="2237" spans="2:11" ht="22" x14ac:dyDescent="0.15">
      <c r="B2237" s="29" t="s">
        <v>2897</v>
      </c>
      <c r="C2237" s="29" t="s">
        <v>2898</v>
      </c>
      <c r="D2237" s="31">
        <f>SUMIFS(D2238:D3130,K2238:K3130,"0",B2238:B3130,"5 1 2 1 4*")-SUMIFS(E2238:E3130,K2238:K3130,"0",B2238:B3130,"5 1 2 1 4*")</f>
        <v>0</v>
      </c>
      <c r="E2237"/>
      <c r="F2237" s="31">
        <f>SUMIFS(F2238:F3130,K2238:K3130,"0",B2238:B3130,"5 1 2 1 4*")</f>
        <v>139487.51999999999</v>
      </c>
      <c r="G2237" s="31">
        <f>SUMIFS(G2238:G3130,K2238:K3130,"0",B2238:B3130,"5 1 2 1 4*")</f>
        <v>0</v>
      </c>
      <c r="H2237" s="31">
        <f t="shared" si="35"/>
        <v>139487.51999999999</v>
      </c>
      <c r="I2237" s="31"/>
      <c r="K2237" t="s">
        <v>13</v>
      </c>
    </row>
    <row r="2238" spans="2:11" ht="13" x14ac:dyDescent="0.15">
      <c r="B2238" s="29" t="s">
        <v>2899</v>
      </c>
      <c r="C2238" s="29" t="s">
        <v>24</v>
      </c>
      <c r="D2238" s="31">
        <f>SUMIFS(D2239:D3130,K2239:K3130,"0",B2239:B3130,"5 1 2 1 4 12*")-SUMIFS(E2239:E3130,K2239:K3130,"0",B2239:B3130,"5 1 2 1 4 12*")</f>
        <v>0</v>
      </c>
      <c r="E2238"/>
      <c r="F2238" s="31">
        <f>SUMIFS(F2239:F3130,K2239:K3130,"0",B2239:B3130,"5 1 2 1 4 12*")</f>
        <v>139487.51999999999</v>
      </c>
      <c r="G2238" s="31">
        <f>SUMIFS(G2239:G3130,K2239:K3130,"0",B2239:B3130,"5 1 2 1 4 12*")</f>
        <v>0</v>
      </c>
      <c r="H2238" s="31">
        <f t="shared" si="35"/>
        <v>139487.51999999999</v>
      </c>
      <c r="I2238" s="31"/>
      <c r="K2238" t="s">
        <v>13</v>
      </c>
    </row>
    <row r="2239" spans="2:11" ht="13" x14ac:dyDescent="0.15">
      <c r="B2239" s="29" t="s">
        <v>2900</v>
      </c>
      <c r="C2239" s="29" t="s">
        <v>26</v>
      </c>
      <c r="D2239" s="31">
        <f>SUMIFS(D2240:D3130,K2240:K3130,"0",B2240:B3130,"5 1 2 1 4 12 31111*")-SUMIFS(E2240:E3130,K2240:K3130,"0",B2240:B3130,"5 1 2 1 4 12 31111*")</f>
        <v>0</v>
      </c>
      <c r="E2239"/>
      <c r="F2239" s="31">
        <f>SUMIFS(F2240:F3130,K2240:K3130,"0",B2240:B3130,"5 1 2 1 4 12 31111*")</f>
        <v>139487.51999999999</v>
      </c>
      <c r="G2239" s="31">
        <f>SUMIFS(G2240:G3130,K2240:K3130,"0",B2240:B3130,"5 1 2 1 4 12 31111*")</f>
        <v>0</v>
      </c>
      <c r="H2239" s="31">
        <f t="shared" si="35"/>
        <v>139487.51999999999</v>
      </c>
      <c r="I2239" s="31"/>
      <c r="K2239" t="s">
        <v>13</v>
      </c>
    </row>
    <row r="2240" spans="2:11" ht="13" x14ac:dyDescent="0.15">
      <c r="B2240" s="29" t="s">
        <v>2901</v>
      </c>
      <c r="C2240" s="29" t="s">
        <v>28</v>
      </c>
      <c r="D2240" s="31">
        <f>SUMIFS(D2241:D3130,K2241:K3130,"0",B2241:B3130,"5 1 2 1 4 12 31111 6*")-SUMIFS(E2241:E3130,K2241:K3130,"0",B2241:B3130,"5 1 2 1 4 12 31111 6*")</f>
        <v>0</v>
      </c>
      <c r="E2240"/>
      <c r="F2240" s="31">
        <f>SUMIFS(F2241:F3130,K2241:K3130,"0",B2241:B3130,"5 1 2 1 4 12 31111 6*")</f>
        <v>139487.51999999999</v>
      </c>
      <c r="G2240" s="31">
        <f>SUMIFS(G2241:G3130,K2241:K3130,"0",B2241:B3130,"5 1 2 1 4 12 31111 6*")</f>
        <v>0</v>
      </c>
      <c r="H2240" s="31">
        <f t="shared" si="35"/>
        <v>139487.51999999999</v>
      </c>
      <c r="I2240" s="31"/>
      <c r="K2240" t="s">
        <v>13</v>
      </c>
    </row>
    <row r="2241" spans="2:11" ht="13" x14ac:dyDescent="0.15">
      <c r="B2241" s="29" t="s">
        <v>2902</v>
      </c>
      <c r="C2241" s="29" t="s">
        <v>1567</v>
      </c>
      <c r="D2241" s="31">
        <f>SUMIFS(D2242:D3130,K2242:K3130,"0",B2242:B3130,"5 1 2 1 4 12 31111 6 M78*")-SUMIFS(E2242:E3130,K2242:K3130,"0",B2242:B3130,"5 1 2 1 4 12 31111 6 M78*")</f>
        <v>0</v>
      </c>
      <c r="E2241"/>
      <c r="F2241" s="31">
        <f>SUMIFS(F2242:F3130,K2242:K3130,"0",B2242:B3130,"5 1 2 1 4 12 31111 6 M78*")</f>
        <v>139487.51999999999</v>
      </c>
      <c r="G2241" s="31">
        <f>SUMIFS(G2242:G3130,K2242:K3130,"0",B2242:B3130,"5 1 2 1 4 12 31111 6 M78*")</f>
        <v>0</v>
      </c>
      <c r="H2241" s="31">
        <f t="shared" si="35"/>
        <v>139487.51999999999</v>
      </c>
      <c r="I2241" s="31"/>
      <c r="K2241" t="s">
        <v>13</v>
      </c>
    </row>
    <row r="2242" spans="2:11" ht="13" x14ac:dyDescent="0.15">
      <c r="B2242" s="29" t="s">
        <v>2903</v>
      </c>
      <c r="C2242" s="29" t="s">
        <v>8</v>
      </c>
      <c r="D2242" s="31">
        <f>SUMIFS(D2243:D3130,K2243:K3130,"0",B2243:B3130,"5 1 2 1 4 12 31111 6 M78 07000*")-SUMIFS(E2243:E3130,K2243:K3130,"0",B2243:B3130,"5 1 2 1 4 12 31111 6 M78 07000*")</f>
        <v>0</v>
      </c>
      <c r="E2242"/>
      <c r="F2242" s="31">
        <f>SUMIFS(F2243:F3130,K2243:K3130,"0",B2243:B3130,"5 1 2 1 4 12 31111 6 M78 07000*")</f>
        <v>79353.119999999995</v>
      </c>
      <c r="G2242" s="31">
        <f>SUMIFS(G2243:G3130,K2243:K3130,"0",B2243:B3130,"5 1 2 1 4 12 31111 6 M78 07000*")</f>
        <v>0</v>
      </c>
      <c r="H2242" s="31">
        <f t="shared" si="35"/>
        <v>79353.119999999995</v>
      </c>
      <c r="I2242" s="31"/>
      <c r="K2242" t="s">
        <v>13</v>
      </c>
    </row>
    <row r="2243" spans="2:11" ht="13" x14ac:dyDescent="0.15">
      <c r="B2243" s="29" t="s">
        <v>2904</v>
      </c>
      <c r="C2243" s="29" t="s">
        <v>588</v>
      </c>
      <c r="D2243" s="31">
        <f>SUMIFS(D2244:D3130,K2244:K3130,"0",B2244:B3130,"5 1 2 1 4 12 31111 6 M78 07000 151*")-SUMIFS(E2244:E3130,K2244:K3130,"0",B2244:B3130,"5 1 2 1 4 12 31111 6 M78 07000 151*")</f>
        <v>0</v>
      </c>
      <c r="E2243"/>
      <c r="F2243" s="31">
        <f>SUMIFS(F2244:F3130,K2244:K3130,"0",B2244:B3130,"5 1 2 1 4 12 31111 6 M78 07000 151*")</f>
        <v>79353.119999999995</v>
      </c>
      <c r="G2243" s="31">
        <f>SUMIFS(G2244:G3130,K2244:K3130,"0",B2244:B3130,"5 1 2 1 4 12 31111 6 M78 07000 151*")</f>
        <v>0</v>
      </c>
      <c r="H2243" s="31">
        <f t="shared" si="35"/>
        <v>79353.119999999995</v>
      </c>
      <c r="I2243" s="31"/>
      <c r="K2243" t="s">
        <v>13</v>
      </c>
    </row>
    <row r="2244" spans="2:11" ht="13" x14ac:dyDescent="0.15">
      <c r="B2244" s="29" t="s">
        <v>2905</v>
      </c>
      <c r="C2244" s="29" t="s">
        <v>265</v>
      </c>
      <c r="D2244" s="31">
        <f>SUMIFS(D2245:D3130,K2245:K3130,"0",B2245:B3130,"5 1 2 1 4 12 31111 6 M78 07000 151 00C*")-SUMIFS(E2245:E3130,K2245:K3130,"0",B2245:B3130,"5 1 2 1 4 12 31111 6 M78 07000 151 00C*")</f>
        <v>0</v>
      </c>
      <c r="E2244"/>
      <c r="F2244" s="31">
        <f>SUMIFS(F2245:F3130,K2245:K3130,"0",B2245:B3130,"5 1 2 1 4 12 31111 6 M78 07000 151 00C*")</f>
        <v>79353.119999999995</v>
      </c>
      <c r="G2244" s="31">
        <f>SUMIFS(G2245:G3130,K2245:K3130,"0",B2245:B3130,"5 1 2 1 4 12 31111 6 M78 07000 151 00C*")</f>
        <v>0</v>
      </c>
      <c r="H2244" s="31">
        <f t="shared" si="35"/>
        <v>79353.119999999995</v>
      </c>
      <c r="I2244" s="31"/>
      <c r="K2244" t="s">
        <v>13</v>
      </c>
    </row>
    <row r="2245" spans="2:11" ht="13" x14ac:dyDescent="0.15">
      <c r="B2245" s="29" t="s">
        <v>2906</v>
      </c>
      <c r="C2245" s="29" t="s">
        <v>32</v>
      </c>
      <c r="D2245" s="31">
        <f>SUMIFS(D2246:D3130,K2246:K3130,"0",B2246:B3130,"5 1 2 1 4 12 31111 6 M78 07000 151 00C 001*")-SUMIFS(E2246:E3130,K2246:K3130,"0",B2246:B3130,"5 1 2 1 4 12 31111 6 M78 07000 151 00C 001*")</f>
        <v>0</v>
      </c>
      <c r="E2245"/>
      <c r="F2245" s="31">
        <f>SUMIFS(F2246:F3130,K2246:K3130,"0",B2246:B3130,"5 1 2 1 4 12 31111 6 M78 07000 151 00C 001*")</f>
        <v>79353.119999999995</v>
      </c>
      <c r="G2245" s="31">
        <f>SUMIFS(G2246:G3130,K2246:K3130,"0",B2246:B3130,"5 1 2 1 4 12 31111 6 M78 07000 151 00C 001*")</f>
        <v>0</v>
      </c>
      <c r="H2245" s="31">
        <f t="shared" si="35"/>
        <v>79353.119999999995</v>
      </c>
      <c r="I2245" s="31"/>
      <c r="K2245" t="s">
        <v>13</v>
      </c>
    </row>
    <row r="2246" spans="2:11" ht="22" x14ac:dyDescent="0.15">
      <c r="B2246" s="29" t="s">
        <v>2907</v>
      </c>
      <c r="C2246" s="29" t="s">
        <v>2908</v>
      </c>
      <c r="D2246" s="31">
        <f>SUMIFS(D2247:D3130,K2247:K3130,"0",B2247:B3130,"5 1 2 1 4 12 31111 6 M78 07000 151 00C 001 21401*")-SUMIFS(E2247:E3130,K2247:K3130,"0",B2247:B3130,"5 1 2 1 4 12 31111 6 M78 07000 151 00C 001 21401*")</f>
        <v>0</v>
      </c>
      <c r="E2246"/>
      <c r="F2246" s="31">
        <f>SUMIFS(F2247:F3130,K2247:K3130,"0",B2247:B3130,"5 1 2 1 4 12 31111 6 M78 07000 151 00C 001 21401*")</f>
        <v>79353.119999999995</v>
      </c>
      <c r="G2246" s="31">
        <f>SUMIFS(G2247:G3130,K2247:K3130,"0",B2247:B3130,"5 1 2 1 4 12 31111 6 M78 07000 151 00C 001 21401*")</f>
        <v>0</v>
      </c>
      <c r="H2246" s="31">
        <f t="shared" si="35"/>
        <v>79353.119999999995</v>
      </c>
      <c r="I2246" s="31"/>
      <c r="K2246" t="s">
        <v>13</v>
      </c>
    </row>
    <row r="2247" spans="2:11" ht="22" x14ac:dyDescent="0.15">
      <c r="B2247" s="29" t="s">
        <v>2909</v>
      </c>
      <c r="C2247" s="29" t="s">
        <v>271</v>
      </c>
      <c r="D2247" s="31">
        <f>SUMIFS(D2248:D3130,K2248:K3130,"0",B2248:B3130,"5 1 2 1 4 12 31111 6 M78 07000 151 00C 001 21401 015*")-SUMIFS(E2248:E3130,K2248:K3130,"0",B2248:B3130,"5 1 2 1 4 12 31111 6 M78 07000 151 00C 001 21401 015*")</f>
        <v>0</v>
      </c>
      <c r="E2247"/>
      <c r="F2247" s="31">
        <f>SUMIFS(F2248:F3130,K2248:K3130,"0",B2248:B3130,"5 1 2 1 4 12 31111 6 M78 07000 151 00C 001 21401 015*")</f>
        <v>79353.119999999995</v>
      </c>
      <c r="G2247" s="31">
        <f>SUMIFS(G2248:G3130,K2248:K3130,"0",B2248:B3130,"5 1 2 1 4 12 31111 6 M78 07000 151 00C 001 21401 015*")</f>
        <v>0</v>
      </c>
      <c r="H2247" s="31">
        <f t="shared" si="35"/>
        <v>79353.119999999995</v>
      </c>
      <c r="I2247" s="31"/>
      <c r="K2247" t="s">
        <v>13</v>
      </c>
    </row>
    <row r="2248" spans="2:11" ht="22" x14ac:dyDescent="0.15">
      <c r="B2248" s="29" t="s">
        <v>2910</v>
      </c>
      <c r="C2248" s="29" t="s">
        <v>595</v>
      </c>
      <c r="D2248" s="31">
        <f>SUMIFS(D2249:D3130,K2249:K3130,"0",B2249:B3130,"5 1 2 1 4 12 31111 6 M78 07000 151 00C 001 21401 015 2112000*")-SUMIFS(E2249:E3130,K2249:K3130,"0",B2249:B3130,"5 1 2 1 4 12 31111 6 M78 07000 151 00C 001 21401 015 2112000*")</f>
        <v>0</v>
      </c>
      <c r="E2248"/>
      <c r="F2248" s="31">
        <f>SUMIFS(F2249:F3130,K2249:K3130,"0",B2249:B3130,"5 1 2 1 4 12 31111 6 M78 07000 151 00C 001 21401 015 2112000*")</f>
        <v>79353.119999999995</v>
      </c>
      <c r="G2248" s="31">
        <f>SUMIFS(G2249:G3130,K2249:K3130,"0",B2249:B3130,"5 1 2 1 4 12 31111 6 M78 07000 151 00C 001 21401 015 2112000*")</f>
        <v>0</v>
      </c>
      <c r="H2248" s="31">
        <f t="shared" si="35"/>
        <v>79353.119999999995</v>
      </c>
      <c r="I2248" s="31"/>
      <c r="K2248" t="s">
        <v>13</v>
      </c>
    </row>
    <row r="2249" spans="2:11" ht="22" x14ac:dyDescent="0.15">
      <c r="B2249" s="29" t="s">
        <v>2911</v>
      </c>
      <c r="C2249" s="29" t="s">
        <v>275</v>
      </c>
      <c r="D2249" s="31">
        <f>SUMIFS(D2250:D3130,K2250:K3130,"0",B2250:B3130,"5 1 2 1 4 12 31111 6 M78 07000 151 00C 001 21401 015 2112000 2024*")-SUMIFS(E2250:E3130,K2250:K3130,"0",B2250:B3130,"5 1 2 1 4 12 31111 6 M78 07000 151 00C 001 21401 015 2112000 2024*")</f>
        <v>0</v>
      </c>
      <c r="E2249"/>
      <c r="F2249" s="31">
        <f>SUMIFS(F2250:F3130,K2250:K3130,"0",B2250:B3130,"5 1 2 1 4 12 31111 6 M78 07000 151 00C 001 21401 015 2112000 2024*")</f>
        <v>79353.119999999995</v>
      </c>
      <c r="G2249" s="31">
        <f>SUMIFS(G2250:G3130,K2250:K3130,"0",B2250:B3130,"5 1 2 1 4 12 31111 6 M78 07000 151 00C 001 21401 015 2112000 2024*")</f>
        <v>0</v>
      </c>
      <c r="H2249" s="31">
        <f t="shared" si="35"/>
        <v>79353.119999999995</v>
      </c>
      <c r="I2249" s="31"/>
      <c r="K2249" t="s">
        <v>13</v>
      </c>
    </row>
    <row r="2250" spans="2:11" ht="22" x14ac:dyDescent="0.15">
      <c r="B2250" s="29" t="s">
        <v>2912</v>
      </c>
      <c r="C2250" s="29" t="s">
        <v>277</v>
      </c>
      <c r="D2250" s="31">
        <f>SUMIFS(D2251:D3130,K2251:K3130,"0",B2251:B3130,"5 1 2 1 4 12 31111 6 M78 07000 151 00C 001 21401 015 2112000 2024 00000000*")-SUMIFS(E2251:E3130,K2251:K3130,"0",B2251:B3130,"5 1 2 1 4 12 31111 6 M78 07000 151 00C 001 21401 015 2112000 2024 00000000*")</f>
        <v>0</v>
      </c>
      <c r="E2250"/>
      <c r="F2250" s="31">
        <f>SUMIFS(F2251:F3130,K2251:K3130,"0",B2251:B3130,"5 1 2 1 4 12 31111 6 M78 07000 151 00C 001 21401 015 2112000 2024 00000000*")</f>
        <v>79353.119999999995</v>
      </c>
      <c r="G2250" s="31">
        <f>SUMIFS(G2251:G3130,K2251:K3130,"0",B2251:B3130,"5 1 2 1 4 12 31111 6 M78 07000 151 00C 001 21401 015 2112000 2024 00000000*")</f>
        <v>0</v>
      </c>
      <c r="H2250" s="31">
        <f t="shared" si="35"/>
        <v>79353.119999999995</v>
      </c>
      <c r="I2250" s="31"/>
      <c r="K2250" t="s">
        <v>13</v>
      </c>
    </row>
    <row r="2251" spans="2:11" ht="22" x14ac:dyDescent="0.15">
      <c r="B2251" s="29" t="s">
        <v>2913</v>
      </c>
      <c r="C2251" s="29" t="s">
        <v>32</v>
      </c>
      <c r="D2251" s="31">
        <f>SUMIFS(D2252:D3130,K2252:K3130,"0",B2252:B3130,"5 1 2 1 4 12 31111 6 M78 07000 151 00C 001 21401 015 2112000 2024 00000000 001*")-SUMIFS(E2252:E3130,K2252:K3130,"0",B2252:B3130,"5 1 2 1 4 12 31111 6 M78 07000 151 00C 001 21401 015 2112000 2024 00000000 001*")</f>
        <v>0</v>
      </c>
      <c r="E2251"/>
      <c r="F2251" s="31">
        <f>SUMIFS(F2252:F3130,K2252:K3130,"0",B2252:B3130,"5 1 2 1 4 12 31111 6 M78 07000 151 00C 001 21401 015 2112000 2024 00000000 001*")</f>
        <v>79353.119999999995</v>
      </c>
      <c r="G2251" s="31">
        <f>SUMIFS(G2252:G3130,K2252:K3130,"0",B2252:B3130,"5 1 2 1 4 12 31111 6 M78 07000 151 00C 001 21401 015 2112000 2024 00000000 001*")</f>
        <v>0</v>
      </c>
      <c r="H2251" s="31">
        <f t="shared" ref="H2251:H2314" si="36">D2251 + F2251 - G2251</f>
        <v>79353.119999999995</v>
      </c>
      <c r="I2251" s="31"/>
      <c r="K2251" t="s">
        <v>13</v>
      </c>
    </row>
    <row r="2252" spans="2:11" ht="22" x14ac:dyDescent="0.15">
      <c r="B2252" s="27" t="s">
        <v>2914</v>
      </c>
      <c r="C2252" s="27" t="s">
        <v>2915</v>
      </c>
      <c r="D2252" s="30">
        <v>0</v>
      </c>
      <c r="E2252" s="30"/>
      <c r="F2252" s="30">
        <v>79353.119999999995</v>
      </c>
      <c r="G2252" s="30">
        <v>0</v>
      </c>
      <c r="H2252" s="30">
        <f t="shared" si="36"/>
        <v>79353.119999999995</v>
      </c>
      <c r="I2252" s="30"/>
      <c r="K2252" t="s">
        <v>37</v>
      </c>
    </row>
    <row r="2253" spans="2:11" ht="13" x14ac:dyDescent="0.15">
      <c r="B2253" s="29" t="s">
        <v>2916</v>
      </c>
      <c r="C2253" s="29" t="s">
        <v>833</v>
      </c>
      <c r="D2253" s="31">
        <f>SUMIFS(D2254:D3130,K2254:K3130,"0",B2254:B3130,"5 1 2 1 4 12 31111 6 M78 15000*")-SUMIFS(E2254:E3130,K2254:K3130,"0",B2254:B3130,"5 1 2 1 4 12 31111 6 M78 15000*")</f>
        <v>0</v>
      </c>
      <c r="E2253"/>
      <c r="F2253" s="31">
        <f>SUMIFS(F2254:F3130,K2254:K3130,"0",B2254:B3130,"5 1 2 1 4 12 31111 6 M78 15000*")</f>
        <v>60134.400000000001</v>
      </c>
      <c r="G2253" s="31">
        <f>SUMIFS(G2254:G3130,K2254:K3130,"0",B2254:B3130,"5 1 2 1 4 12 31111 6 M78 15000*")</f>
        <v>0</v>
      </c>
      <c r="H2253" s="31">
        <f t="shared" si="36"/>
        <v>60134.400000000001</v>
      </c>
      <c r="I2253" s="31"/>
      <c r="K2253" t="s">
        <v>13</v>
      </c>
    </row>
    <row r="2254" spans="2:11" ht="13" x14ac:dyDescent="0.15">
      <c r="B2254" s="29" t="s">
        <v>2917</v>
      </c>
      <c r="C2254" s="29" t="s">
        <v>835</v>
      </c>
      <c r="D2254" s="31">
        <f>SUMIFS(D2255:D3130,K2255:K3130,"0",B2255:B3130,"5 1 2 1 4 12 31111 6 M78 15000 171*")-SUMIFS(E2255:E3130,K2255:K3130,"0",B2255:B3130,"5 1 2 1 4 12 31111 6 M78 15000 171*")</f>
        <v>0</v>
      </c>
      <c r="E2254"/>
      <c r="F2254" s="31">
        <f>SUMIFS(F2255:F3130,K2255:K3130,"0",B2255:B3130,"5 1 2 1 4 12 31111 6 M78 15000 171*")</f>
        <v>60134.400000000001</v>
      </c>
      <c r="G2254" s="31">
        <f>SUMIFS(G2255:G3130,K2255:K3130,"0",B2255:B3130,"5 1 2 1 4 12 31111 6 M78 15000 171*")</f>
        <v>0</v>
      </c>
      <c r="H2254" s="31">
        <f t="shared" si="36"/>
        <v>60134.400000000001</v>
      </c>
      <c r="I2254" s="31"/>
      <c r="K2254" t="s">
        <v>13</v>
      </c>
    </row>
    <row r="2255" spans="2:11" ht="13" x14ac:dyDescent="0.15">
      <c r="B2255" s="29" t="s">
        <v>2918</v>
      </c>
      <c r="C2255" s="29" t="s">
        <v>285</v>
      </c>
      <c r="D2255" s="31">
        <f>SUMIFS(D2256:D3130,K2256:K3130,"0",B2256:B3130,"5 1 2 1 4 12 31111 6 M78 15000 171 00I*")-SUMIFS(E2256:E3130,K2256:K3130,"0",B2256:B3130,"5 1 2 1 4 12 31111 6 M78 15000 171 00I*")</f>
        <v>0</v>
      </c>
      <c r="E2255"/>
      <c r="F2255" s="31">
        <f>SUMIFS(F2256:F3130,K2256:K3130,"0",B2256:B3130,"5 1 2 1 4 12 31111 6 M78 15000 171 00I*")</f>
        <v>60134.400000000001</v>
      </c>
      <c r="G2255" s="31">
        <f>SUMIFS(G2256:G3130,K2256:K3130,"0",B2256:B3130,"5 1 2 1 4 12 31111 6 M78 15000 171 00I*")</f>
        <v>0</v>
      </c>
      <c r="H2255" s="31">
        <f t="shared" si="36"/>
        <v>60134.400000000001</v>
      </c>
      <c r="I2255" s="31"/>
      <c r="K2255" t="s">
        <v>13</v>
      </c>
    </row>
    <row r="2256" spans="2:11" ht="13" x14ac:dyDescent="0.15">
      <c r="B2256" s="29" t="s">
        <v>2919</v>
      </c>
      <c r="C2256" s="29" t="s">
        <v>32</v>
      </c>
      <c r="D2256" s="31">
        <f>SUMIFS(D2257:D3130,K2257:K3130,"0",B2257:B3130,"5 1 2 1 4 12 31111 6 M78 15000 171 00I 001*")-SUMIFS(E2257:E3130,K2257:K3130,"0",B2257:B3130,"5 1 2 1 4 12 31111 6 M78 15000 171 00I 001*")</f>
        <v>0</v>
      </c>
      <c r="E2256"/>
      <c r="F2256" s="31">
        <f>SUMIFS(F2257:F3130,K2257:K3130,"0",B2257:B3130,"5 1 2 1 4 12 31111 6 M78 15000 171 00I 001*")</f>
        <v>60134.400000000001</v>
      </c>
      <c r="G2256" s="31">
        <f>SUMIFS(G2257:G3130,K2257:K3130,"0",B2257:B3130,"5 1 2 1 4 12 31111 6 M78 15000 171 00I 001*")</f>
        <v>0</v>
      </c>
      <c r="H2256" s="31">
        <f t="shared" si="36"/>
        <v>60134.400000000001</v>
      </c>
      <c r="I2256" s="31"/>
      <c r="K2256" t="s">
        <v>13</v>
      </c>
    </row>
    <row r="2257" spans="2:11" ht="22" x14ac:dyDescent="0.15">
      <c r="B2257" s="29" t="s">
        <v>2920</v>
      </c>
      <c r="C2257" s="29" t="s">
        <v>2908</v>
      </c>
      <c r="D2257" s="31">
        <f>SUMIFS(D2258:D3130,K2258:K3130,"0",B2258:B3130,"5 1 2 1 4 12 31111 6 M78 15000 171 00I 001 21401*")-SUMIFS(E2258:E3130,K2258:K3130,"0",B2258:B3130,"5 1 2 1 4 12 31111 6 M78 15000 171 00I 001 21401*")</f>
        <v>0</v>
      </c>
      <c r="E2257"/>
      <c r="F2257" s="31">
        <f>SUMIFS(F2258:F3130,K2258:K3130,"0",B2258:B3130,"5 1 2 1 4 12 31111 6 M78 15000 171 00I 001 21401*")</f>
        <v>60134.400000000001</v>
      </c>
      <c r="G2257" s="31">
        <f>SUMIFS(G2258:G3130,K2258:K3130,"0",B2258:B3130,"5 1 2 1 4 12 31111 6 M78 15000 171 00I 001 21401*")</f>
        <v>0</v>
      </c>
      <c r="H2257" s="31">
        <f t="shared" si="36"/>
        <v>60134.400000000001</v>
      </c>
      <c r="I2257" s="31"/>
      <c r="K2257" t="s">
        <v>13</v>
      </c>
    </row>
    <row r="2258" spans="2:11" ht="22" x14ac:dyDescent="0.15">
      <c r="B2258" s="29" t="s">
        <v>2921</v>
      </c>
      <c r="C2258" s="29" t="s">
        <v>290</v>
      </c>
      <c r="D2258" s="31">
        <f>SUMIFS(D2259:D3130,K2259:K3130,"0",B2259:B3130,"5 1 2 1 4 12 31111 6 M78 15000 171 00I 001 21401 025*")-SUMIFS(E2259:E3130,K2259:K3130,"0",B2259:B3130,"5 1 2 1 4 12 31111 6 M78 15000 171 00I 001 21401 025*")</f>
        <v>0</v>
      </c>
      <c r="E2258"/>
      <c r="F2258" s="31">
        <f>SUMIFS(F2259:F3130,K2259:K3130,"0",B2259:B3130,"5 1 2 1 4 12 31111 6 M78 15000 171 00I 001 21401 025*")</f>
        <v>60134.400000000001</v>
      </c>
      <c r="G2258" s="31">
        <f>SUMIFS(G2259:G3130,K2259:K3130,"0",B2259:B3130,"5 1 2 1 4 12 31111 6 M78 15000 171 00I 001 21401 025*")</f>
        <v>0</v>
      </c>
      <c r="H2258" s="31">
        <f t="shared" si="36"/>
        <v>60134.400000000001</v>
      </c>
      <c r="I2258" s="31"/>
      <c r="K2258" t="s">
        <v>13</v>
      </c>
    </row>
    <row r="2259" spans="2:11" ht="22" x14ac:dyDescent="0.15">
      <c r="B2259" s="29" t="s">
        <v>2922</v>
      </c>
      <c r="C2259" s="29" t="s">
        <v>595</v>
      </c>
      <c r="D2259" s="31">
        <f>SUMIFS(D2260:D3130,K2260:K3130,"0",B2260:B3130,"5 1 2 1 4 12 31111 6 M78 15000 171 00I 001 21401 025 2112000*")-SUMIFS(E2260:E3130,K2260:K3130,"0",B2260:B3130,"5 1 2 1 4 12 31111 6 M78 15000 171 00I 001 21401 025 2112000*")</f>
        <v>0</v>
      </c>
      <c r="E2259"/>
      <c r="F2259" s="31">
        <f>SUMIFS(F2260:F3130,K2260:K3130,"0",B2260:B3130,"5 1 2 1 4 12 31111 6 M78 15000 171 00I 001 21401 025 2112000*")</f>
        <v>60134.400000000001</v>
      </c>
      <c r="G2259" s="31">
        <f>SUMIFS(G2260:G3130,K2260:K3130,"0",B2260:B3130,"5 1 2 1 4 12 31111 6 M78 15000 171 00I 001 21401 025 2112000*")</f>
        <v>0</v>
      </c>
      <c r="H2259" s="31">
        <f t="shared" si="36"/>
        <v>60134.400000000001</v>
      </c>
      <c r="I2259" s="31"/>
      <c r="K2259" t="s">
        <v>13</v>
      </c>
    </row>
    <row r="2260" spans="2:11" ht="22" x14ac:dyDescent="0.15">
      <c r="B2260" s="29" t="s">
        <v>2923</v>
      </c>
      <c r="C2260" s="29" t="s">
        <v>275</v>
      </c>
      <c r="D2260" s="31">
        <f>SUMIFS(D2261:D3130,K2261:K3130,"0",B2261:B3130,"5 1 2 1 4 12 31111 6 M78 15000 171 00I 001 21401 025 2112000 2024*")-SUMIFS(E2261:E3130,K2261:K3130,"0",B2261:B3130,"5 1 2 1 4 12 31111 6 M78 15000 171 00I 001 21401 025 2112000 2024*")</f>
        <v>0</v>
      </c>
      <c r="E2260"/>
      <c r="F2260" s="31">
        <f>SUMIFS(F2261:F3130,K2261:K3130,"0",B2261:B3130,"5 1 2 1 4 12 31111 6 M78 15000 171 00I 001 21401 025 2112000 2024*")</f>
        <v>60134.400000000001</v>
      </c>
      <c r="G2260" s="31">
        <f>SUMIFS(G2261:G3130,K2261:K3130,"0",B2261:B3130,"5 1 2 1 4 12 31111 6 M78 15000 171 00I 001 21401 025 2112000 2024*")</f>
        <v>0</v>
      </c>
      <c r="H2260" s="31">
        <f t="shared" si="36"/>
        <v>60134.400000000001</v>
      </c>
      <c r="I2260" s="31"/>
      <c r="K2260" t="s">
        <v>13</v>
      </c>
    </row>
    <row r="2261" spans="2:11" ht="22" x14ac:dyDescent="0.15">
      <c r="B2261" s="29" t="s">
        <v>2924</v>
      </c>
      <c r="C2261" s="29" t="s">
        <v>277</v>
      </c>
      <c r="D2261" s="31">
        <f>SUMIFS(D2262:D3130,K2262:K3130,"0",B2262:B3130,"5 1 2 1 4 12 31111 6 M78 15000 171 00I 001 21401 025 2112000 2024 00000000*")-SUMIFS(E2262:E3130,K2262:K3130,"0",B2262:B3130,"5 1 2 1 4 12 31111 6 M78 15000 171 00I 001 21401 025 2112000 2024 00000000*")</f>
        <v>0</v>
      </c>
      <c r="E2261"/>
      <c r="F2261" s="31">
        <f>SUMIFS(F2262:F3130,K2262:K3130,"0",B2262:B3130,"5 1 2 1 4 12 31111 6 M78 15000 171 00I 001 21401 025 2112000 2024 00000000*")</f>
        <v>60134.400000000001</v>
      </c>
      <c r="G2261" s="31">
        <f>SUMIFS(G2262:G3130,K2262:K3130,"0",B2262:B3130,"5 1 2 1 4 12 31111 6 M78 15000 171 00I 001 21401 025 2112000 2024 00000000*")</f>
        <v>0</v>
      </c>
      <c r="H2261" s="31">
        <f t="shared" si="36"/>
        <v>60134.400000000001</v>
      </c>
      <c r="I2261" s="31"/>
      <c r="K2261" t="s">
        <v>13</v>
      </c>
    </row>
    <row r="2262" spans="2:11" ht="22" x14ac:dyDescent="0.15">
      <c r="B2262" s="29" t="s">
        <v>2925</v>
      </c>
      <c r="C2262" s="29" t="s">
        <v>581</v>
      </c>
      <c r="D2262" s="31">
        <f>SUMIFS(D2263:D3130,K2263:K3130,"0",B2263:B3130,"5 1 2 1 4 12 31111 6 M78 15000 171 00I 001 21401 025 2112000 2024 00000000 003*")-SUMIFS(E2263:E3130,K2263:K3130,"0",B2263:B3130,"5 1 2 1 4 12 31111 6 M78 15000 171 00I 001 21401 025 2112000 2024 00000000 003*")</f>
        <v>0</v>
      </c>
      <c r="E2262"/>
      <c r="F2262" s="31">
        <f>SUMIFS(F2263:F3130,K2263:K3130,"0",B2263:B3130,"5 1 2 1 4 12 31111 6 M78 15000 171 00I 001 21401 025 2112000 2024 00000000 003*")</f>
        <v>60134.400000000001</v>
      </c>
      <c r="G2262" s="31">
        <f>SUMIFS(G2263:G3130,K2263:K3130,"0",B2263:B3130,"5 1 2 1 4 12 31111 6 M78 15000 171 00I 001 21401 025 2112000 2024 00000000 003*")</f>
        <v>0</v>
      </c>
      <c r="H2262" s="31">
        <f t="shared" si="36"/>
        <v>60134.400000000001</v>
      </c>
      <c r="I2262" s="31"/>
      <c r="K2262" t="s">
        <v>13</v>
      </c>
    </row>
    <row r="2263" spans="2:11" ht="22" x14ac:dyDescent="0.15">
      <c r="B2263" s="27" t="s">
        <v>2926</v>
      </c>
      <c r="C2263" s="27" t="s">
        <v>2927</v>
      </c>
      <c r="D2263" s="30">
        <v>0</v>
      </c>
      <c r="E2263" s="30"/>
      <c r="F2263" s="30">
        <v>60134.400000000001</v>
      </c>
      <c r="G2263" s="30">
        <v>0</v>
      </c>
      <c r="H2263" s="30">
        <f t="shared" si="36"/>
        <v>60134.400000000001</v>
      </c>
      <c r="I2263" s="30"/>
      <c r="K2263" t="s">
        <v>37</v>
      </c>
    </row>
    <row r="2264" spans="2:11" ht="13" x14ac:dyDescent="0.15">
      <c r="B2264" s="29" t="s">
        <v>2928</v>
      </c>
      <c r="C2264" s="29" t="s">
        <v>2929</v>
      </c>
      <c r="D2264" s="31">
        <f>SUMIFS(D2265:D3130,K2265:K3130,"0",B2265:B3130,"5 1 2 1 6*")-SUMIFS(E2265:E3130,K2265:K3130,"0",B2265:B3130,"5 1 2 1 6*")</f>
        <v>0</v>
      </c>
      <c r="E2264"/>
      <c r="F2264" s="31">
        <f>SUMIFS(F2265:F3130,K2265:K3130,"0",B2265:B3130,"5 1 2 1 6*")</f>
        <v>681517.83000000007</v>
      </c>
      <c r="G2264" s="31">
        <f>SUMIFS(G2265:G3130,K2265:K3130,"0",B2265:B3130,"5 1 2 1 6*")</f>
        <v>2500</v>
      </c>
      <c r="H2264" s="31">
        <f t="shared" si="36"/>
        <v>679017.83000000007</v>
      </c>
      <c r="I2264" s="31"/>
      <c r="K2264" t="s">
        <v>13</v>
      </c>
    </row>
    <row r="2265" spans="2:11" ht="13" x14ac:dyDescent="0.15">
      <c r="B2265" s="29" t="s">
        <v>2930</v>
      </c>
      <c r="C2265" s="29" t="s">
        <v>24</v>
      </c>
      <c r="D2265" s="31">
        <f>SUMIFS(D2266:D3130,K2266:K3130,"0",B2266:B3130,"5 1 2 1 6 12*")-SUMIFS(E2266:E3130,K2266:K3130,"0",B2266:B3130,"5 1 2 1 6 12*")</f>
        <v>0</v>
      </c>
      <c r="E2265"/>
      <c r="F2265" s="31">
        <f>SUMIFS(F2266:F3130,K2266:K3130,"0",B2266:B3130,"5 1 2 1 6 12*")</f>
        <v>681517.83000000007</v>
      </c>
      <c r="G2265" s="31">
        <f>SUMIFS(G2266:G3130,K2266:K3130,"0",B2266:B3130,"5 1 2 1 6 12*")</f>
        <v>2500</v>
      </c>
      <c r="H2265" s="31">
        <f t="shared" si="36"/>
        <v>679017.83000000007</v>
      </c>
      <c r="I2265" s="31"/>
      <c r="K2265" t="s">
        <v>13</v>
      </c>
    </row>
    <row r="2266" spans="2:11" ht="13" x14ac:dyDescent="0.15">
      <c r="B2266" s="29" t="s">
        <v>2931</v>
      </c>
      <c r="C2266" s="29" t="s">
        <v>26</v>
      </c>
      <c r="D2266" s="31">
        <f>SUMIFS(D2267:D3130,K2267:K3130,"0",B2267:B3130,"5 1 2 1 6 12 31111*")-SUMIFS(E2267:E3130,K2267:K3130,"0",B2267:B3130,"5 1 2 1 6 12 31111*")</f>
        <v>0</v>
      </c>
      <c r="E2266"/>
      <c r="F2266" s="31">
        <f>SUMIFS(F2267:F3130,K2267:K3130,"0",B2267:B3130,"5 1 2 1 6 12 31111*")</f>
        <v>681517.83000000007</v>
      </c>
      <c r="G2266" s="31">
        <f>SUMIFS(G2267:G3130,K2267:K3130,"0",B2267:B3130,"5 1 2 1 6 12 31111*")</f>
        <v>2500</v>
      </c>
      <c r="H2266" s="31">
        <f t="shared" si="36"/>
        <v>679017.83000000007</v>
      </c>
      <c r="I2266" s="31"/>
      <c r="K2266" t="s">
        <v>13</v>
      </c>
    </row>
    <row r="2267" spans="2:11" ht="13" x14ac:dyDescent="0.15">
      <c r="B2267" s="29" t="s">
        <v>2932</v>
      </c>
      <c r="C2267" s="29" t="s">
        <v>28</v>
      </c>
      <c r="D2267" s="31">
        <f>SUMIFS(D2268:D3130,K2268:K3130,"0",B2268:B3130,"5 1 2 1 6 12 31111 6*")-SUMIFS(E2268:E3130,K2268:K3130,"0",B2268:B3130,"5 1 2 1 6 12 31111 6*")</f>
        <v>0</v>
      </c>
      <c r="E2267"/>
      <c r="F2267" s="31">
        <f>SUMIFS(F2268:F3130,K2268:K3130,"0",B2268:B3130,"5 1 2 1 6 12 31111 6*")</f>
        <v>681517.83000000007</v>
      </c>
      <c r="G2267" s="31">
        <f>SUMIFS(G2268:G3130,K2268:K3130,"0",B2268:B3130,"5 1 2 1 6 12 31111 6*")</f>
        <v>2500</v>
      </c>
      <c r="H2267" s="31">
        <f t="shared" si="36"/>
        <v>679017.83000000007</v>
      </c>
      <c r="I2267" s="31"/>
      <c r="K2267" t="s">
        <v>13</v>
      </c>
    </row>
    <row r="2268" spans="2:11" ht="13" x14ac:dyDescent="0.15">
      <c r="B2268" s="29" t="s">
        <v>2933</v>
      </c>
      <c r="C2268" s="29" t="s">
        <v>1567</v>
      </c>
      <c r="D2268" s="31">
        <f>SUMIFS(D2269:D3130,K2269:K3130,"0",B2269:B3130,"5 1 2 1 6 12 31111 6 M78*")-SUMIFS(E2269:E3130,K2269:K3130,"0",B2269:B3130,"5 1 2 1 6 12 31111 6 M78*")</f>
        <v>0</v>
      </c>
      <c r="E2268"/>
      <c r="F2268" s="31">
        <f>SUMIFS(F2269:F3130,K2269:K3130,"0",B2269:B3130,"5 1 2 1 6 12 31111 6 M78*")</f>
        <v>681517.83000000007</v>
      </c>
      <c r="G2268" s="31">
        <f>SUMIFS(G2269:G3130,K2269:K3130,"0",B2269:B3130,"5 1 2 1 6 12 31111 6 M78*")</f>
        <v>2500</v>
      </c>
      <c r="H2268" s="31">
        <f t="shared" si="36"/>
        <v>679017.83000000007</v>
      </c>
      <c r="I2268" s="31"/>
      <c r="K2268" t="s">
        <v>13</v>
      </c>
    </row>
    <row r="2269" spans="2:11" ht="13" x14ac:dyDescent="0.15">
      <c r="B2269" s="29" t="s">
        <v>2934</v>
      </c>
      <c r="C2269" s="29" t="s">
        <v>8</v>
      </c>
      <c r="D2269" s="31">
        <f>SUMIFS(D2270:D3130,K2270:K3130,"0",B2270:B3130,"5 1 2 1 6 12 31111 6 M78 07000*")-SUMIFS(E2270:E3130,K2270:K3130,"0",B2270:B3130,"5 1 2 1 6 12 31111 6 M78 07000*")</f>
        <v>0</v>
      </c>
      <c r="E2269"/>
      <c r="F2269" s="31">
        <f>SUMIFS(F2270:F3130,K2270:K3130,"0",B2270:B3130,"5 1 2 1 6 12 31111 6 M78 07000*")</f>
        <v>452831.83</v>
      </c>
      <c r="G2269" s="31">
        <f>SUMIFS(G2270:G3130,K2270:K3130,"0",B2270:B3130,"5 1 2 1 6 12 31111 6 M78 07000*")</f>
        <v>2500</v>
      </c>
      <c r="H2269" s="31">
        <f t="shared" si="36"/>
        <v>450331.83</v>
      </c>
      <c r="I2269" s="31"/>
      <c r="K2269" t="s">
        <v>13</v>
      </c>
    </row>
    <row r="2270" spans="2:11" ht="13" x14ac:dyDescent="0.15">
      <c r="B2270" s="29" t="s">
        <v>2935</v>
      </c>
      <c r="C2270" s="29" t="s">
        <v>588</v>
      </c>
      <c r="D2270" s="31">
        <f>SUMIFS(D2271:D3130,K2271:K3130,"0",B2271:B3130,"5 1 2 1 6 12 31111 6 M78 07000 151*")-SUMIFS(E2271:E3130,K2271:K3130,"0",B2271:B3130,"5 1 2 1 6 12 31111 6 M78 07000 151*")</f>
        <v>0</v>
      </c>
      <c r="E2270"/>
      <c r="F2270" s="31">
        <f>SUMIFS(F2271:F3130,K2271:K3130,"0",B2271:B3130,"5 1 2 1 6 12 31111 6 M78 07000 151*")</f>
        <v>452831.83</v>
      </c>
      <c r="G2270" s="31">
        <f>SUMIFS(G2271:G3130,K2271:K3130,"0",B2271:B3130,"5 1 2 1 6 12 31111 6 M78 07000 151*")</f>
        <v>2500</v>
      </c>
      <c r="H2270" s="31">
        <f t="shared" si="36"/>
        <v>450331.83</v>
      </c>
      <c r="I2270" s="31"/>
      <c r="K2270" t="s">
        <v>13</v>
      </c>
    </row>
    <row r="2271" spans="2:11" ht="13" x14ac:dyDescent="0.15">
      <c r="B2271" s="29" t="s">
        <v>2936</v>
      </c>
      <c r="C2271" s="29" t="s">
        <v>265</v>
      </c>
      <c r="D2271" s="31">
        <f>SUMIFS(D2272:D3130,K2272:K3130,"0",B2272:B3130,"5 1 2 1 6 12 31111 6 M78 07000 151 00C*")-SUMIFS(E2272:E3130,K2272:K3130,"0",B2272:B3130,"5 1 2 1 6 12 31111 6 M78 07000 151 00C*")</f>
        <v>0</v>
      </c>
      <c r="E2271"/>
      <c r="F2271" s="31">
        <f>SUMIFS(F2272:F3130,K2272:K3130,"0",B2272:B3130,"5 1 2 1 6 12 31111 6 M78 07000 151 00C*")</f>
        <v>448466.83</v>
      </c>
      <c r="G2271" s="31">
        <f>SUMIFS(G2272:G3130,K2272:K3130,"0",B2272:B3130,"5 1 2 1 6 12 31111 6 M78 07000 151 00C*")</f>
        <v>2500</v>
      </c>
      <c r="H2271" s="31">
        <f t="shared" si="36"/>
        <v>445966.83</v>
      </c>
      <c r="I2271" s="31"/>
      <c r="K2271" t="s">
        <v>13</v>
      </c>
    </row>
    <row r="2272" spans="2:11" ht="13" x14ac:dyDescent="0.15">
      <c r="B2272" s="29" t="s">
        <v>2937</v>
      </c>
      <c r="C2272" s="29" t="s">
        <v>32</v>
      </c>
      <c r="D2272" s="31">
        <f>SUMIFS(D2273:D3130,K2273:K3130,"0",B2273:B3130,"5 1 2 1 6 12 31111 6 M78 07000 151 00C 001*")-SUMIFS(E2273:E3130,K2273:K3130,"0",B2273:B3130,"5 1 2 1 6 12 31111 6 M78 07000 151 00C 001*")</f>
        <v>0</v>
      </c>
      <c r="E2272"/>
      <c r="F2272" s="31">
        <f>SUMIFS(F2273:F3130,K2273:K3130,"0",B2273:B3130,"5 1 2 1 6 12 31111 6 M78 07000 151 00C 001*")</f>
        <v>448466.83</v>
      </c>
      <c r="G2272" s="31">
        <f>SUMIFS(G2273:G3130,K2273:K3130,"0",B2273:B3130,"5 1 2 1 6 12 31111 6 M78 07000 151 00C 001*")</f>
        <v>2500</v>
      </c>
      <c r="H2272" s="31">
        <f t="shared" si="36"/>
        <v>445966.83</v>
      </c>
      <c r="I2272" s="31"/>
      <c r="K2272" t="s">
        <v>13</v>
      </c>
    </row>
    <row r="2273" spans="2:11" ht="13" x14ac:dyDescent="0.15">
      <c r="B2273" s="29" t="s">
        <v>2938</v>
      </c>
      <c r="C2273" s="29" t="s">
        <v>2939</v>
      </c>
      <c r="D2273" s="31">
        <f>SUMIFS(D2274:D3130,K2274:K3130,"0",B2274:B3130,"5 1 2 1 6 12 31111 6 M78 07000 151 00C 001 21601*")-SUMIFS(E2274:E3130,K2274:K3130,"0",B2274:B3130,"5 1 2 1 6 12 31111 6 M78 07000 151 00C 001 21601*")</f>
        <v>0</v>
      </c>
      <c r="E2273"/>
      <c r="F2273" s="31">
        <f>SUMIFS(F2274:F3130,K2274:K3130,"0",B2274:B3130,"5 1 2 1 6 12 31111 6 M78 07000 151 00C 001 21601*")</f>
        <v>448466.83</v>
      </c>
      <c r="G2273" s="31">
        <f>SUMIFS(G2274:G3130,K2274:K3130,"0",B2274:B3130,"5 1 2 1 6 12 31111 6 M78 07000 151 00C 001 21601*")</f>
        <v>2500</v>
      </c>
      <c r="H2273" s="31">
        <f t="shared" si="36"/>
        <v>445966.83</v>
      </c>
      <c r="I2273" s="31"/>
      <c r="K2273" t="s">
        <v>13</v>
      </c>
    </row>
    <row r="2274" spans="2:11" ht="22" x14ac:dyDescent="0.15">
      <c r="B2274" s="29" t="s">
        <v>2940</v>
      </c>
      <c r="C2274" s="29" t="s">
        <v>271</v>
      </c>
      <c r="D2274" s="31">
        <f>SUMIFS(D2275:D3130,K2275:K3130,"0",B2275:B3130,"5 1 2 1 6 12 31111 6 M78 07000 151 00C 001 21601 015*")-SUMIFS(E2275:E3130,K2275:K3130,"0",B2275:B3130,"5 1 2 1 6 12 31111 6 M78 07000 151 00C 001 21601 015*")</f>
        <v>0</v>
      </c>
      <c r="E2274"/>
      <c r="F2274" s="31">
        <f>SUMIFS(F2275:F3130,K2275:K3130,"0",B2275:B3130,"5 1 2 1 6 12 31111 6 M78 07000 151 00C 001 21601 015*")</f>
        <v>448466.83</v>
      </c>
      <c r="G2274" s="31">
        <f>SUMIFS(G2275:G3130,K2275:K3130,"0",B2275:B3130,"5 1 2 1 6 12 31111 6 M78 07000 151 00C 001 21601 015*")</f>
        <v>2500</v>
      </c>
      <c r="H2274" s="31">
        <f t="shared" si="36"/>
        <v>445966.83</v>
      </c>
      <c r="I2274" s="31"/>
      <c r="K2274" t="s">
        <v>13</v>
      </c>
    </row>
    <row r="2275" spans="2:11" ht="22" x14ac:dyDescent="0.15">
      <c r="B2275" s="29" t="s">
        <v>2941</v>
      </c>
      <c r="C2275" s="29" t="s">
        <v>595</v>
      </c>
      <c r="D2275" s="31">
        <f>SUMIFS(D2276:D3130,K2276:K3130,"0",B2276:B3130,"5 1 2 1 6 12 31111 6 M78 07000 151 00C 001 21601 015 2112000*")-SUMIFS(E2276:E3130,K2276:K3130,"0",B2276:B3130,"5 1 2 1 6 12 31111 6 M78 07000 151 00C 001 21601 015 2112000*")</f>
        <v>0</v>
      </c>
      <c r="E2275"/>
      <c r="F2275" s="31">
        <f>SUMIFS(F2276:F3130,K2276:K3130,"0",B2276:B3130,"5 1 2 1 6 12 31111 6 M78 07000 151 00C 001 21601 015 2112000*")</f>
        <v>448466.83</v>
      </c>
      <c r="G2275" s="31">
        <f>SUMIFS(G2276:G3130,K2276:K3130,"0",B2276:B3130,"5 1 2 1 6 12 31111 6 M78 07000 151 00C 001 21601 015 2112000*")</f>
        <v>2500</v>
      </c>
      <c r="H2275" s="31">
        <f t="shared" si="36"/>
        <v>445966.83</v>
      </c>
      <c r="I2275" s="31"/>
      <c r="K2275" t="s">
        <v>13</v>
      </c>
    </row>
    <row r="2276" spans="2:11" ht="22" x14ac:dyDescent="0.15">
      <c r="B2276" s="29" t="s">
        <v>2942</v>
      </c>
      <c r="C2276" s="29" t="s">
        <v>275</v>
      </c>
      <c r="D2276" s="31">
        <f>SUMIFS(D2277:D3130,K2277:K3130,"0",B2277:B3130,"5 1 2 1 6 12 31111 6 M78 07000 151 00C 001 21601 015 2112000 2024*")-SUMIFS(E2277:E3130,K2277:K3130,"0",B2277:B3130,"5 1 2 1 6 12 31111 6 M78 07000 151 00C 001 21601 015 2112000 2024*")</f>
        <v>0</v>
      </c>
      <c r="E2276"/>
      <c r="F2276" s="31">
        <f>SUMIFS(F2277:F3130,K2277:K3130,"0",B2277:B3130,"5 1 2 1 6 12 31111 6 M78 07000 151 00C 001 21601 015 2112000 2024*")</f>
        <v>448466.83</v>
      </c>
      <c r="G2276" s="31">
        <f>SUMIFS(G2277:G3130,K2277:K3130,"0",B2277:B3130,"5 1 2 1 6 12 31111 6 M78 07000 151 00C 001 21601 015 2112000 2024*")</f>
        <v>2500</v>
      </c>
      <c r="H2276" s="31">
        <f t="shared" si="36"/>
        <v>445966.83</v>
      </c>
      <c r="I2276" s="31"/>
      <c r="K2276" t="s">
        <v>13</v>
      </c>
    </row>
    <row r="2277" spans="2:11" ht="22" x14ac:dyDescent="0.15">
      <c r="B2277" s="29" t="s">
        <v>2943</v>
      </c>
      <c r="C2277" s="29" t="s">
        <v>277</v>
      </c>
      <c r="D2277" s="31">
        <f>SUMIFS(D2278:D3130,K2278:K3130,"0",B2278:B3130,"5 1 2 1 6 12 31111 6 M78 07000 151 00C 001 21601 015 2112000 2024 00000000*")-SUMIFS(E2278:E3130,K2278:K3130,"0",B2278:B3130,"5 1 2 1 6 12 31111 6 M78 07000 151 00C 001 21601 015 2112000 2024 00000000*")</f>
        <v>0</v>
      </c>
      <c r="E2277"/>
      <c r="F2277" s="31">
        <f>SUMIFS(F2278:F3130,K2278:K3130,"0",B2278:B3130,"5 1 2 1 6 12 31111 6 M78 07000 151 00C 001 21601 015 2112000 2024 00000000*")</f>
        <v>448466.83</v>
      </c>
      <c r="G2277" s="31">
        <f>SUMIFS(G2278:G3130,K2278:K3130,"0",B2278:B3130,"5 1 2 1 6 12 31111 6 M78 07000 151 00C 001 21601 015 2112000 2024 00000000*")</f>
        <v>2500</v>
      </c>
      <c r="H2277" s="31">
        <f t="shared" si="36"/>
        <v>445966.83</v>
      </c>
      <c r="I2277" s="31"/>
      <c r="K2277" t="s">
        <v>13</v>
      </c>
    </row>
    <row r="2278" spans="2:11" ht="22" x14ac:dyDescent="0.15">
      <c r="B2278" s="29" t="s">
        <v>2944</v>
      </c>
      <c r="C2278" s="29" t="s">
        <v>32</v>
      </c>
      <c r="D2278" s="31">
        <f>SUMIFS(D2279:D3130,K2279:K3130,"0",B2279:B3130,"5 1 2 1 6 12 31111 6 M78 07000 151 00C 001 21601 015 2112000 2024 00000000 001*")-SUMIFS(E2279:E3130,K2279:K3130,"0",B2279:B3130,"5 1 2 1 6 12 31111 6 M78 07000 151 00C 001 21601 015 2112000 2024 00000000 001*")</f>
        <v>0</v>
      </c>
      <c r="E2278"/>
      <c r="F2278" s="31">
        <f>SUMIFS(F2279:F3130,K2279:K3130,"0",B2279:B3130,"5 1 2 1 6 12 31111 6 M78 07000 151 00C 001 21601 015 2112000 2024 00000000 001*")</f>
        <v>448466.83</v>
      </c>
      <c r="G2278" s="31">
        <f>SUMIFS(G2279:G3130,K2279:K3130,"0",B2279:B3130,"5 1 2 1 6 12 31111 6 M78 07000 151 00C 001 21601 015 2112000 2024 00000000 001*")</f>
        <v>2500</v>
      </c>
      <c r="H2278" s="31">
        <f t="shared" si="36"/>
        <v>445966.83</v>
      </c>
      <c r="I2278" s="31"/>
      <c r="K2278" t="s">
        <v>13</v>
      </c>
    </row>
    <row r="2279" spans="2:11" ht="22" x14ac:dyDescent="0.15">
      <c r="B2279" s="27" t="s">
        <v>2945</v>
      </c>
      <c r="C2279" s="27" t="s">
        <v>2929</v>
      </c>
      <c r="D2279" s="30">
        <v>0</v>
      </c>
      <c r="E2279" s="30"/>
      <c r="F2279" s="30">
        <v>448466.83</v>
      </c>
      <c r="G2279" s="30">
        <v>2500</v>
      </c>
      <c r="H2279" s="30">
        <f t="shared" si="36"/>
        <v>445966.83</v>
      </c>
      <c r="I2279" s="30"/>
      <c r="K2279" t="s">
        <v>37</v>
      </c>
    </row>
    <row r="2280" spans="2:11" ht="13" x14ac:dyDescent="0.15">
      <c r="B2280" s="29" t="s">
        <v>2946</v>
      </c>
      <c r="C2280" s="29" t="s">
        <v>812</v>
      </c>
      <c r="D2280" s="31">
        <f>SUMIFS(D2281:D3130,K2281:K3130,"0",B2281:B3130,"5 1 2 1 6 12 31111 6 M78 07000 151 00E*")-SUMIFS(E2281:E3130,K2281:K3130,"0",B2281:B3130,"5 1 2 1 6 12 31111 6 M78 07000 151 00E*")</f>
        <v>0</v>
      </c>
      <c r="E2280"/>
      <c r="F2280" s="31">
        <f>SUMIFS(F2281:F3130,K2281:K3130,"0",B2281:B3130,"5 1 2 1 6 12 31111 6 M78 07000 151 00E*")</f>
        <v>4365</v>
      </c>
      <c r="G2280" s="31">
        <f>SUMIFS(G2281:G3130,K2281:K3130,"0",B2281:B3130,"5 1 2 1 6 12 31111 6 M78 07000 151 00E*")</f>
        <v>0</v>
      </c>
      <c r="H2280" s="31">
        <f t="shared" si="36"/>
        <v>4365</v>
      </c>
      <c r="I2280" s="31"/>
      <c r="K2280" t="s">
        <v>13</v>
      </c>
    </row>
    <row r="2281" spans="2:11" ht="13" x14ac:dyDescent="0.15">
      <c r="B2281" s="29" t="s">
        <v>2947</v>
      </c>
      <c r="C2281" s="29" t="s">
        <v>32</v>
      </c>
      <c r="D2281" s="31">
        <f>SUMIFS(D2282:D3130,K2282:K3130,"0",B2282:B3130,"5 1 2 1 6 12 31111 6 M78 07000 151 00E 001*")-SUMIFS(E2282:E3130,K2282:K3130,"0",B2282:B3130,"5 1 2 1 6 12 31111 6 M78 07000 151 00E 001*")</f>
        <v>0</v>
      </c>
      <c r="E2281"/>
      <c r="F2281" s="31">
        <f>SUMIFS(F2282:F3130,K2282:K3130,"0",B2282:B3130,"5 1 2 1 6 12 31111 6 M78 07000 151 00E 001*")</f>
        <v>4365</v>
      </c>
      <c r="G2281" s="31">
        <f>SUMIFS(G2282:G3130,K2282:K3130,"0",B2282:B3130,"5 1 2 1 6 12 31111 6 M78 07000 151 00E 001*")</f>
        <v>0</v>
      </c>
      <c r="H2281" s="31">
        <f t="shared" si="36"/>
        <v>4365</v>
      </c>
      <c r="I2281" s="31"/>
      <c r="K2281" t="s">
        <v>13</v>
      </c>
    </row>
    <row r="2282" spans="2:11" ht="13" x14ac:dyDescent="0.15">
      <c r="B2282" s="29" t="s">
        <v>2948</v>
      </c>
      <c r="C2282" s="29" t="s">
        <v>2929</v>
      </c>
      <c r="D2282" s="31">
        <f>SUMIFS(D2283:D3130,K2283:K3130,"0",B2283:B3130,"5 1 2 1 6 12 31111 6 M78 07000 151 00E 001 21601*")-SUMIFS(E2283:E3130,K2283:K3130,"0",B2283:B3130,"5 1 2 1 6 12 31111 6 M78 07000 151 00E 001 21601*")</f>
        <v>0</v>
      </c>
      <c r="E2282"/>
      <c r="F2282" s="31">
        <f>SUMIFS(F2283:F3130,K2283:K3130,"0",B2283:B3130,"5 1 2 1 6 12 31111 6 M78 07000 151 00E 001 21601*")</f>
        <v>4365</v>
      </c>
      <c r="G2282" s="31">
        <f>SUMIFS(G2283:G3130,K2283:K3130,"0",B2283:B3130,"5 1 2 1 6 12 31111 6 M78 07000 151 00E 001 21601*")</f>
        <v>0</v>
      </c>
      <c r="H2282" s="31">
        <f t="shared" si="36"/>
        <v>4365</v>
      </c>
      <c r="I2282" s="31"/>
      <c r="K2282" t="s">
        <v>13</v>
      </c>
    </row>
    <row r="2283" spans="2:11" ht="22" x14ac:dyDescent="0.15">
      <c r="B2283" s="29" t="s">
        <v>2949</v>
      </c>
      <c r="C2283" s="29" t="s">
        <v>1567</v>
      </c>
      <c r="D2283" s="31">
        <f>SUMIFS(D2284:D3130,K2284:K3130,"0",B2284:B3130,"5 1 2 1 6 12 31111 6 M78 07000 151 00E 001 21601 011*")-SUMIFS(E2284:E3130,K2284:K3130,"0",B2284:B3130,"5 1 2 1 6 12 31111 6 M78 07000 151 00E 001 21601 011*")</f>
        <v>0</v>
      </c>
      <c r="E2283"/>
      <c r="F2283" s="31">
        <f>SUMIFS(F2284:F3130,K2284:K3130,"0",B2284:B3130,"5 1 2 1 6 12 31111 6 M78 07000 151 00E 001 21601 011*")</f>
        <v>4365</v>
      </c>
      <c r="G2283" s="31">
        <f>SUMIFS(G2284:G3130,K2284:K3130,"0",B2284:B3130,"5 1 2 1 6 12 31111 6 M78 07000 151 00E 001 21601 011*")</f>
        <v>0</v>
      </c>
      <c r="H2283" s="31">
        <f t="shared" si="36"/>
        <v>4365</v>
      </c>
      <c r="I2283" s="31"/>
      <c r="K2283" t="s">
        <v>13</v>
      </c>
    </row>
    <row r="2284" spans="2:11" ht="22" x14ac:dyDescent="0.15">
      <c r="B2284" s="29" t="s">
        <v>2950</v>
      </c>
      <c r="C2284" s="29" t="s">
        <v>595</v>
      </c>
      <c r="D2284" s="31">
        <f>SUMIFS(D2285:D3130,K2285:K3130,"0",B2285:B3130,"5 1 2 1 6 12 31111 6 M78 07000 151 00E 001 21601 011 2112000*")-SUMIFS(E2285:E3130,K2285:K3130,"0",B2285:B3130,"5 1 2 1 6 12 31111 6 M78 07000 151 00E 001 21601 011 2112000*")</f>
        <v>0</v>
      </c>
      <c r="E2284"/>
      <c r="F2284" s="31">
        <f>SUMIFS(F2285:F3130,K2285:K3130,"0",B2285:B3130,"5 1 2 1 6 12 31111 6 M78 07000 151 00E 001 21601 011 2112000*")</f>
        <v>4365</v>
      </c>
      <c r="G2284" s="31">
        <f>SUMIFS(G2285:G3130,K2285:K3130,"0",B2285:B3130,"5 1 2 1 6 12 31111 6 M78 07000 151 00E 001 21601 011 2112000*")</f>
        <v>0</v>
      </c>
      <c r="H2284" s="31">
        <f t="shared" si="36"/>
        <v>4365</v>
      </c>
      <c r="I2284" s="31"/>
      <c r="K2284" t="s">
        <v>13</v>
      </c>
    </row>
    <row r="2285" spans="2:11" ht="22" x14ac:dyDescent="0.15">
      <c r="B2285" s="29" t="s">
        <v>2951</v>
      </c>
      <c r="C2285" s="29" t="s">
        <v>275</v>
      </c>
      <c r="D2285" s="31">
        <f>SUMIFS(D2286:D3130,K2286:K3130,"0",B2286:B3130,"5 1 2 1 6 12 31111 6 M78 07000 151 00E 001 21601 011 2112000 2024*")-SUMIFS(E2286:E3130,K2286:K3130,"0",B2286:B3130,"5 1 2 1 6 12 31111 6 M78 07000 151 00E 001 21601 011 2112000 2024*")</f>
        <v>0</v>
      </c>
      <c r="E2285"/>
      <c r="F2285" s="31">
        <f>SUMIFS(F2286:F3130,K2286:K3130,"0",B2286:B3130,"5 1 2 1 6 12 31111 6 M78 07000 151 00E 001 21601 011 2112000 2024*")</f>
        <v>4365</v>
      </c>
      <c r="G2285" s="31">
        <f>SUMIFS(G2286:G3130,K2286:K3130,"0",B2286:B3130,"5 1 2 1 6 12 31111 6 M78 07000 151 00E 001 21601 011 2112000 2024*")</f>
        <v>0</v>
      </c>
      <c r="H2285" s="31">
        <f t="shared" si="36"/>
        <v>4365</v>
      </c>
      <c r="I2285" s="31"/>
      <c r="K2285" t="s">
        <v>13</v>
      </c>
    </row>
    <row r="2286" spans="2:11" ht="22" x14ac:dyDescent="0.15">
      <c r="B2286" s="29" t="s">
        <v>2952</v>
      </c>
      <c r="C2286" s="29" t="s">
        <v>277</v>
      </c>
      <c r="D2286" s="31">
        <f>SUMIFS(D2287:D3130,K2287:K3130,"0",B2287:B3130,"5 1 2 1 6 12 31111 6 M78 07000 151 00E 001 21601 011 2112000 2024 00000000*")-SUMIFS(E2287:E3130,K2287:K3130,"0",B2287:B3130,"5 1 2 1 6 12 31111 6 M78 07000 151 00E 001 21601 011 2112000 2024 00000000*")</f>
        <v>0</v>
      </c>
      <c r="E2286"/>
      <c r="F2286" s="31">
        <f>SUMIFS(F2287:F3130,K2287:K3130,"0",B2287:B3130,"5 1 2 1 6 12 31111 6 M78 07000 151 00E 001 21601 011 2112000 2024 00000000*")</f>
        <v>4365</v>
      </c>
      <c r="G2286" s="31">
        <f>SUMIFS(G2287:G3130,K2287:K3130,"0",B2287:B3130,"5 1 2 1 6 12 31111 6 M78 07000 151 00E 001 21601 011 2112000 2024 00000000*")</f>
        <v>0</v>
      </c>
      <c r="H2286" s="31">
        <f t="shared" si="36"/>
        <v>4365</v>
      </c>
      <c r="I2286" s="31"/>
      <c r="K2286" t="s">
        <v>13</v>
      </c>
    </row>
    <row r="2287" spans="2:11" ht="22" x14ac:dyDescent="0.15">
      <c r="B2287" s="29" t="s">
        <v>2953</v>
      </c>
      <c r="C2287" s="29" t="s">
        <v>1567</v>
      </c>
      <c r="D2287" s="31">
        <f>SUMIFS(D2288:D3130,K2288:K3130,"0",B2288:B3130,"5 1 2 1 6 12 31111 6 M78 07000 151 00E 001 21601 011 2112000 2024 00000000 005*")-SUMIFS(E2288:E3130,K2288:K3130,"0",B2288:B3130,"5 1 2 1 6 12 31111 6 M78 07000 151 00E 001 21601 011 2112000 2024 00000000 005*")</f>
        <v>0</v>
      </c>
      <c r="E2287"/>
      <c r="F2287" s="31">
        <f>SUMIFS(F2288:F3130,K2288:K3130,"0",B2288:B3130,"5 1 2 1 6 12 31111 6 M78 07000 151 00E 001 21601 011 2112000 2024 00000000 005*")</f>
        <v>4365</v>
      </c>
      <c r="G2287" s="31">
        <f>SUMIFS(G2288:G3130,K2288:K3130,"0",B2288:B3130,"5 1 2 1 6 12 31111 6 M78 07000 151 00E 001 21601 011 2112000 2024 00000000 005*")</f>
        <v>0</v>
      </c>
      <c r="H2287" s="31">
        <f t="shared" si="36"/>
        <v>4365</v>
      </c>
      <c r="I2287" s="31"/>
      <c r="K2287" t="s">
        <v>13</v>
      </c>
    </row>
    <row r="2288" spans="2:11" ht="22" x14ac:dyDescent="0.15">
      <c r="B2288" s="27" t="s">
        <v>2954</v>
      </c>
      <c r="C2288" s="27" t="s">
        <v>1567</v>
      </c>
      <c r="D2288" s="30">
        <v>0</v>
      </c>
      <c r="E2288" s="30"/>
      <c r="F2288" s="30">
        <v>4365</v>
      </c>
      <c r="G2288" s="30">
        <v>0</v>
      </c>
      <c r="H2288" s="30">
        <f t="shared" si="36"/>
        <v>4365</v>
      </c>
      <c r="I2288" s="30"/>
      <c r="K2288" t="s">
        <v>37</v>
      </c>
    </row>
    <row r="2289" spans="2:11" ht="13" x14ac:dyDescent="0.15">
      <c r="B2289" s="29" t="s">
        <v>2955</v>
      </c>
      <c r="C2289" s="29" t="s">
        <v>833</v>
      </c>
      <c r="D2289" s="31">
        <f>SUMIFS(D2290:D3130,K2290:K3130,"0",B2290:B3130,"5 1 2 1 6 12 31111 6 M78 15000*")-SUMIFS(E2290:E3130,K2290:K3130,"0",B2290:B3130,"5 1 2 1 6 12 31111 6 M78 15000*")</f>
        <v>0</v>
      </c>
      <c r="E2289"/>
      <c r="F2289" s="31">
        <f>SUMIFS(F2290:F3130,K2290:K3130,"0",B2290:B3130,"5 1 2 1 6 12 31111 6 M78 15000*")</f>
        <v>228686</v>
      </c>
      <c r="G2289" s="31">
        <f>SUMIFS(G2290:G3130,K2290:K3130,"0",B2290:B3130,"5 1 2 1 6 12 31111 6 M78 15000*")</f>
        <v>0</v>
      </c>
      <c r="H2289" s="31">
        <f t="shared" si="36"/>
        <v>228686</v>
      </c>
      <c r="I2289" s="31"/>
      <c r="K2289" t="s">
        <v>13</v>
      </c>
    </row>
    <row r="2290" spans="2:11" ht="13" x14ac:dyDescent="0.15">
      <c r="B2290" s="29" t="s">
        <v>2956</v>
      </c>
      <c r="C2290" s="29" t="s">
        <v>835</v>
      </c>
      <c r="D2290" s="31">
        <f>SUMIFS(D2291:D3130,K2291:K3130,"0",B2291:B3130,"5 1 2 1 6 12 31111 6 M78 15000 171*")-SUMIFS(E2291:E3130,K2291:K3130,"0",B2291:B3130,"5 1 2 1 6 12 31111 6 M78 15000 171*")</f>
        <v>0</v>
      </c>
      <c r="E2290"/>
      <c r="F2290" s="31">
        <f>SUMIFS(F2291:F3130,K2291:K3130,"0",B2291:B3130,"5 1 2 1 6 12 31111 6 M78 15000 171*")</f>
        <v>228686</v>
      </c>
      <c r="G2290" s="31">
        <f>SUMIFS(G2291:G3130,K2291:K3130,"0",B2291:B3130,"5 1 2 1 6 12 31111 6 M78 15000 171*")</f>
        <v>0</v>
      </c>
      <c r="H2290" s="31">
        <f t="shared" si="36"/>
        <v>228686</v>
      </c>
      <c r="I2290" s="31"/>
      <c r="K2290" t="s">
        <v>13</v>
      </c>
    </row>
    <row r="2291" spans="2:11" ht="13" x14ac:dyDescent="0.15">
      <c r="B2291" s="29" t="s">
        <v>2957</v>
      </c>
      <c r="C2291" s="29" t="s">
        <v>285</v>
      </c>
      <c r="D2291" s="31">
        <f>SUMIFS(D2292:D3130,K2292:K3130,"0",B2292:B3130,"5 1 2 1 6 12 31111 6 M78 15000 171 00I*")-SUMIFS(E2292:E3130,K2292:K3130,"0",B2292:B3130,"5 1 2 1 6 12 31111 6 M78 15000 171 00I*")</f>
        <v>0</v>
      </c>
      <c r="E2291"/>
      <c r="F2291" s="31">
        <f>SUMIFS(F2292:F3130,K2292:K3130,"0",B2292:B3130,"5 1 2 1 6 12 31111 6 M78 15000 171 00I*")</f>
        <v>228686</v>
      </c>
      <c r="G2291" s="31">
        <f>SUMIFS(G2292:G3130,K2292:K3130,"0",B2292:B3130,"5 1 2 1 6 12 31111 6 M78 15000 171 00I*")</f>
        <v>0</v>
      </c>
      <c r="H2291" s="31">
        <f t="shared" si="36"/>
        <v>228686</v>
      </c>
      <c r="I2291" s="31"/>
      <c r="K2291" t="s">
        <v>13</v>
      </c>
    </row>
    <row r="2292" spans="2:11" ht="13" x14ac:dyDescent="0.15">
      <c r="B2292" s="29" t="s">
        <v>2958</v>
      </c>
      <c r="C2292" s="29" t="s">
        <v>32</v>
      </c>
      <c r="D2292" s="31">
        <f>SUMIFS(D2293:D3130,K2293:K3130,"0",B2293:B3130,"5 1 2 1 6 12 31111 6 M78 15000 171 00I 001*")-SUMIFS(E2293:E3130,K2293:K3130,"0",B2293:B3130,"5 1 2 1 6 12 31111 6 M78 15000 171 00I 001*")</f>
        <v>0</v>
      </c>
      <c r="E2292"/>
      <c r="F2292" s="31">
        <f>SUMIFS(F2293:F3130,K2293:K3130,"0",B2293:B3130,"5 1 2 1 6 12 31111 6 M78 15000 171 00I 001*")</f>
        <v>228686</v>
      </c>
      <c r="G2292" s="31">
        <f>SUMIFS(G2293:G3130,K2293:K3130,"0",B2293:B3130,"5 1 2 1 6 12 31111 6 M78 15000 171 00I 001*")</f>
        <v>0</v>
      </c>
      <c r="H2292" s="31">
        <f t="shared" si="36"/>
        <v>228686</v>
      </c>
      <c r="I2292" s="31"/>
      <c r="K2292" t="s">
        <v>13</v>
      </c>
    </row>
    <row r="2293" spans="2:11" ht="13" x14ac:dyDescent="0.15">
      <c r="B2293" s="29" t="s">
        <v>2959</v>
      </c>
      <c r="C2293" s="29" t="s">
        <v>2939</v>
      </c>
      <c r="D2293" s="31">
        <f>SUMIFS(D2294:D3130,K2294:K3130,"0",B2294:B3130,"5 1 2 1 6 12 31111 6 M78 15000 171 00I 001 21601*")-SUMIFS(E2294:E3130,K2294:K3130,"0",B2294:B3130,"5 1 2 1 6 12 31111 6 M78 15000 171 00I 001 21601*")</f>
        <v>0</v>
      </c>
      <c r="E2293"/>
      <c r="F2293" s="31">
        <f>SUMIFS(F2294:F3130,K2294:K3130,"0",B2294:B3130,"5 1 2 1 6 12 31111 6 M78 15000 171 00I 001 21601*")</f>
        <v>228686</v>
      </c>
      <c r="G2293" s="31">
        <f>SUMIFS(G2294:G3130,K2294:K3130,"0",B2294:B3130,"5 1 2 1 6 12 31111 6 M78 15000 171 00I 001 21601*")</f>
        <v>0</v>
      </c>
      <c r="H2293" s="31">
        <f t="shared" si="36"/>
        <v>228686</v>
      </c>
      <c r="I2293" s="31"/>
      <c r="K2293" t="s">
        <v>13</v>
      </c>
    </row>
    <row r="2294" spans="2:11" ht="22" x14ac:dyDescent="0.15">
      <c r="B2294" s="29" t="s">
        <v>2960</v>
      </c>
      <c r="C2294" s="29" t="s">
        <v>290</v>
      </c>
      <c r="D2294" s="31">
        <f>SUMIFS(D2295:D3130,K2295:K3130,"0",B2295:B3130,"5 1 2 1 6 12 31111 6 M78 15000 171 00I 001 21601 025*")-SUMIFS(E2295:E3130,K2295:K3130,"0",B2295:B3130,"5 1 2 1 6 12 31111 6 M78 15000 171 00I 001 21601 025*")</f>
        <v>0</v>
      </c>
      <c r="E2294"/>
      <c r="F2294" s="31">
        <f>SUMIFS(F2295:F3130,K2295:K3130,"0",B2295:B3130,"5 1 2 1 6 12 31111 6 M78 15000 171 00I 001 21601 025*")</f>
        <v>228686</v>
      </c>
      <c r="G2294" s="31">
        <f>SUMIFS(G2295:G3130,K2295:K3130,"0",B2295:B3130,"5 1 2 1 6 12 31111 6 M78 15000 171 00I 001 21601 025*")</f>
        <v>0</v>
      </c>
      <c r="H2294" s="31">
        <f t="shared" si="36"/>
        <v>228686</v>
      </c>
      <c r="I2294" s="31"/>
      <c r="K2294" t="s">
        <v>13</v>
      </c>
    </row>
    <row r="2295" spans="2:11" ht="22" x14ac:dyDescent="0.15">
      <c r="B2295" s="29" t="s">
        <v>2961</v>
      </c>
      <c r="C2295" s="29" t="s">
        <v>595</v>
      </c>
      <c r="D2295" s="31">
        <f>SUMIFS(D2296:D3130,K2296:K3130,"0",B2296:B3130,"5 1 2 1 6 12 31111 6 M78 15000 171 00I 001 21601 025 2112000*")-SUMIFS(E2296:E3130,K2296:K3130,"0",B2296:B3130,"5 1 2 1 6 12 31111 6 M78 15000 171 00I 001 21601 025 2112000*")</f>
        <v>0</v>
      </c>
      <c r="E2295"/>
      <c r="F2295" s="31">
        <f>SUMIFS(F2296:F3130,K2296:K3130,"0",B2296:B3130,"5 1 2 1 6 12 31111 6 M78 15000 171 00I 001 21601 025 2112000*")</f>
        <v>228686</v>
      </c>
      <c r="G2295" s="31">
        <f>SUMIFS(G2296:G3130,K2296:K3130,"0",B2296:B3130,"5 1 2 1 6 12 31111 6 M78 15000 171 00I 001 21601 025 2112000*")</f>
        <v>0</v>
      </c>
      <c r="H2295" s="31">
        <f t="shared" si="36"/>
        <v>228686</v>
      </c>
      <c r="I2295" s="31"/>
      <c r="K2295" t="s">
        <v>13</v>
      </c>
    </row>
    <row r="2296" spans="2:11" ht="22" x14ac:dyDescent="0.15">
      <c r="B2296" s="29" t="s">
        <v>2962</v>
      </c>
      <c r="C2296" s="29" t="s">
        <v>275</v>
      </c>
      <c r="D2296" s="31">
        <f>SUMIFS(D2297:D3130,K2297:K3130,"0",B2297:B3130,"5 1 2 1 6 12 31111 6 M78 15000 171 00I 001 21601 025 2112000 2024*")-SUMIFS(E2297:E3130,K2297:K3130,"0",B2297:B3130,"5 1 2 1 6 12 31111 6 M78 15000 171 00I 001 21601 025 2112000 2024*")</f>
        <v>0</v>
      </c>
      <c r="E2296"/>
      <c r="F2296" s="31">
        <f>SUMIFS(F2297:F3130,K2297:K3130,"0",B2297:B3130,"5 1 2 1 6 12 31111 6 M78 15000 171 00I 001 21601 025 2112000 2024*")</f>
        <v>228686</v>
      </c>
      <c r="G2296" s="31">
        <f>SUMIFS(G2297:G3130,K2297:K3130,"0",B2297:B3130,"5 1 2 1 6 12 31111 6 M78 15000 171 00I 001 21601 025 2112000 2024*")</f>
        <v>0</v>
      </c>
      <c r="H2296" s="31">
        <f t="shared" si="36"/>
        <v>228686</v>
      </c>
      <c r="I2296" s="31"/>
      <c r="K2296" t="s">
        <v>13</v>
      </c>
    </row>
    <row r="2297" spans="2:11" ht="22" x14ac:dyDescent="0.15">
      <c r="B2297" s="29" t="s">
        <v>2963</v>
      </c>
      <c r="C2297" s="29" t="s">
        <v>277</v>
      </c>
      <c r="D2297" s="31">
        <f>SUMIFS(D2298:D3130,K2298:K3130,"0",B2298:B3130,"5 1 2 1 6 12 31111 6 M78 15000 171 00I 001 21601 025 2112000 2024 00000000*")-SUMIFS(E2298:E3130,K2298:K3130,"0",B2298:B3130,"5 1 2 1 6 12 31111 6 M78 15000 171 00I 001 21601 025 2112000 2024 00000000*")</f>
        <v>0</v>
      </c>
      <c r="E2297"/>
      <c r="F2297" s="31">
        <f>SUMIFS(F2298:F3130,K2298:K3130,"0",B2298:B3130,"5 1 2 1 6 12 31111 6 M78 15000 171 00I 001 21601 025 2112000 2024 00000000*")</f>
        <v>228686</v>
      </c>
      <c r="G2297" s="31">
        <f>SUMIFS(G2298:G3130,K2298:K3130,"0",B2298:B3130,"5 1 2 1 6 12 31111 6 M78 15000 171 00I 001 21601 025 2112000 2024 00000000*")</f>
        <v>0</v>
      </c>
      <c r="H2297" s="31">
        <f t="shared" si="36"/>
        <v>228686</v>
      </c>
      <c r="I2297" s="31"/>
      <c r="K2297" t="s">
        <v>13</v>
      </c>
    </row>
    <row r="2298" spans="2:11" ht="22" x14ac:dyDescent="0.15">
      <c r="B2298" s="29" t="s">
        <v>2964</v>
      </c>
      <c r="C2298" s="29" t="s">
        <v>581</v>
      </c>
      <c r="D2298" s="31">
        <f>SUMIFS(D2299:D3130,K2299:K3130,"0",B2299:B3130,"5 1 2 1 6 12 31111 6 M78 15000 171 00I 001 21601 025 2112000 2024 00000000 003*")-SUMIFS(E2299:E3130,K2299:K3130,"0",B2299:B3130,"5 1 2 1 6 12 31111 6 M78 15000 171 00I 001 21601 025 2112000 2024 00000000 003*")</f>
        <v>0</v>
      </c>
      <c r="E2298"/>
      <c r="F2298" s="31">
        <f>SUMIFS(F2299:F3130,K2299:K3130,"0",B2299:B3130,"5 1 2 1 6 12 31111 6 M78 15000 171 00I 001 21601 025 2112000 2024 00000000 003*")</f>
        <v>228686</v>
      </c>
      <c r="G2298" s="31">
        <f>SUMIFS(G2299:G3130,K2299:K3130,"0",B2299:B3130,"5 1 2 1 6 12 31111 6 M78 15000 171 00I 001 21601 025 2112000 2024 00000000 003*")</f>
        <v>0</v>
      </c>
      <c r="H2298" s="31">
        <f t="shared" si="36"/>
        <v>228686</v>
      </c>
      <c r="I2298" s="31"/>
      <c r="K2298" t="s">
        <v>13</v>
      </c>
    </row>
    <row r="2299" spans="2:11" ht="22" x14ac:dyDescent="0.15">
      <c r="B2299" s="27" t="s">
        <v>2965</v>
      </c>
      <c r="C2299" s="27" t="s">
        <v>2966</v>
      </c>
      <c r="D2299" s="30">
        <v>0</v>
      </c>
      <c r="E2299" s="30"/>
      <c r="F2299" s="30">
        <v>228686</v>
      </c>
      <c r="G2299" s="30">
        <v>0</v>
      </c>
      <c r="H2299" s="30">
        <f t="shared" si="36"/>
        <v>228686</v>
      </c>
      <c r="I2299" s="30"/>
      <c r="K2299" t="s">
        <v>37</v>
      </c>
    </row>
    <row r="2300" spans="2:11" ht="13" x14ac:dyDescent="0.15">
      <c r="B2300" s="29" t="s">
        <v>2967</v>
      </c>
      <c r="C2300" s="29" t="s">
        <v>2968</v>
      </c>
      <c r="D2300" s="31">
        <f>SUMIFS(D2301:D3130,K2301:K3130,"0",B2301:B3130,"5 1 2 2*")-SUMIFS(E2301:E3130,K2301:K3130,"0",B2301:B3130,"5 1 2 2*")</f>
        <v>0</v>
      </c>
      <c r="E2300"/>
      <c r="F2300" s="31">
        <f>SUMIFS(F2301:F3130,K2301:K3130,"0",B2301:B3130,"5 1 2 2*")</f>
        <v>98538.72</v>
      </c>
      <c r="G2300" s="31">
        <f>SUMIFS(G2301:G3130,K2301:K3130,"0",B2301:B3130,"5 1 2 2*")</f>
        <v>0</v>
      </c>
      <c r="H2300" s="31">
        <f t="shared" si="36"/>
        <v>98538.72</v>
      </c>
      <c r="I2300" s="31"/>
      <c r="K2300" t="s">
        <v>13</v>
      </c>
    </row>
    <row r="2301" spans="2:11" ht="13" x14ac:dyDescent="0.15">
      <c r="B2301" s="29" t="s">
        <v>2969</v>
      </c>
      <c r="C2301" s="29" t="s">
        <v>2970</v>
      </c>
      <c r="D2301" s="31">
        <f>SUMIFS(D2302:D3130,K2302:K3130,"0",B2302:B3130,"5 1 2 2 1*")-SUMIFS(E2302:E3130,K2302:K3130,"0",B2302:B3130,"5 1 2 2 1*")</f>
        <v>0</v>
      </c>
      <c r="E2301"/>
      <c r="F2301" s="31">
        <f>SUMIFS(F2302:F3130,K2302:K3130,"0",B2302:B3130,"5 1 2 2 1*")</f>
        <v>97914.72</v>
      </c>
      <c r="G2301" s="31">
        <f>SUMIFS(G2302:G3130,K2302:K3130,"0",B2302:B3130,"5 1 2 2 1*")</f>
        <v>0</v>
      </c>
      <c r="H2301" s="31">
        <f t="shared" si="36"/>
        <v>97914.72</v>
      </c>
      <c r="I2301" s="31"/>
      <c r="K2301" t="s">
        <v>13</v>
      </c>
    </row>
    <row r="2302" spans="2:11" ht="13" x14ac:dyDescent="0.15">
      <c r="B2302" s="29" t="s">
        <v>2971</v>
      </c>
      <c r="C2302" s="29" t="s">
        <v>24</v>
      </c>
      <c r="D2302" s="31">
        <f>SUMIFS(D2303:D3130,K2303:K3130,"0",B2303:B3130,"5 1 2 2 1 12*")-SUMIFS(E2303:E3130,K2303:K3130,"0",B2303:B3130,"5 1 2 2 1 12*")</f>
        <v>0</v>
      </c>
      <c r="E2302"/>
      <c r="F2302" s="31">
        <f>SUMIFS(F2303:F3130,K2303:K3130,"0",B2303:B3130,"5 1 2 2 1 12*")</f>
        <v>97914.72</v>
      </c>
      <c r="G2302" s="31">
        <f>SUMIFS(G2303:G3130,K2303:K3130,"0",B2303:B3130,"5 1 2 2 1 12*")</f>
        <v>0</v>
      </c>
      <c r="H2302" s="31">
        <f t="shared" si="36"/>
        <v>97914.72</v>
      </c>
      <c r="I2302" s="31"/>
      <c r="K2302" t="s">
        <v>13</v>
      </c>
    </row>
    <row r="2303" spans="2:11" ht="13" x14ac:dyDescent="0.15">
      <c r="B2303" s="29" t="s">
        <v>2972</v>
      </c>
      <c r="C2303" s="29" t="s">
        <v>26</v>
      </c>
      <c r="D2303" s="31">
        <f>SUMIFS(D2304:D3130,K2304:K3130,"0",B2304:B3130,"5 1 2 2 1 12 31111*")-SUMIFS(E2304:E3130,K2304:K3130,"0",B2304:B3130,"5 1 2 2 1 12 31111*")</f>
        <v>0</v>
      </c>
      <c r="E2303"/>
      <c r="F2303" s="31">
        <f>SUMIFS(F2304:F3130,K2304:K3130,"0",B2304:B3130,"5 1 2 2 1 12 31111*")</f>
        <v>97914.72</v>
      </c>
      <c r="G2303" s="31">
        <f>SUMIFS(G2304:G3130,K2304:K3130,"0",B2304:B3130,"5 1 2 2 1 12 31111*")</f>
        <v>0</v>
      </c>
      <c r="H2303" s="31">
        <f t="shared" si="36"/>
        <v>97914.72</v>
      </c>
      <c r="I2303" s="31"/>
      <c r="K2303" t="s">
        <v>13</v>
      </c>
    </row>
    <row r="2304" spans="2:11" ht="13" x14ac:dyDescent="0.15">
      <c r="B2304" s="29" t="s">
        <v>2973</v>
      </c>
      <c r="C2304" s="29" t="s">
        <v>28</v>
      </c>
      <c r="D2304" s="31">
        <f>SUMIFS(D2305:D3130,K2305:K3130,"0",B2305:B3130,"5 1 2 2 1 12 31111 6*")-SUMIFS(E2305:E3130,K2305:K3130,"0",B2305:B3130,"5 1 2 2 1 12 31111 6*")</f>
        <v>0</v>
      </c>
      <c r="E2304"/>
      <c r="F2304" s="31">
        <f>SUMIFS(F2305:F3130,K2305:K3130,"0",B2305:B3130,"5 1 2 2 1 12 31111 6*")</f>
        <v>97914.72</v>
      </c>
      <c r="G2304" s="31">
        <f>SUMIFS(G2305:G3130,K2305:K3130,"0",B2305:B3130,"5 1 2 2 1 12 31111 6*")</f>
        <v>0</v>
      </c>
      <c r="H2304" s="31">
        <f t="shared" si="36"/>
        <v>97914.72</v>
      </c>
      <c r="I2304" s="31"/>
      <c r="K2304" t="s">
        <v>13</v>
      </c>
    </row>
    <row r="2305" spans="2:11" ht="13" x14ac:dyDescent="0.15">
      <c r="B2305" s="29" t="s">
        <v>2974</v>
      </c>
      <c r="C2305" s="29" t="s">
        <v>1567</v>
      </c>
      <c r="D2305" s="31">
        <f>SUMIFS(D2306:D3130,K2306:K3130,"0",B2306:B3130,"5 1 2 2 1 12 31111 6 M78*")-SUMIFS(E2306:E3130,K2306:K3130,"0",B2306:B3130,"5 1 2 2 1 12 31111 6 M78*")</f>
        <v>0</v>
      </c>
      <c r="E2305"/>
      <c r="F2305" s="31">
        <f>SUMIFS(F2306:F3130,K2306:K3130,"0",B2306:B3130,"5 1 2 2 1 12 31111 6 M78*")</f>
        <v>97914.72</v>
      </c>
      <c r="G2305" s="31">
        <f>SUMIFS(G2306:G3130,K2306:K3130,"0",B2306:B3130,"5 1 2 2 1 12 31111 6 M78*")</f>
        <v>0</v>
      </c>
      <c r="H2305" s="31">
        <f t="shared" si="36"/>
        <v>97914.72</v>
      </c>
      <c r="I2305" s="31"/>
      <c r="K2305" t="s">
        <v>13</v>
      </c>
    </row>
    <row r="2306" spans="2:11" ht="13" x14ac:dyDescent="0.15">
      <c r="B2306" s="29" t="s">
        <v>2975</v>
      </c>
      <c r="C2306" s="29" t="s">
        <v>8</v>
      </c>
      <c r="D2306" s="31">
        <f>SUMIFS(D2307:D3130,K2307:K3130,"0",B2307:B3130,"5 1 2 2 1 12 31111 6 M78 07000*")-SUMIFS(E2307:E3130,K2307:K3130,"0",B2307:B3130,"5 1 2 2 1 12 31111 6 M78 07000*")</f>
        <v>0</v>
      </c>
      <c r="E2306"/>
      <c r="F2306" s="31">
        <f>SUMIFS(F2307:F3130,K2307:K3130,"0",B2307:B3130,"5 1 2 2 1 12 31111 6 M78 07000*")</f>
        <v>7214.72</v>
      </c>
      <c r="G2306" s="31">
        <f>SUMIFS(G2307:G3130,K2307:K3130,"0",B2307:B3130,"5 1 2 2 1 12 31111 6 M78 07000*")</f>
        <v>0</v>
      </c>
      <c r="H2306" s="31">
        <f t="shared" si="36"/>
        <v>7214.72</v>
      </c>
      <c r="I2306" s="31"/>
      <c r="K2306" t="s">
        <v>13</v>
      </c>
    </row>
    <row r="2307" spans="2:11" ht="13" x14ac:dyDescent="0.15">
      <c r="B2307" s="29" t="s">
        <v>2976</v>
      </c>
      <c r="C2307" s="29" t="s">
        <v>588</v>
      </c>
      <c r="D2307" s="31">
        <f>SUMIFS(D2308:D3130,K2308:K3130,"0",B2308:B3130,"5 1 2 2 1 12 31111 6 M78 07000 151*")-SUMIFS(E2308:E3130,K2308:K3130,"0",B2308:B3130,"5 1 2 2 1 12 31111 6 M78 07000 151*")</f>
        <v>0</v>
      </c>
      <c r="E2307"/>
      <c r="F2307" s="31">
        <f>SUMIFS(F2308:F3130,K2308:K3130,"0",B2308:B3130,"5 1 2 2 1 12 31111 6 M78 07000 151*")</f>
        <v>7214.72</v>
      </c>
      <c r="G2307" s="31">
        <f>SUMIFS(G2308:G3130,K2308:K3130,"0",B2308:B3130,"5 1 2 2 1 12 31111 6 M78 07000 151*")</f>
        <v>0</v>
      </c>
      <c r="H2307" s="31">
        <f t="shared" si="36"/>
        <v>7214.72</v>
      </c>
      <c r="I2307" s="31"/>
      <c r="K2307" t="s">
        <v>13</v>
      </c>
    </row>
    <row r="2308" spans="2:11" ht="13" x14ac:dyDescent="0.15">
      <c r="B2308" s="29" t="s">
        <v>2977</v>
      </c>
      <c r="C2308" s="29" t="s">
        <v>265</v>
      </c>
      <c r="D2308" s="31">
        <f>SUMIFS(D2309:D3130,K2309:K3130,"0",B2309:B3130,"5 1 2 2 1 12 31111 6 M78 07000 151 00C*")-SUMIFS(E2309:E3130,K2309:K3130,"0",B2309:B3130,"5 1 2 2 1 12 31111 6 M78 07000 151 00C*")</f>
        <v>0</v>
      </c>
      <c r="E2308"/>
      <c r="F2308" s="31">
        <f>SUMIFS(F2309:F3130,K2309:K3130,"0",B2309:B3130,"5 1 2 2 1 12 31111 6 M78 07000 151 00C*")</f>
        <v>7214.72</v>
      </c>
      <c r="G2308" s="31">
        <f>SUMIFS(G2309:G3130,K2309:K3130,"0",B2309:B3130,"5 1 2 2 1 12 31111 6 M78 07000 151 00C*")</f>
        <v>0</v>
      </c>
      <c r="H2308" s="31">
        <f t="shared" si="36"/>
        <v>7214.72</v>
      </c>
      <c r="I2308" s="31"/>
      <c r="K2308" t="s">
        <v>13</v>
      </c>
    </row>
    <row r="2309" spans="2:11" ht="13" x14ac:dyDescent="0.15">
      <c r="B2309" s="29" t="s">
        <v>2978</v>
      </c>
      <c r="C2309" s="29" t="s">
        <v>32</v>
      </c>
      <c r="D2309" s="31">
        <f>SUMIFS(D2310:D3130,K2310:K3130,"0",B2310:B3130,"5 1 2 2 1 12 31111 6 M78 07000 151 00C 001*")-SUMIFS(E2310:E3130,K2310:K3130,"0",B2310:B3130,"5 1 2 2 1 12 31111 6 M78 07000 151 00C 001*")</f>
        <v>0</v>
      </c>
      <c r="E2309"/>
      <c r="F2309" s="31">
        <f>SUMIFS(F2310:F3130,K2310:K3130,"0",B2310:B3130,"5 1 2 2 1 12 31111 6 M78 07000 151 00C 001*")</f>
        <v>7214.72</v>
      </c>
      <c r="G2309" s="31">
        <f>SUMIFS(G2310:G3130,K2310:K3130,"0",B2310:B3130,"5 1 2 2 1 12 31111 6 M78 07000 151 00C 001*")</f>
        <v>0</v>
      </c>
      <c r="H2309" s="31">
        <f t="shared" si="36"/>
        <v>7214.72</v>
      </c>
      <c r="I2309" s="31"/>
      <c r="K2309" t="s">
        <v>13</v>
      </c>
    </row>
    <row r="2310" spans="2:11" ht="22" x14ac:dyDescent="0.15">
      <c r="B2310" s="29" t="s">
        <v>2979</v>
      </c>
      <c r="C2310" s="29" t="s">
        <v>2980</v>
      </c>
      <c r="D2310" s="31">
        <f>SUMIFS(D2311:D3130,K2311:K3130,"0",B2311:B3130,"5 1 2 2 1 12 31111 6 M78 07000 151 00C 001 22104*")-SUMIFS(E2311:E3130,K2311:K3130,"0",B2311:B3130,"5 1 2 2 1 12 31111 6 M78 07000 151 00C 001 22104*")</f>
        <v>0</v>
      </c>
      <c r="E2310"/>
      <c r="F2310" s="31">
        <f>SUMIFS(F2311:F3130,K2311:K3130,"0",B2311:B3130,"5 1 2 2 1 12 31111 6 M78 07000 151 00C 001 22104*")</f>
        <v>7214.72</v>
      </c>
      <c r="G2310" s="31">
        <f>SUMIFS(G2311:G3130,K2311:K3130,"0",B2311:B3130,"5 1 2 2 1 12 31111 6 M78 07000 151 00C 001 22104*")</f>
        <v>0</v>
      </c>
      <c r="H2310" s="31">
        <f t="shared" si="36"/>
        <v>7214.72</v>
      </c>
      <c r="I2310" s="31"/>
      <c r="K2310" t="s">
        <v>13</v>
      </c>
    </row>
    <row r="2311" spans="2:11" ht="22" x14ac:dyDescent="0.15">
      <c r="B2311" s="29" t="s">
        <v>2981</v>
      </c>
      <c r="C2311" s="29" t="s">
        <v>271</v>
      </c>
      <c r="D2311" s="31">
        <f>SUMIFS(D2312:D3130,K2312:K3130,"0",B2312:B3130,"5 1 2 2 1 12 31111 6 M78 07000 151 00C 001 22104 015*")-SUMIFS(E2312:E3130,K2312:K3130,"0",B2312:B3130,"5 1 2 2 1 12 31111 6 M78 07000 151 00C 001 22104 015*")</f>
        <v>0</v>
      </c>
      <c r="E2311"/>
      <c r="F2311" s="31">
        <f>SUMIFS(F2312:F3130,K2312:K3130,"0",B2312:B3130,"5 1 2 2 1 12 31111 6 M78 07000 151 00C 001 22104 015*")</f>
        <v>7214.72</v>
      </c>
      <c r="G2311" s="31">
        <f>SUMIFS(G2312:G3130,K2312:K3130,"0",B2312:B3130,"5 1 2 2 1 12 31111 6 M78 07000 151 00C 001 22104 015*")</f>
        <v>0</v>
      </c>
      <c r="H2311" s="31">
        <f t="shared" si="36"/>
        <v>7214.72</v>
      </c>
      <c r="I2311" s="31"/>
      <c r="K2311" t="s">
        <v>13</v>
      </c>
    </row>
    <row r="2312" spans="2:11" ht="22" x14ac:dyDescent="0.15">
      <c r="B2312" s="29" t="s">
        <v>2982</v>
      </c>
      <c r="C2312" s="29" t="s">
        <v>595</v>
      </c>
      <c r="D2312" s="31">
        <f>SUMIFS(D2313:D3130,K2313:K3130,"0",B2313:B3130,"5 1 2 2 1 12 31111 6 M78 07000 151 00C 001 22104 015 2112000*")-SUMIFS(E2313:E3130,K2313:K3130,"0",B2313:B3130,"5 1 2 2 1 12 31111 6 M78 07000 151 00C 001 22104 015 2112000*")</f>
        <v>0</v>
      </c>
      <c r="E2312"/>
      <c r="F2312" s="31">
        <f>SUMIFS(F2313:F3130,K2313:K3130,"0",B2313:B3130,"5 1 2 2 1 12 31111 6 M78 07000 151 00C 001 22104 015 2112000*")</f>
        <v>7214.72</v>
      </c>
      <c r="G2312" s="31">
        <f>SUMIFS(G2313:G3130,K2313:K3130,"0",B2313:B3130,"5 1 2 2 1 12 31111 6 M78 07000 151 00C 001 22104 015 2112000*")</f>
        <v>0</v>
      </c>
      <c r="H2312" s="31">
        <f t="shared" si="36"/>
        <v>7214.72</v>
      </c>
      <c r="I2312" s="31"/>
      <c r="K2312" t="s">
        <v>13</v>
      </c>
    </row>
    <row r="2313" spans="2:11" ht="22" x14ac:dyDescent="0.15">
      <c r="B2313" s="29" t="s">
        <v>2983</v>
      </c>
      <c r="C2313" s="29" t="s">
        <v>275</v>
      </c>
      <c r="D2313" s="31">
        <f>SUMIFS(D2314:D3130,K2314:K3130,"0",B2314:B3130,"5 1 2 2 1 12 31111 6 M78 07000 151 00C 001 22104 015 2112000 2024*")-SUMIFS(E2314:E3130,K2314:K3130,"0",B2314:B3130,"5 1 2 2 1 12 31111 6 M78 07000 151 00C 001 22104 015 2112000 2024*")</f>
        <v>0</v>
      </c>
      <c r="E2313"/>
      <c r="F2313" s="31">
        <f>SUMIFS(F2314:F3130,K2314:K3130,"0",B2314:B3130,"5 1 2 2 1 12 31111 6 M78 07000 151 00C 001 22104 015 2112000 2024*")</f>
        <v>7214.72</v>
      </c>
      <c r="G2313" s="31">
        <f>SUMIFS(G2314:G3130,K2314:K3130,"0",B2314:B3130,"5 1 2 2 1 12 31111 6 M78 07000 151 00C 001 22104 015 2112000 2024*")</f>
        <v>0</v>
      </c>
      <c r="H2313" s="31">
        <f t="shared" si="36"/>
        <v>7214.72</v>
      </c>
      <c r="I2313" s="31"/>
      <c r="K2313" t="s">
        <v>13</v>
      </c>
    </row>
    <row r="2314" spans="2:11" ht="22" x14ac:dyDescent="0.15">
      <c r="B2314" s="29" t="s">
        <v>2984</v>
      </c>
      <c r="C2314" s="29" t="s">
        <v>277</v>
      </c>
      <c r="D2314" s="31">
        <f>SUMIFS(D2315:D3130,K2315:K3130,"0",B2315:B3130,"5 1 2 2 1 12 31111 6 M78 07000 151 00C 001 22104 015 2112000 2024 00000000*")-SUMIFS(E2315:E3130,K2315:K3130,"0",B2315:B3130,"5 1 2 2 1 12 31111 6 M78 07000 151 00C 001 22104 015 2112000 2024 00000000*")</f>
        <v>0</v>
      </c>
      <c r="E2314"/>
      <c r="F2314" s="31">
        <f>SUMIFS(F2315:F3130,K2315:K3130,"0",B2315:B3130,"5 1 2 2 1 12 31111 6 M78 07000 151 00C 001 22104 015 2112000 2024 00000000*")</f>
        <v>7214.72</v>
      </c>
      <c r="G2314" s="31">
        <f>SUMIFS(G2315:G3130,K2315:K3130,"0",B2315:B3130,"5 1 2 2 1 12 31111 6 M78 07000 151 00C 001 22104 015 2112000 2024 00000000*")</f>
        <v>0</v>
      </c>
      <c r="H2314" s="31">
        <f t="shared" si="36"/>
        <v>7214.72</v>
      </c>
      <c r="I2314" s="31"/>
      <c r="K2314" t="s">
        <v>13</v>
      </c>
    </row>
    <row r="2315" spans="2:11" ht="22" x14ac:dyDescent="0.15">
      <c r="B2315" s="29" t="s">
        <v>2985</v>
      </c>
      <c r="C2315" s="29" t="s">
        <v>32</v>
      </c>
      <c r="D2315" s="31">
        <f>SUMIFS(D2316:D3130,K2316:K3130,"0",B2316:B3130,"5 1 2 2 1 12 31111 6 M78 07000 151 00C 001 22104 015 2112000 2024 00000000 001*")-SUMIFS(E2316:E3130,K2316:K3130,"0",B2316:B3130,"5 1 2 2 1 12 31111 6 M78 07000 151 00C 001 22104 015 2112000 2024 00000000 001*")</f>
        <v>0</v>
      </c>
      <c r="E2315"/>
      <c r="F2315" s="31">
        <f>SUMIFS(F2316:F3130,K2316:K3130,"0",B2316:B3130,"5 1 2 2 1 12 31111 6 M78 07000 151 00C 001 22104 015 2112000 2024 00000000 001*")</f>
        <v>7214.72</v>
      </c>
      <c r="G2315" s="31">
        <f>SUMIFS(G2316:G3130,K2316:K3130,"0",B2316:B3130,"5 1 2 2 1 12 31111 6 M78 07000 151 00C 001 22104 015 2112000 2024 00000000 001*")</f>
        <v>0</v>
      </c>
      <c r="H2315" s="31">
        <f t="shared" ref="H2315:H2378" si="37">D2315 + F2315 - G2315</f>
        <v>7214.72</v>
      </c>
      <c r="I2315" s="31"/>
      <c r="K2315" t="s">
        <v>13</v>
      </c>
    </row>
    <row r="2316" spans="2:11" ht="22" x14ac:dyDescent="0.15">
      <c r="B2316" s="27" t="s">
        <v>2986</v>
      </c>
      <c r="C2316" s="27" t="s">
        <v>2987</v>
      </c>
      <c r="D2316" s="30">
        <v>0</v>
      </c>
      <c r="E2316" s="30"/>
      <c r="F2316" s="30">
        <v>7214.72</v>
      </c>
      <c r="G2316" s="30">
        <v>0</v>
      </c>
      <c r="H2316" s="30">
        <f t="shared" si="37"/>
        <v>7214.72</v>
      </c>
      <c r="I2316" s="30"/>
      <c r="K2316" t="s">
        <v>37</v>
      </c>
    </row>
    <row r="2317" spans="2:11" ht="13" x14ac:dyDescent="0.15">
      <c r="B2317" s="29" t="s">
        <v>2988</v>
      </c>
      <c r="C2317" s="29" t="s">
        <v>833</v>
      </c>
      <c r="D2317" s="31">
        <f>SUMIFS(D2318:D3130,K2318:K3130,"0",B2318:B3130,"5 1 2 2 1 12 31111 6 M78 15000*")-SUMIFS(E2318:E3130,K2318:K3130,"0",B2318:B3130,"5 1 2 2 1 12 31111 6 M78 15000*")</f>
        <v>0</v>
      </c>
      <c r="E2317"/>
      <c r="F2317" s="31">
        <f>SUMIFS(F2318:F3130,K2318:K3130,"0",B2318:B3130,"5 1 2 2 1 12 31111 6 M78 15000*")</f>
        <v>90700</v>
      </c>
      <c r="G2317" s="31">
        <f>SUMIFS(G2318:G3130,K2318:K3130,"0",B2318:B3130,"5 1 2 2 1 12 31111 6 M78 15000*")</f>
        <v>0</v>
      </c>
      <c r="H2317" s="31">
        <f t="shared" si="37"/>
        <v>90700</v>
      </c>
      <c r="I2317" s="31"/>
      <c r="K2317" t="s">
        <v>13</v>
      </c>
    </row>
    <row r="2318" spans="2:11" ht="13" x14ac:dyDescent="0.15">
      <c r="B2318" s="29" t="s">
        <v>2989</v>
      </c>
      <c r="C2318" s="29" t="s">
        <v>835</v>
      </c>
      <c r="D2318" s="31">
        <f>SUMIFS(D2319:D3130,K2319:K3130,"0",B2319:B3130,"5 1 2 2 1 12 31111 6 M78 15000 171*")-SUMIFS(E2319:E3130,K2319:K3130,"0",B2319:B3130,"5 1 2 2 1 12 31111 6 M78 15000 171*")</f>
        <v>0</v>
      </c>
      <c r="E2318"/>
      <c r="F2318" s="31">
        <f>SUMIFS(F2319:F3130,K2319:K3130,"0",B2319:B3130,"5 1 2 2 1 12 31111 6 M78 15000 171*")</f>
        <v>90700</v>
      </c>
      <c r="G2318" s="31">
        <f>SUMIFS(G2319:G3130,K2319:K3130,"0",B2319:B3130,"5 1 2 2 1 12 31111 6 M78 15000 171*")</f>
        <v>0</v>
      </c>
      <c r="H2318" s="31">
        <f t="shared" si="37"/>
        <v>90700</v>
      </c>
      <c r="I2318" s="31"/>
      <c r="K2318" t="s">
        <v>13</v>
      </c>
    </row>
    <row r="2319" spans="2:11" ht="13" x14ac:dyDescent="0.15">
      <c r="B2319" s="29" t="s">
        <v>2990</v>
      </c>
      <c r="C2319" s="29" t="s">
        <v>285</v>
      </c>
      <c r="D2319" s="31">
        <f>SUMIFS(D2320:D3130,K2320:K3130,"0",B2320:B3130,"5 1 2 2 1 12 31111 6 M78 15000 171 00I*")-SUMIFS(E2320:E3130,K2320:K3130,"0",B2320:B3130,"5 1 2 2 1 12 31111 6 M78 15000 171 00I*")</f>
        <v>0</v>
      </c>
      <c r="E2319"/>
      <c r="F2319" s="31">
        <f>SUMIFS(F2320:F3130,K2320:K3130,"0",B2320:B3130,"5 1 2 2 1 12 31111 6 M78 15000 171 00I*")</f>
        <v>90700</v>
      </c>
      <c r="G2319" s="31">
        <f>SUMIFS(G2320:G3130,K2320:K3130,"0",B2320:B3130,"5 1 2 2 1 12 31111 6 M78 15000 171 00I*")</f>
        <v>0</v>
      </c>
      <c r="H2319" s="31">
        <f t="shared" si="37"/>
        <v>90700</v>
      </c>
      <c r="I2319" s="31"/>
      <c r="K2319" t="s">
        <v>13</v>
      </c>
    </row>
    <row r="2320" spans="2:11" ht="13" x14ac:dyDescent="0.15">
      <c r="B2320" s="29" t="s">
        <v>2991</v>
      </c>
      <c r="C2320" s="29" t="s">
        <v>32</v>
      </c>
      <c r="D2320" s="31">
        <f>SUMIFS(D2321:D3130,K2321:K3130,"0",B2321:B3130,"5 1 2 2 1 12 31111 6 M78 15000 171 00I 001*")-SUMIFS(E2321:E3130,K2321:K3130,"0",B2321:B3130,"5 1 2 2 1 12 31111 6 M78 15000 171 00I 001*")</f>
        <v>0</v>
      </c>
      <c r="E2320"/>
      <c r="F2320" s="31">
        <f>SUMIFS(F2321:F3130,K2321:K3130,"0",B2321:B3130,"5 1 2 2 1 12 31111 6 M78 15000 171 00I 001*")</f>
        <v>90700</v>
      </c>
      <c r="G2320" s="31">
        <f>SUMIFS(G2321:G3130,K2321:K3130,"0",B2321:B3130,"5 1 2 2 1 12 31111 6 M78 15000 171 00I 001*")</f>
        <v>0</v>
      </c>
      <c r="H2320" s="31">
        <f t="shared" si="37"/>
        <v>90700</v>
      </c>
      <c r="I2320" s="31"/>
      <c r="K2320" t="s">
        <v>13</v>
      </c>
    </row>
    <row r="2321" spans="2:11" ht="22" x14ac:dyDescent="0.15">
      <c r="B2321" s="29" t="s">
        <v>2992</v>
      </c>
      <c r="C2321" s="29" t="s">
        <v>2980</v>
      </c>
      <c r="D2321" s="31">
        <f>SUMIFS(D2322:D3130,K2322:K3130,"0",B2322:B3130,"5 1 2 2 1 12 31111 6 M78 15000 171 00I 001 22104*")-SUMIFS(E2322:E3130,K2322:K3130,"0",B2322:B3130,"5 1 2 2 1 12 31111 6 M78 15000 171 00I 001 22104*")</f>
        <v>0</v>
      </c>
      <c r="E2321"/>
      <c r="F2321" s="31">
        <f>SUMIFS(F2322:F3130,K2322:K3130,"0",B2322:B3130,"5 1 2 2 1 12 31111 6 M78 15000 171 00I 001 22104*")</f>
        <v>90700</v>
      </c>
      <c r="G2321" s="31">
        <f>SUMIFS(G2322:G3130,K2322:K3130,"0",B2322:B3130,"5 1 2 2 1 12 31111 6 M78 15000 171 00I 001 22104*")</f>
        <v>0</v>
      </c>
      <c r="H2321" s="31">
        <f t="shared" si="37"/>
        <v>90700</v>
      </c>
      <c r="I2321" s="31"/>
      <c r="K2321" t="s">
        <v>13</v>
      </c>
    </row>
    <row r="2322" spans="2:11" ht="22" x14ac:dyDescent="0.15">
      <c r="B2322" s="29" t="s">
        <v>2993</v>
      </c>
      <c r="C2322" s="29" t="s">
        <v>290</v>
      </c>
      <c r="D2322" s="31">
        <f>SUMIFS(D2323:D3130,K2323:K3130,"0",B2323:B3130,"5 1 2 2 1 12 31111 6 M78 15000 171 00I 001 22104 025*")-SUMIFS(E2323:E3130,K2323:K3130,"0",B2323:B3130,"5 1 2 2 1 12 31111 6 M78 15000 171 00I 001 22104 025*")</f>
        <v>0</v>
      </c>
      <c r="E2322"/>
      <c r="F2322" s="31">
        <f>SUMIFS(F2323:F3130,K2323:K3130,"0",B2323:B3130,"5 1 2 2 1 12 31111 6 M78 15000 171 00I 001 22104 025*")</f>
        <v>90700</v>
      </c>
      <c r="G2322" s="31">
        <f>SUMIFS(G2323:G3130,K2323:K3130,"0",B2323:B3130,"5 1 2 2 1 12 31111 6 M78 15000 171 00I 001 22104 025*")</f>
        <v>0</v>
      </c>
      <c r="H2322" s="31">
        <f t="shared" si="37"/>
        <v>90700</v>
      </c>
      <c r="I2322" s="31"/>
      <c r="K2322" t="s">
        <v>13</v>
      </c>
    </row>
    <row r="2323" spans="2:11" ht="22" x14ac:dyDescent="0.15">
      <c r="B2323" s="29" t="s">
        <v>2994</v>
      </c>
      <c r="C2323" s="29" t="s">
        <v>595</v>
      </c>
      <c r="D2323" s="31">
        <f>SUMIFS(D2324:D3130,K2324:K3130,"0",B2324:B3130,"5 1 2 2 1 12 31111 6 M78 15000 171 00I 001 22104 025 2112000*")-SUMIFS(E2324:E3130,K2324:K3130,"0",B2324:B3130,"5 1 2 2 1 12 31111 6 M78 15000 171 00I 001 22104 025 2112000*")</f>
        <v>0</v>
      </c>
      <c r="E2323"/>
      <c r="F2323" s="31">
        <f>SUMIFS(F2324:F3130,K2324:K3130,"0",B2324:B3130,"5 1 2 2 1 12 31111 6 M78 15000 171 00I 001 22104 025 2112000*")</f>
        <v>90700</v>
      </c>
      <c r="G2323" s="31">
        <f>SUMIFS(G2324:G3130,K2324:K3130,"0",B2324:B3130,"5 1 2 2 1 12 31111 6 M78 15000 171 00I 001 22104 025 2112000*")</f>
        <v>0</v>
      </c>
      <c r="H2323" s="31">
        <f t="shared" si="37"/>
        <v>90700</v>
      </c>
      <c r="I2323" s="31"/>
      <c r="K2323" t="s">
        <v>13</v>
      </c>
    </row>
    <row r="2324" spans="2:11" ht="22" x14ac:dyDescent="0.15">
      <c r="B2324" s="29" t="s">
        <v>2995</v>
      </c>
      <c r="C2324" s="29" t="s">
        <v>275</v>
      </c>
      <c r="D2324" s="31">
        <f>SUMIFS(D2325:D3130,K2325:K3130,"0",B2325:B3130,"5 1 2 2 1 12 31111 6 M78 15000 171 00I 001 22104 025 2112000 2024*")-SUMIFS(E2325:E3130,K2325:K3130,"0",B2325:B3130,"5 1 2 2 1 12 31111 6 M78 15000 171 00I 001 22104 025 2112000 2024*")</f>
        <v>0</v>
      </c>
      <c r="E2324"/>
      <c r="F2324" s="31">
        <f>SUMIFS(F2325:F3130,K2325:K3130,"0",B2325:B3130,"5 1 2 2 1 12 31111 6 M78 15000 171 00I 001 22104 025 2112000 2024*")</f>
        <v>90700</v>
      </c>
      <c r="G2324" s="31">
        <f>SUMIFS(G2325:G3130,K2325:K3130,"0",B2325:B3130,"5 1 2 2 1 12 31111 6 M78 15000 171 00I 001 22104 025 2112000 2024*")</f>
        <v>0</v>
      </c>
      <c r="H2324" s="31">
        <f t="shared" si="37"/>
        <v>90700</v>
      </c>
      <c r="I2324" s="31"/>
      <c r="K2324" t="s">
        <v>13</v>
      </c>
    </row>
    <row r="2325" spans="2:11" ht="22" x14ac:dyDescent="0.15">
      <c r="B2325" s="29" t="s">
        <v>2996</v>
      </c>
      <c r="C2325" s="29" t="s">
        <v>277</v>
      </c>
      <c r="D2325" s="31">
        <f>SUMIFS(D2326:D3130,K2326:K3130,"0",B2326:B3130,"5 1 2 2 1 12 31111 6 M78 15000 171 00I 001 22104 025 2112000 2024 00000000*")-SUMIFS(E2326:E3130,K2326:K3130,"0",B2326:B3130,"5 1 2 2 1 12 31111 6 M78 15000 171 00I 001 22104 025 2112000 2024 00000000*")</f>
        <v>0</v>
      </c>
      <c r="E2325"/>
      <c r="F2325" s="31">
        <f>SUMIFS(F2326:F3130,K2326:K3130,"0",B2326:B3130,"5 1 2 2 1 12 31111 6 M78 15000 171 00I 001 22104 025 2112000 2024 00000000*")</f>
        <v>90700</v>
      </c>
      <c r="G2325" s="31">
        <f>SUMIFS(G2326:G3130,K2326:K3130,"0",B2326:B3130,"5 1 2 2 1 12 31111 6 M78 15000 171 00I 001 22104 025 2112000 2024 00000000*")</f>
        <v>0</v>
      </c>
      <c r="H2325" s="31">
        <f t="shared" si="37"/>
        <v>90700</v>
      </c>
      <c r="I2325" s="31"/>
      <c r="K2325" t="s">
        <v>13</v>
      </c>
    </row>
    <row r="2326" spans="2:11" ht="22" x14ac:dyDescent="0.15">
      <c r="B2326" s="29" t="s">
        <v>2997</v>
      </c>
      <c r="C2326" s="29" t="s">
        <v>581</v>
      </c>
      <c r="D2326" s="31">
        <f>SUMIFS(D2327:D3130,K2327:K3130,"0",B2327:B3130,"5 1 2 2 1 12 31111 6 M78 15000 171 00I 001 22104 025 2112000 2024 00000000 003*")-SUMIFS(E2327:E3130,K2327:K3130,"0",B2327:B3130,"5 1 2 2 1 12 31111 6 M78 15000 171 00I 001 22104 025 2112000 2024 00000000 003*")</f>
        <v>0</v>
      </c>
      <c r="E2326"/>
      <c r="F2326" s="31">
        <f>SUMIFS(F2327:F3130,K2327:K3130,"0",B2327:B3130,"5 1 2 2 1 12 31111 6 M78 15000 171 00I 001 22104 025 2112000 2024 00000000 003*")</f>
        <v>90700</v>
      </c>
      <c r="G2326" s="31">
        <f>SUMIFS(G2327:G3130,K2327:K3130,"0",B2327:B3130,"5 1 2 2 1 12 31111 6 M78 15000 171 00I 001 22104 025 2112000 2024 00000000 003*")</f>
        <v>0</v>
      </c>
      <c r="H2326" s="31">
        <f t="shared" si="37"/>
        <v>90700</v>
      </c>
      <c r="I2326" s="31"/>
      <c r="K2326" t="s">
        <v>13</v>
      </c>
    </row>
    <row r="2327" spans="2:11" ht="22" x14ac:dyDescent="0.15">
      <c r="B2327" s="27" t="s">
        <v>2998</v>
      </c>
      <c r="C2327" s="27" t="s">
        <v>2987</v>
      </c>
      <c r="D2327" s="30">
        <v>0</v>
      </c>
      <c r="E2327" s="30"/>
      <c r="F2327" s="30">
        <v>90700</v>
      </c>
      <c r="G2327" s="30">
        <v>0</v>
      </c>
      <c r="H2327" s="30">
        <f t="shared" si="37"/>
        <v>90700</v>
      </c>
      <c r="I2327" s="30"/>
      <c r="K2327" t="s">
        <v>37</v>
      </c>
    </row>
    <row r="2328" spans="2:11" ht="13" x14ac:dyDescent="0.15">
      <c r="B2328" s="29" t="s">
        <v>2999</v>
      </c>
      <c r="C2328" s="29" t="s">
        <v>3000</v>
      </c>
      <c r="D2328" s="31">
        <f>SUMIFS(D2329:D3130,K2329:K3130,"0",B2329:B3130,"5 1 2 2 3*")-SUMIFS(E2329:E3130,K2329:K3130,"0",B2329:B3130,"5 1 2 2 3*")</f>
        <v>0</v>
      </c>
      <c r="E2328"/>
      <c r="F2328" s="31">
        <f>SUMIFS(F2329:F3130,K2329:K3130,"0",B2329:B3130,"5 1 2 2 3*")</f>
        <v>624</v>
      </c>
      <c r="G2328" s="31">
        <f>SUMIFS(G2329:G3130,K2329:K3130,"0",B2329:B3130,"5 1 2 2 3*")</f>
        <v>0</v>
      </c>
      <c r="H2328" s="31">
        <f t="shared" si="37"/>
        <v>624</v>
      </c>
      <c r="I2328" s="31"/>
      <c r="K2328" t="s">
        <v>13</v>
      </c>
    </row>
    <row r="2329" spans="2:11" ht="13" x14ac:dyDescent="0.15">
      <c r="B2329" s="29" t="s">
        <v>3001</v>
      </c>
      <c r="C2329" s="29" t="s">
        <v>24</v>
      </c>
      <c r="D2329" s="31">
        <f>SUMIFS(D2330:D3130,K2330:K3130,"0",B2330:B3130,"5 1 2 2 3 12*")-SUMIFS(E2330:E3130,K2330:K3130,"0",B2330:B3130,"5 1 2 2 3 12*")</f>
        <v>0</v>
      </c>
      <c r="E2329"/>
      <c r="F2329" s="31">
        <f>SUMIFS(F2330:F3130,K2330:K3130,"0",B2330:B3130,"5 1 2 2 3 12*")</f>
        <v>624</v>
      </c>
      <c r="G2329" s="31">
        <f>SUMIFS(G2330:G3130,K2330:K3130,"0",B2330:B3130,"5 1 2 2 3 12*")</f>
        <v>0</v>
      </c>
      <c r="H2329" s="31">
        <f t="shared" si="37"/>
        <v>624</v>
      </c>
      <c r="I2329" s="31"/>
      <c r="K2329" t="s">
        <v>13</v>
      </c>
    </row>
    <row r="2330" spans="2:11" ht="13" x14ac:dyDescent="0.15">
      <c r="B2330" s="29" t="s">
        <v>3002</v>
      </c>
      <c r="C2330" s="29" t="s">
        <v>26</v>
      </c>
      <c r="D2330" s="31">
        <f>SUMIFS(D2331:D3130,K2331:K3130,"0",B2331:B3130,"5 1 2 2 3 12 31111*")-SUMIFS(E2331:E3130,K2331:K3130,"0",B2331:B3130,"5 1 2 2 3 12 31111*")</f>
        <v>0</v>
      </c>
      <c r="E2330"/>
      <c r="F2330" s="31">
        <f>SUMIFS(F2331:F3130,K2331:K3130,"0",B2331:B3130,"5 1 2 2 3 12 31111*")</f>
        <v>624</v>
      </c>
      <c r="G2330" s="31">
        <f>SUMIFS(G2331:G3130,K2331:K3130,"0",B2331:B3130,"5 1 2 2 3 12 31111*")</f>
        <v>0</v>
      </c>
      <c r="H2330" s="31">
        <f t="shared" si="37"/>
        <v>624</v>
      </c>
      <c r="I2330" s="31"/>
      <c r="K2330" t="s">
        <v>13</v>
      </c>
    </row>
    <row r="2331" spans="2:11" ht="13" x14ac:dyDescent="0.15">
      <c r="B2331" s="29" t="s">
        <v>3003</v>
      </c>
      <c r="C2331" s="29" t="s">
        <v>28</v>
      </c>
      <c r="D2331" s="31">
        <f>SUMIFS(D2332:D3130,K2332:K3130,"0",B2332:B3130,"5 1 2 2 3 12 31111 6*")-SUMIFS(E2332:E3130,K2332:K3130,"0",B2332:B3130,"5 1 2 2 3 12 31111 6*")</f>
        <v>0</v>
      </c>
      <c r="E2331"/>
      <c r="F2331" s="31">
        <f>SUMIFS(F2332:F3130,K2332:K3130,"0",B2332:B3130,"5 1 2 2 3 12 31111 6*")</f>
        <v>624</v>
      </c>
      <c r="G2331" s="31">
        <f>SUMIFS(G2332:G3130,K2332:K3130,"0",B2332:B3130,"5 1 2 2 3 12 31111 6*")</f>
        <v>0</v>
      </c>
      <c r="H2331" s="31">
        <f t="shared" si="37"/>
        <v>624</v>
      </c>
      <c r="I2331" s="31"/>
      <c r="K2331" t="s">
        <v>13</v>
      </c>
    </row>
    <row r="2332" spans="2:11" ht="13" x14ac:dyDescent="0.15">
      <c r="B2332" s="29" t="s">
        <v>3004</v>
      </c>
      <c r="C2332" s="29" t="s">
        <v>1567</v>
      </c>
      <c r="D2332" s="31">
        <f>SUMIFS(D2333:D3130,K2333:K3130,"0",B2333:B3130,"5 1 2 2 3 12 31111 6 M78*")-SUMIFS(E2333:E3130,K2333:K3130,"0",B2333:B3130,"5 1 2 2 3 12 31111 6 M78*")</f>
        <v>0</v>
      </c>
      <c r="E2332"/>
      <c r="F2332" s="31">
        <f>SUMIFS(F2333:F3130,K2333:K3130,"0",B2333:B3130,"5 1 2 2 3 12 31111 6 M78*")</f>
        <v>624</v>
      </c>
      <c r="G2332" s="31">
        <f>SUMIFS(G2333:G3130,K2333:K3130,"0",B2333:B3130,"5 1 2 2 3 12 31111 6 M78*")</f>
        <v>0</v>
      </c>
      <c r="H2332" s="31">
        <f t="shared" si="37"/>
        <v>624</v>
      </c>
      <c r="I2332" s="31"/>
      <c r="K2332" t="s">
        <v>13</v>
      </c>
    </row>
    <row r="2333" spans="2:11" ht="13" x14ac:dyDescent="0.15">
      <c r="B2333" s="29" t="s">
        <v>3005</v>
      </c>
      <c r="C2333" s="29" t="s">
        <v>8</v>
      </c>
      <c r="D2333" s="31">
        <f>SUMIFS(D2334:D3130,K2334:K3130,"0",B2334:B3130,"5 1 2 2 3 12 31111 6 M78 07000*")-SUMIFS(E2334:E3130,K2334:K3130,"0",B2334:B3130,"5 1 2 2 3 12 31111 6 M78 07000*")</f>
        <v>0</v>
      </c>
      <c r="E2333"/>
      <c r="F2333" s="31">
        <f>SUMIFS(F2334:F3130,K2334:K3130,"0",B2334:B3130,"5 1 2 2 3 12 31111 6 M78 07000*")</f>
        <v>624</v>
      </c>
      <c r="G2333" s="31">
        <f>SUMIFS(G2334:G3130,K2334:K3130,"0",B2334:B3130,"5 1 2 2 3 12 31111 6 M78 07000*")</f>
        <v>0</v>
      </c>
      <c r="H2333" s="31">
        <f t="shared" si="37"/>
        <v>624</v>
      </c>
      <c r="I2333" s="31"/>
      <c r="K2333" t="s">
        <v>13</v>
      </c>
    </row>
    <row r="2334" spans="2:11" ht="13" x14ac:dyDescent="0.15">
      <c r="B2334" s="29" t="s">
        <v>3006</v>
      </c>
      <c r="C2334" s="29" t="s">
        <v>588</v>
      </c>
      <c r="D2334" s="31">
        <f>SUMIFS(D2335:D3130,K2335:K3130,"0",B2335:B3130,"5 1 2 2 3 12 31111 6 M78 07000 151*")-SUMIFS(E2335:E3130,K2335:K3130,"0",B2335:B3130,"5 1 2 2 3 12 31111 6 M78 07000 151*")</f>
        <v>0</v>
      </c>
      <c r="E2334"/>
      <c r="F2334" s="31">
        <f>SUMIFS(F2335:F3130,K2335:K3130,"0",B2335:B3130,"5 1 2 2 3 12 31111 6 M78 07000 151*")</f>
        <v>624</v>
      </c>
      <c r="G2334" s="31">
        <f>SUMIFS(G2335:G3130,K2335:K3130,"0",B2335:B3130,"5 1 2 2 3 12 31111 6 M78 07000 151*")</f>
        <v>0</v>
      </c>
      <c r="H2334" s="31">
        <f t="shared" si="37"/>
        <v>624</v>
      </c>
      <c r="I2334" s="31"/>
      <c r="K2334" t="s">
        <v>13</v>
      </c>
    </row>
    <row r="2335" spans="2:11" ht="13" x14ac:dyDescent="0.15">
      <c r="B2335" s="29" t="s">
        <v>3007</v>
      </c>
      <c r="C2335" s="29" t="s">
        <v>265</v>
      </c>
      <c r="D2335" s="31">
        <f>SUMIFS(D2336:D3130,K2336:K3130,"0",B2336:B3130,"5 1 2 2 3 12 31111 6 M78 07000 151 00C*")-SUMIFS(E2336:E3130,K2336:K3130,"0",B2336:B3130,"5 1 2 2 3 12 31111 6 M78 07000 151 00C*")</f>
        <v>0</v>
      </c>
      <c r="E2335"/>
      <c r="F2335" s="31">
        <f>SUMIFS(F2336:F3130,K2336:K3130,"0",B2336:B3130,"5 1 2 2 3 12 31111 6 M78 07000 151 00C*")</f>
        <v>624</v>
      </c>
      <c r="G2335" s="31">
        <f>SUMIFS(G2336:G3130,K2336:K3130,"0",B2336:B3130,"5 1 2 2 3 12 31111 6 M78 07000 151 00C*")</f>
        <v>0</v>
      </c>
      <c r="H2335" s="31">
        <f t="shared" si="37"/>
        <v>624</v>
      </c>
      <c r="I2335" s="31"/>
      <c r="K2335" t="s">
        <v>13</v>
      </c>
    </row>
    <row r="2336" spans="2:11" ht="13" x14ac:dyDescent="0.15">
      <c r="B2336" s="29" t="s">
        <v>3008</v>
      </c>
      <c r="C2336" s="29" t="s">
        <v>32</v>
      </c>
      <c r="D2336" s="31">
        <f>SUMIFS(D2337:D3130,K2337:K3130,"0",B2337:B3130,"5 1 2 2 3 12 31111 6 M78 07000 151 00C 001*")-SUMIFS(E2337:E3130,K2337:K3130,"0",B2337:B3130,"5 1 2 2 3 12 31111 6 M78 07000 151 00C 001*")</f>
        <v>0</v>
      </c>
      <c r="E2336"/>
      <c r="F2336" s="31">
        <f>SUMIFS(F2337:F3130,K2337:K3130,"0",B2337:B3130,"5 1 2 2 3 12 31111 6 M78 07000 151 00C 001*")</f>
        <v>624</v>
      </c>
      <c r="G2336" s="31">
        <f>SUMIFS(G2337:G3130,K2337:K3130,"0",B2337:B3130,"5 1 2 2 3 12 31111 6 M78 07000 151 00C 001*")</f>
        <v>0</v>
      </c>
      <c r="H2336" s="31">
        <f t="shared" si="37"/>
        <v>624</v>
      </c>
      <c r="I2336" s="31"/>
      <c r="K2336" t="s">
        <v>13</v>
      </c>
    </row>
    <row r="2337" spans="2:11" ht="13" x14ac:dyDescent="0.15">
      <c r="B2337" s="29" t="s">
        <v>3009</v>
      </c>
      <c r="C2337" s="29" t="s">
        <v>3010</v>
      </c>
      <c r="D2337" s="31">
        <f>SUMIFS(D2338:D3130,K2338:K3130,"0",B2338:B3130,"5 1 2 2 3 12 31111 6 M78 07000 151 00C 001 22301*")-SUMIFS(E2338:E3130,K2338:K3130,"0",B2338:B3130,"5 1 2 2 3 12 31111 6 M78 07000 151 00C 001 22301*")</f>
        <v>0</v>
      </c>
      <c r="E2337"/>
      <c r="F2337" s="31">
        <f>SUMIFS(F2338:F3130,K2338:K3130,"0",B2338:B3130,"5 1 2 2 3 12 31111 6 M78 07000 151 00C 001 22301*")</f>
        <v>624</v>
      </c>
      <c r="G2337" s="31">
        <f>SUMIFS(G2338:G3130,K2338:K3130,"0",B2338:B3130,"5 1 2 2 3 12 31111 6 M78 07000 151 00C 001 22301*")</f>
        <v>0</v>
      </c>
      <c r="H2337" s="31">
        <f t="shared" si="37"/>
        <v>624</v>
      </c>
      <c r="I2337" s="31"/>
      <c r="K2337" t="s">
        <v>13</v>
      </c>
    </row>
    <row r="2338" spans="2:11" ht="22" x14ac:dyDescent="0.15">
      <c r="B2338" s="29" t="s">
        <v>3011</v>
      </c>
      <c r="C2338" s="29" t="s">
        <v>271</v>
      </c>
      <c r="D2338" s="31">
        <f>SUMIFS(D2339:D3130,K2339:K3130,"0",B2339:B3130,"5 1 2 2 3 12 31111 6 M78 07000 151 00C 001 22301 015*")-SUMIFS(E2339:E3130,K2339:K3130,"0",B2339:B3130,"5 1 2 2 3 12 31111 6 M78 07000 151 00C 001 22301 015*")</f>
        <v>0</v>
      </c>
      <c r="E2338"/>
      <c r="F2338" s="31">
        <f>SUMIFS(F2339:F3130,K2339:K3130,"0",B2339:B3130,"5 1 2 2 3 12 31111 6 M78 07000 151 00C 001 22301 015*")</f>
        <v>624</v>
      </c>
      <c r="G2338" s="31">
        <f>SUMIFS(G2339:G3130,K2339:K3130,"0",B2339:B3130,"5 1 2 2 3 12 31111 6 M78 07000 151 00C 001 22301 015*")</f>
        <v>0</v>
      </c>
      <c r="H2338" s="31">
        <f t="shared" si="37"/>
        <v>624</v>
      </c>
      <c r="I2338" s="31"/>
      <c r="K2338" t="s">
        <v>13</v>
      </c>
    </row>
    <row r="2339" spans="2:11" ht="22" x14ac:dyDescent="0.15">
      <c r="B2339" s="29" t="s">
        <v>3012</v>
      </c>
      <c r="C2339" s="29" t="s">
        <v>595</v>
      </c>
      <c r="D2339" s="31">
        <f>SUMIFS(D2340:D3130,K2340:K3130,"0",B2340:B3130,"5 1 2 2 3 12 31111 6 M78 07000 151 00C 001 22301 015 2112000*")-SUMIFS(E2340:E3130,K2340:K3130,"0",B2340:B3130,"5 1 2 2 3 12 31111 6 M78 07000 151 00C 001 22301 015 2112000*")</f>
        <v>0</v>
      </c>
      <c r="E2339"/>
      <c r="F2339" s="31">
        <f>SUMIFS(F2340:F3130,K2340:K3130,"0",B2340:B3130,"5 1 2 2 3 12 31111 6 M78 07000 151 00C 001 22301 015 2112000*")</f>
        <v>624</v>
      </c>
      <c r="G2339" s="31">
        <f>SUMIFS(G2340:G3130,K2340:K3130,"0",B2340:B3130,"5 1 2 2 3 12 31111 6 M78 07000 151 00C 001 22301 015 2112000*")</f>
        <v>0</v>
      </c>
      <c r="H2339" s="31">
        <f t="shared" si="37"/>
        <v>624</v>
      </c>
      <c r="I2339" s="31"/>
      <c r="K2339" t="s">
        <v>13</v>
      </c>
    </row>
    <row r="2340" spans="2:11" ht="22" x14ac:dyDescent="0.15">
      <c r="B2340" s="29" t="s">
        <v>3013</v>
      </c>
      <c r="C2340" s="29" t="s">
        <v>275</v>
      </c>
      <c r="D2340" s="31">
        <f>SUMIFS(D2341:D3130,K2341:K3130,"0",B2341:B3130,"5 1 2 2 3 12 31111 6 M78 07000 151 00C 001 22301 015 2112000 2024*")-SUMIFS(E2341:E3130,K2341:K3130,"0",B2341:B3130,"5 1 2 2 3 12 31111 6 M78 07000 151 00C 001 22301 015 2112000 2024*")</f>
        <v>0</v>
      </c>
      <c r="E2340"/>
      <c r="F2340" s="31">
        <f>SUMIFS(F2341:F3130,K2341:K3130,"0",B2341:B3130,"5 1 2 2 3 12 31111 6 M78 07000 151 00C 001 22301 015 2112000 2024*")</f>
        <v>624</v>
      </c>
      <c r="G2340" s="31">
        <f>SUMIFS(G2341:G3130,K2341:K3130,"0",B2341:B3130,"5 1 2 2 3 12 31111 6 M78 07000 151 00C 001 22301 015 2112000 2024*")</f>
        <v>0</v>
      </c>
      <c r="H2340" s="31">
        <f t="shared" si="37"/>
        <v>624</v>
      </c>
      <c r="I2340" s="31"/>
      <c r="K2340" t="s">
        <v>13</v>
      </c>
    </row>
    <row r="2341" spans="2:11" ht="22" x14ac:dyDescent="0.15">
      <c r="B2341" s="29" t="s">
        <v>3014</v>
      </c>
      <c r="C2341" s="29" t="s">
        <v>277</v>
      </c>
      <c r="D2341" s="31">
        <f>SUMIFS(D2342:D3130,K2342:K3130,"0",B2342:B3130,"5 1 2 2 3 12 31111 6 M78 07000 151 00C 001 22301 015 2112000 2024 00000000*")-SUMIFS(E2342:E3130,K2342:K3130,"0",B2342:B3130,"5 1 2 2 3 12 31111 6 M78 07000 151 00C 001 22301 015 2112000 2024 00000000*")</f>
        <v>0</v>
      </c>
      <c r="E2341"/>
      <c r="F2341" s="31">
        <f>SUMIFS(F2342:F3130,K2342:K3130,"0",B2342:B3130,"5 1 2 2 3 12 31111 6 M78 07000 151 00C 001 22301 015 2112000 2024 00000000*")</f>
        <v>624</v>
      </c>
      <c r="G2341" s="31">
        <f>SUMIFS(G2342:G3130,K2342:K3130,"0",B2342:B3130,"5 1 2 2 3 12 31111 6 M78 07000 151 00C 001 22301 015 2112000 2024 00000000*")</f>
        <v>0</v>
      </c>
      <c r="H2341" s="31">
        <f t="shared" si="37"/>
        <v>624</v>
      </c>
      <c r="I2341" s="31"/>
      <c r="K2341" t="s">
        <v>13</v>
      </c>
    </row>
    <row r="2342" spans="2:11" ht="22" x14ac:dyDescent="0.15">
      <c r="B2342" s="29" t="s">
        <v>3015</v>
      </c>
      <c r="C2342" s="29" t="s">
        <v>32</v>
      </c>
      <c r="D2342" s="31">
        <f>SUMIFS(D2343:D3130,K2343:K3130,"0",B2343:B3130,"5 1 2 2 3 12 31111 6 M78 07000 151 00C 001 22301 015 2112000 2024 00000000 001*")-SUMIFS(E2343:E3130,K2343:K3130,"0",B2343:B3130,"5 1 2 2 3 12 31111 6 M78 07000 151 00C 001 22301 015 2112000 2024 00000000 001*")</f>
        <v>0</v>
      </c>
      <c r="E2342"/>
      <c r="F2342" s="31">
        <f>SUMIFS(F2343:F3130,K2343:K3130,"0",B2343:B3130,"5 1 2 2 3 12 31111 6 M78 07000 151 00C 001 22301 015 2112000 2024 00000000 001*")</f>
        <v>624</v>
      </c>
      <c r="G2342" s="31">
        <f>SUMIFS(G2343:G3130,K2343:K3130,"0",B2343:B3130,"5 1 2 2 3 12 31111 6 M78 07000 151 00C 001 22301 015 2112000 2024 00000000 001*")</f>
        <v>0</v>
      </c>
      <c r="H2342" s="31">
        <f t="shared" si="37"/>
        <v>624</v>
      </c>
      <c r="I2342" s="31"/>
      <c r="K2342" t="s">
        <v>13</v>
      </c>
    </row>
    <row r="2343" spans="2:11" ht="22" x14ac:dyDescent="0.15">
      <c r="B2343" s="27" t="s">
        <v>3016</v>
      </c>
      <c r="C2343" s="27" t="s">
        <v>3017</v>
      </c>
      <c r="D2343" s="30">
        <v>0</v>
      </c>
      <c r="E2343" s="30"/>
      <c r="F2343" s="30">
        <v>624</v>
      </c>
      <c r="G2343" s="30">
        <v>0</v>
      </c>
      <c r="H2343" s="30">
        <f t="shared" si="37"/>
        <v>624</v>
      </c>
      <c r="I2343" s="30"/>
      <c r="K2343" t="s">
        <v>37</v>
      </c>
    </row>
    <row r="2344" spans="2:11" ht="13" x14ac:dyDescent="0.15">
      <c r="B2344" s="29" t="s">
        <v>3018</v>
      </c>
      <c r="C2344" s="29" t="s">
        <v>3019</v>
      </c>
      <c r="D2344" s="31">
        <f>SUMIFS(D2345:D3130,K2345:K3130,"0",B2345:B3130,"5 1 2 4*")-SUMIFS(E2345:E3130,K2345:K3130,"0",B2345:B3130,"5 1 2 4*")</f>
        <v>0</v>
      </c>
      <c r="E2344"/>
      <c r="F2344" s="31">
        <f>SUMIFS(F2345:F3130,K2345:K3130,"0",B2345:B3130,"5 1 2 4*")</f>
        <v>719884.82000000007</v>
      </c>
      <c r="G2344" s="31">
        <f>SUMIFS(G2345:G3130,K2345:K3130,"0",B2345:B3130,"5 1 2 4*")</f>
        <v>0</v>
      </c>
      <c r="H2344" s="31">
        <f t="shared" si="37"/>
        <v>719884.82000000007</v>
      </c>
      <c r="I2344" s="31"/>
      <c r="K2344" t="s">
        <v>13</v>
      </c>
    </row>
    <row r="2345" spans="2:11" ht="13" x14ac:dyDescent="0.15">
      <c r="B2345" s="29" t="s">
        <v>3020</v>
      </c>
      <c r="C2345" s="29" t="s">
        <v>3021</v>
      </c>
      <c r="D2345" s="31">
        <f>SUMIFS(D2346:D3130,K2346:K3130,"0",B2346:B3130,"5 1 2 4 6*")-SUMIFS(E2346:E3130,K2346:K3130,"0",B2346:B3130,"5 1 2 4 6*")</f>
        <v>0</v>
      </c>
      <c r="E2345"/>
      <c r="F2345" s="31">
        <f>SUMIFS(F2346:F3130,K2346:K3130,"0",B2346:B3130,"5 1 2 4 6*")</f>
        <v>284047.28000000003</v>
      </c>
      <c r="G2345" s="31">
        <f>SUMIFS(G2346:G3130,K2346:K3130,"0",B2346:B3130,"5 1 2 4 6*")</f>
        <v>0</v>
      </c>
      <c r="H2345" s="31">
        <f t="shared" si="37"/>
        <v>284047.28000000003</v>
      </c>
      <c r="I2345" s="31"/>
      <c r="K2345" t="s">
        <v>13</v>
      </c>
    </row>
    <row r="2346" spans="2:11" ht="13" x14ac:dyDescent="0.15">
      <c r="B2346" s="29" t="s">
        <v>3022</v>
      </c>
      <c r="C2346" s="29" t="s">
        <v>24</v>
      </c>
      <c r="D2346" s="31">
        <f>SUMIFS(D2347:D3130,K2347:K3130,"0",B2347:B3130,"5 1 2 4 6 12*")-SUMIFS(E2347:E3130,K2347:K3130,"0",B2347:B3130,"5 1 2 4 6 12*")</f>
        <v>0</v>
      </c>
      <c r="E2346"/>
      <c r="F2346" s="31">
        <f>SUMIFS(F2347:F3130,K2347:K3130,"0",B2347:B3130,"5 1 2 4 6 12*")</f>
        <v>284047.28000000003</v>
      </c>
      <c r="G2346" s="31">
        <f>SUMIFS(G2347:G3130,K2347:K3130,"0",B2347:B3130,"5 1 2 4 6 12*")</f>
        <v>0</v>
      </c>
      <c r="H2346" s="31">
        <f t="shared" si="37"/>
        <v>284047.28000000003</v>
      </c>
      <c r="I2346" s="31"/>
      <c r="K2346" t="s">
        <v>13</v>
      </c>
    </row>
    <row r="2347" spans="2:11" ht="13" x14ac:dyDescent="0.15">
      <c r="B2347" s="29" t="s">
        <v>3023</v>
      </c>
      <c r="C2347" s="29" t="s">
        <v>26</v>
      </c>
      <c r="D2347" s="31">
        <f>SUMIFS(D2348:D3130,K2348:K3130,"0",B2348:B3130,"5 1 2 4 6 12 31111*")-SUMIFS(E2348:E3130,K2348:K3130,"0",B2348:B3130,"5 1 2 4 6 12 31111*")</f>
        <v>0</v>
      </c>
      <c r="E2347"/>
      <c r="F2347" s="31">
        <f>SUMIFS(F2348:F3130,K2348:K3130,"0",B2348:B3130,"5 1 2 4 6 12 31111*")</f>
        <v>284047.28000000003</v>
      </c>
      <c r="G2347" s="31">
        <f>SUMIFS(G2348:G3130,K2348:K3130,"0",B2348:B3130,"5 1 2 4 6 12 31111*")</f>
        <v>0</v>
      </c>
      <c r="H2347" s="31">
        <f t="shared" si="37"/>
        <v>284047.28000000003</v>
      </c>
      <c r="I2347" s="31"/>
      <c r="K2347" t="s">
        <v>13</v>
      </c>
    </row>
    <row r="2348" spans="2:11" ht="13" x14ac:dyDescent="0.15">
      <c r="B2348" s="29" t="s">
        <v>3024</v>
      </c>
      <c r="C2348" s="29" t="s">
        <v>28</v>
      </c>
      <c r="D2348" s="31">
        <f>SUMIFS(D2349:D3130,K2349:K3130,"0",B2349:B3130,"5 1 2 4 6 12 31111 6*")-SUMIFS(E2349:E3130,K2349:K3130,"0",B2349:B3130,"5 1 2 4 6 12 31111 6*")</f>
        <v>0</v>
      </c>
      <c r="E2348"/>
      <c r="F2348" s="31">
        <f>SUMIFS(F2349:F3130,K2349:K3130,"0",B2349:B3130,"5 1 2 4 6 12 31111 6*")</f>
        <v>284047.28000000003</v>
      </c>
      <c r="G2348" s="31">
        <f>SUMIFS(G2349:G3130,K2349:K3130,"0",B2349:B3130,"5 1 2 4 6 12 31111 6*")</f>
        <v>0</v>
      </c>
      <c r="H2348" s="31">
        <f t="shared" si="37"/>
        <v>284047.28000000003</v>
      </c>
      <c r="I2348" s="31"/>
      <c r="K2348" t="s">
        <v>13</v>
      </c>
    </row>
    <row r="2349" spans="2:11" ht="13" x14ac:dyDescent="0.15">
      <c r="B2349" s="29" t="s">
        <v>3025</v>
      </c>
      <c r="C2349" s="29" t="s">
        <v>1567</v>
      </c>
      <c r="D2349" s="31">
        <f>SUMIFS(D2350:D3130,K2350:K3130,"0",B2350:B3130,"5 1 2 4 6 12 31111 6 M78*")-SUMIFS(E2350:E3130,K2350:K3130,"0",B2350:B3130,"5 1 2 4 6 12 31111 6 M78*")</f>
        <v>0</v>
      </c>
      <c r="E2349"/>
      <c r="F2349" s="31">
        <f>SUMIFS(F2350:F3130,K2350:K3130,"0",B2350:B3130,"5 1 2 4 6 12 31111 6 M78*")</f>
        <v>284047.28000000003</v>
      </c>
      <c r="G2349" s="31">
        <f>SUMIFS(G2350:G3130,K2350:K3130,"0",B2350:B3130,"5 1 2 4 6 12 31111 6 M78*")</f>
        <v>0</v>
      </c>
      <c r="H2349" s="31">
        <f t="shared" si="37"/>
        <v>284047.28000000003</v>
      </c>
      <c r="I2349" s="31"/>
      <c r="K2349" t="s">
        <v>13</v>
      </c>
    </row>
    <row r="2350" spans="2:11" ht="13" x14ac:dyDescent="0.15">
      <c r="B2350" s="29" t="s">
        <v>3026</v>
      </c>
      <c r="C2350" s="29" t="s">
        <v>8</v>
      </c>
      <c r="D2350" s="31">
        <f>SUMIFS(D2351:D3130,K2351:K3130,"0",B2351:B3130,"5 1 2 4 6 12 31111 6 M78 07000*")-SUMIFS(E2351:E3130,K2351:K3130,"0",B2351:B3130,"5 1 2 4 6 12 31111 6 M78 07000*")</f>
        <v>0</v>
      </c>
      <c r="E2350"/>
      <c r="F2350" s="31">
        <f>SUMIFS(F2351:F3130,K2351:K3130,"0",B2351:B3130,"5 1 2 4 6 12 31111 6 M78 07000*")</f>
        <v>64213.279999999999</v>
      </c>
      <c r="G2350" s="31">
        <f>SUMIFS(G2351:G3130,K2351:K3130,"0",B2351:B3130,"5 1 2 4 6 12 31111 6 M78 07000*")</f>
        <v>0</v>
      </c>
      <c r="H2350" s="31">
        <f t="shared" si="37"/>
        <v>64213.279999999999</v>
      </c>
      <c r="I2350" s="31"/>
      <c r="K2350" t="s">
        <v>13</v>
      </c>
    </row>
    <row r="2351" spans="2:11" ht="13" x14ac:dyDescent="0.15">
      <c r="B2351" s="29" t="s">
        <v>3027</v>
      </c>
      <c r="C2351" s="29" t="s">
        <v>588</v>
      </c>
      <c r="D2351" s="31">
        <f>SUMIFS(D2352:D3130,K2352:K3130,"0",B2352:B3130,"5 1 2 4 6 12 31111 6 M78 07000 151*")-SUMIFS(E2352:E3130,K2352:K3130,"0",B2352:B3130,"5 1 2 4 6 12 31111 6 M78 07000 151*")</f>
        <v>0</v>
      </c>
      <c r="E2351"/>
      <c r="F2351" s="31">
        <f>SUMIFS(F2352:F3130,K2352:K3130,"0",B2352:B3130,"5 1 2 4 6 12 31111 6 M78 07000 151*")</f>
        <v>64213.279999999999</v>
      </c>
      <c r="G2351" s="31">
        <f>SUMIFS(G2352:G3130,K2352:K3130,"0",B2352:B3130,"5 1 2 4 6 12 31111 6 M78 07000 151*")</f>
        <v>0</v>
      </c>
      <c r="H2351" s="31">
        <f t="shared" si="37"/>
        <v>64213.279999999999</v>
      </c>
      <c r="I2351" s="31"/>
      <c r="K2351" t="s">
        <v>13</v>
      </c>
    </row>
    <row r="2352" spans="2:11" ht="13" x14ac:dyDescent="0.15">
      <c r="B2352" s="29" t="s">
        <v>3028</v>
      </c>
      <c r="C2352" s="29" t="s">
        <v>265</v>
      </c>
      <c r="D2352" s="31">
        <f>SUMIFS(D2353:D3130,K2353:K3130,"0",B2353:B3130,"5 1 2 4 6 12 31111 6 M78 07000 151 00C*")-SUMIFS(E2353:E3130,K2353:K3130,"0",B2353:B3130,"5 1 2 4 6 12 31111 6 M78 07000 151 00C*")</f>
        <v>0</v>
      </c>
      <c r="E2352"/>
      <c r="F2352" s="31">
        <f>SUMIFS(F2353:F3130,K2353:K3130,"0",B2353:B3130,"5 1 2 4 6 12 31111 6 M78 07000 151 00C*")</f>
        <v>64213.279999999999</v>
      </c>
      <c r="G2352" s="31">
        <f>SUMIFS(G2353:G3130,K2353:K3130,"0",B2353:B3130,"5 1 2 4 6 12 31111 6 M78 07000 151 00C*")</f>
        <v>0</v>
      </c>
      <c r="H2352" s="31">
        <f t="shared" si="37"/>
        <v>64213.279999999999</v>
      </c>
      <c r="I2352" s="31"/>
      <c r="K2352" t="s">
        <v>13</v>
      </c>
    </row>
    <row r="2353" spans="2:11" ht="13" x14ac:dyDescent="0.15">
      <c r="B2353" s="29" t="s">
        <v>3029</v>
      </c>
      <c r="C2353" s="29" t="s">
        <v>32</v>
      </c>
      <c r="D2353" s="31">
        <f>SUMIFS(D2354:D3130,K2354:K3130,"0",B2354:B3130,"5 1 2 4 6 12 31111 6 M78 07000 151 00C 001*")-SUMIFS(E2354:E3130,K2354:K3130,"0",B2354:B3130,"5 1 2 4 6 12 31111 6 M78 07000 151 00C 001*")</f>
        <v>0</v>
      </c>
      <c r="E2353"/>
      <c r="F2353" s="31">
        <f>SUMIFS(F2354:F3130,K2354:K3130,"0",B2354:B3130,"5 1 2 4 6 12 31111 6 M78 07000 151 00C 001*")</f>
        <v>64213.279999999999</v>
      </c>
      <c r="G2353" s="31">
        <f>SUMIFS(G2354:G3130,K2354:K3130,"0",B2354:B3130,"5 1 2 4 6 12 31111 6 M78 07000 151 00C 001*")</f>
        <v>0</v>
      </c>
      <c r="H2353" s="31">
        <f t="shared" si="37"/>
        <v>64213.279999999999</v>
      </c>
      <c r="I2353" s="31"/>
      <c r="K2353" t="s">
        <v>13</v>
      </c>
    </row>
    <row r="2354" spans="2:11" ht="13" x14ac:dyDescent="0.15">
      <c r="B2354" s="29" t="s">
        <v>3030</v>
      </c>
      <c r="C2354" s="29" t="s">
        <v>3031</v>
      </c>
      <c r="D2354" s="31">
        <f>SUMIFS(D2355:D3130,K2355:K3130,"0",B2355:B3130,"5 1 2 4 6 12 31111 6 M78 07000 151 00C 001 24601*")-SUMIFS(E2355:E3130,K2355:K3130,"0",B2355:B3130,"5 1 2 4 6 12 31111 6 M78 07000 151 00C 001 24601*")</f>
        <v>0</v>
      </c>
      <c r="E2354"/>
      <c r="F2354" s="31">
        <f>SUMIFS(F2355:F3130,K2355:K3130,"0",B2355:B3130,"5 1 2 4 6 12 31111 6 M78 07000 151 00C 001 24601*")</f>
        <v>64213.279999999999</v>
      </c>
      <c r="G2354" s="31">
        <f>SUMIFS(G2355:G3130,K2355:K3130,"0",B2355:B3130,"5 1 2 4 6 12 31111 6 M78 07000 151 00C 001 24601*")</f>
        <v>0</v>
      </c>
      <c r="H2354" s="31">
        <f t="shared" si="37"/>
        <v>64213.279999999999</v>
      </c>
      <c r="I2354" s="31"/>
      <c r="K2354" t="s">
        <v>13</v>
      </c>
    </row>
    <row r="2355" spans="2:11" ht="22" x14ac:dyDescent="0.15">
      <c r="B2355" s="29" t="s">
        <v>3032</v>
      </c>
      <c r="C2355" s="29" t="s">
        <v>271</v>
      </c>
      <c r="D2355" s="31">
        <f>SUMIFS(D2356:D3130,K2356:K3130,"0",B2356:B3130,"5 1 2 4 6 12 31111 6 M78 07000 151 00C 001 24601 015*")-SUMIFS(E2356:E3130,K2356:K3130,"0",B2356:B3130,"5 1 2 4 6 12 31111 6 M78 07000 151 00C 001 24601 015*")</f>
        <v>0</v>
      </c>
      <c r="E2355"/>
      <c r="F2355" s="31">
        <f>SUMIFS(F2356:F3130,K2356:K3130,"0",B2356:B3130,"5 1 2 4 6 12 31111 6 M78 07000 151 00C 001 24601 015*")</f>
        <v>64213.279999999999</v>
      </c>
      <c r="G2355" s="31">
        <f>SUMIFS(G2356:G3130,K2356:K3130,"0",B2356:B3130,"5 1 2 4 6 12 31111 6 M78 07000 151 00C 001 24601 015*")</f>
        <v>0</v>
      </c>
      <c r="H2355" s="31">
        <f t="shared" si="37"/>
        <v>64213.279999999999</v>
      </c>
      <c r="I2355" s="31"/>
      <c r="K2355" t="s">
        <v>13</v>
      </c>
    </row>
    <row r="2356" spans="2:11" ht="22" x14ac:dyDescent="0.15">
      <c r="B2356" s="29" t="s">
        <v>3033</v>
      </c>
      <c r="C2356" s="29" t="s">
        <v>595</v>
      </c>
      <c r="D2356" s="31">
        <f>SUMIFS(D2357:D3130,K2357:K3130,"0",B2357:B3130,"5 1 2 4 6 12 31111 6 M78 07000 151 00C 001 24601 015 2112000*")-SUMIFS(E2357:E3130,K2357:K3130,"0",B2357:B3130,"5 1 2 4 6 12 31111 6 M78 07000 151 00C 001 24601 015 2112000*")</f>
        <v>0</v>
      </c>
      <c r="E2356"/>
      <c r="F2356" s="31">
        <f>SUMIFS(F2357:F3130,K2357:K3130,"0",B2357:B3130,"5 1 2 4 6 12 31111 6 M78 07000 151 00C 001 24601 015 2112000*")</f>
        <v>64213.279999999999</v>
      </c>
      <c r="G2356" s="31">
        <f>SUMIFS(G2357:G3130,K2357:K3130,"0",B2357:B3130,"5 1 2 4 6 12 31111 6 M78 07000 151 00C 001 24601 015 2112000*")</f>
        <v>0</v>
      </c>
      <c r="H2356" s="31">
        <f t="shared" si="37"/>
        <v>64213.279999999999</v>
      </c>
      <c r="I2356" s="31"/>
      <c r="K2356" t="s">
        <v>13</v>
      </c>
    </row>
    <row r="2357" spans="2:11" ht="22" x14ac:dyDescent="0.15">
      <c r="B2357" s="29" t="s">
        <v>3034</v>
      </c>
      <c r="C2357" s="29" t="s">
        <v>275</v>
      </c>
      <c r="D2357" s="31">
        <f>SUMIFS(D2358:D3130,K2358:K3130,"0",B2358:B3130,"5 1 2 4 6 12 31111 6 M78 07000 151 00C 001 24601 015 2112000 2024*")-SUMIFS(E2358:E3130,K2358:K3130,"0",B2358:B3130,"5 1 2 4 6 12 31111 6 M78 07000 151 00C 001 24601 015 2112000 2024*")</f>
        <v>0</v>
      </c>
      <c r="E2357"/>
      <c r="F2357" s="31">
        <f>SUMIFS(F2358:F3130,K2358:K3130,"0",B2358:B3130,"5 1 2 4 6 12 31111 6 M78 07000 151 00C 001 24601 015 2112000 2024*")</f>
        <v>64213.279999999999</v>
      </c>
      <c r="G2357" s="31">
        <f>SUMIFS(G2358:G3130,K2358:K3130,"0",B2358:B3130,"5 1 2 4 6 12 31111 6 M78 07000 151 00C 001 24601 015 2112000 2024*")</f>
        <v>0</v>
      </c>
      <c r="H2357" s="31">
        <f t="shared" si="37"/>
        <v>64213.279999999999</v>
      </c>
      <c r="I2357" s="31"/>
      <c r="K2357" t="s">
        <v>13</v>
      </c>
    </row>
    <row r="2358" spans="2:11" ht="22" x14ac:dyDescent="0.15">
      <c r="B2358" s="29" t="s">
        <v>3035</v>
      </c>
      <c r="C2358" s="29" t="s">
        <v>277</v>
      </c>
      <c r="D2358" s="31">
        <f>SUMIFS(D2359:D3130,K2359:K3130,"0",B2359:B3130,"5 1 2 4 6 12 31111 6 M78 07000 151 00C 001 24601 015 2112000 2024 00000000*")-SUMIFS(E2359:E3130,K2359:K3130,"0",B2359:B3130,"5 1 2 4 6 12 31111 6 M78 07000 151 00C 001 24601 015 2112000 2024 00000000*")</f>
        <v>0</v>
      </c>
      <c r="E2358"/>
      <c r="F2358" s="31">
        <f>SUMIFS(F2359:F3130,K2359:K3130,"0",B2359:B3130,"5 1 2 4 6 12 31111 6 M78 07000 151 00C 001 24601 015 2112000 2024 00000000*")</f>
        <v>64213.279999999999</v>
      </c>
      <c r="G2358" s="31">
        <f>SUMIFS(G2359:G3130,K2359:K3130,"0",B2359:B3130,"5 1 2 4 6 12 31111 6 M78 07000 151 00C 001 24601 015 2112000 2024 00000000*")</f>
        <v>0</v>
      </c>
      <c r="H2358" s="31">
        <f t="shared" si="37"/>
        <v>64213.279999999999</v>
      </c>
      <c r="I2358" s="31"/>
      <c r="K2358" t="s">
        <v>13</v>
      </c>
    </row>
    <row r="2359" spans="2:11" ht="22" x14ac:dyDescent="0.15">
      <c r="B2359" s="29" t="s">
        <v>3036</v>
      </c>
      <c r="C2359" s="29" t="s">
        <v>32</v>
      </c>
      <c r="D2359" s="31">
        <f>SUMIFS(D2360:D3130,K2360:K3130,"0",B2360:B3130,"5 1 2 4 6 12 31111 6 M78 07000 151 00C 001 24601 015 2112000 2024 00000000 001*")-SUMIFS(E2360:E3130,K2360:K3130,"0",B2360:B3130,"5 1 2 4 6 12 31111 6 M78 07000 151 00C 001 24601 015 2112000 2024 00000000 001*")</f>
        <v>0</v>
      </c>
      <c r="E2359"/>
      <c r="F2359" s="31">
        <f>SUMIFS(F2360:F3130,K2360:K3130,"0",B2360:B3130,"5 1 2 4 6 12 31111 6 M78 07000 151 00C 001 24601 015 2112000 2024 00000000 001*")</f>
        <v>64213.279999999999</v>
      </c>
      <c r="G2359" s="31">
        <f>SUMIFS(G2360:G3130,K2360:K3130,"0",B2360:B3130,"5 1 2 4 6 12 31111 6 M78 07000 151 00C 001 24601 015 2112000 2024 00000000 001*")</f>
        <v>0</v>
      </c>
      <c r="H2359" s="31">
        <f t="shared" si="37"/>
        <v>64213.279999999999</v>
      </c>
      <c r="I2359" s="31"/>
      <c r="K2359" t="s">
        <v>13</v>
      </c>
    </row>
    <row r="2360" spans="2:11" ht="22" x14ac:dyDescent="0.15">
      <c r="B2360" s="27" t="s">
        <v>3037</v>
      </c>
      <c r="C2360" s="27" t="s">
        <v>3038</v>
      </c>
      <c r="D2360" s="30">
        <v>0</v>
      </c>
      <c r="E2360" s="30"/>
      <c r="F2360" s="30">
        <v>64213.279999999999</v>
      </c>
      <c r="G2360" s="30">
        <v>0</v>
      </c>
      <c r="H2360" s="30">
        <f t="shared" si="37"/>
        <v>64213.279999999999</v>
      </c>
      <c r="I2360" s="30"/>
      <c r="K2360" t="s">
        <v>37</v>
      </c>
    </row>
    <row r="2361" spans="2:11" ht="13" x14ac:dyDescent="0.15">
      <c r="B2361" s="29" t="s">
        <v>3039</v>
      </c>
      <c r="C2361" s="29" t="s">
        <v>833</v>
      </c>
      <c r="D2361" s="31">
        <f>SUMIFS(D2362:D3130,K2362:K3130,"0",B2362:B3130,"5 1 2 4 6 12 31111 6 M78 15000*")-SUMIFS(E2362:E3130,K2362:K3130,"0",B2362:B3130,"5 1 2 4 6 12 31111 6 M78 15000*")</f>
        <v>0</v>
      </c>
      <c r="E2361"/>
      <c r="F2361" s="31">
        <f>SUMIFS(F2362:F3130,K2362:K3130,"0",B2362:B3130,"5 1 2 4 6 12 31111 6 M78 15000*")</f>
        <v>219834</v>
      </c>
      <c r="G2361" s="31">
        <f>SUMIFS(G2362:G3130,K2362:K3130,"0",B2362:B3130,"5 1 2 4 6 12 31111 6 M78 15000*")</f>
        <v>0</v>
      </c>
      <c r="H2361" s="31">
        <f t="shared" si="37"/>
        <v>219834</v>
      </c>
      <c r="I2361" s="31"/>
      <c r="K2361" t="s">
        <v>13</v>
      </c>
    </row>
    <row r="2362" spans="2:11" ht="13" x14ac:dyDescent="0.15">
      <c r="B2362" s="29" t="s">
        <v>3040</v>
      </c>
      <c r="C2362" s="29" t="s">
        <v>835</v>
      </c>
      <c r="D2362" s="31">
        <f>SUMIFS(D2363:D3130,K2363:K3130,"0",B2363:B3130,"5 1 2 4 6 12 31111 6 M78 15000 171*")-SUMIFS(E2363:E3130,K2363:K3130,"0",B2363:B3130,"5 1 2 4 6 12 31111 6 M78 15000 171*")</f>
        <v>0</v>
      </c>
      <c r="E2362"/>
      <c r="F2362" s="31">
        <f>SUMIFS(F2363:F3130,K2363:K3130,"0",B2363:B3130,"5 1 2 4 6 12 31111 6 M78 15000 171*")</f>
        <v>219834</v>
      </c>
      <c r="G2362" s="31">
        <f>SUMIFS(G2363:G3130,K2363:K3130,"0",B2363:B3130,"5 1 2 4 6 12 31111 6 M78 15000 171*")</f>
        <v>0</v>
      </c>
      <c r="H2362" s="31">
        <f t="shared" si="37"/>
        <v>219834</v>
      </c>
      <c r="I2362" s="31"/>
      <c r="K2362" t="s">
        <v>13</v>
      </c>
    </row>
    <row r="2363" spans="2:11" ht="13" x14ac:dyDescent="0.15">
      <c r="B2363" s="29" t="s">
        <v>3041</v>
      </c>
      <c r="C2363" s="29" t="s">
        <v>285</v>
      </c>
      <c r="D2363" s="31">
        <f>SUMIFS(D2364:D3130,K2364:K3130,"0",B2364:B3130,"5 1 2 4 6 12 31111 6 M78 15000 171 00I*")-SUMIFS(E2364:E3130,K2364:K3130,"0",B2364:B3130,"5 1 2 4 6 12 31111 6 M78 15000 171 00I*")</f>
        <v>0</v>
      </c>
      <c r="E2363"/>
      <c r="F2363" s="31">
        <f>SUMIFS(F2364:F3130,K2364:K3130,"0",B2364:B3130,"5 1 2 4 6 12 31111 6 M78 15000 171 00I*")</f>
        <v>219834</v>
      </c>
      <c r="G2363" s="31">
        <f>SUMIFS(G2364:G3130,K2364:K3130,"0",B2364:B3130,"5 1 2 4 6 12 31111 6 M78 15000 171 00I*")</f>
        <v>0</v>
      </c>
      <c r="H2363" s="31">
        <f t="shared" si="37"/>
        <v>219834</v>
      </c>
      <c r="I2363" s="31"/>
      <c r="K2363" t="s">
        <v>13</v>
      </c>
    </row>
    <row r="2364" spans="2:11" ht="13" x14ac:dyDescent="0.15">
      <c r="B2364" s="29" t="s">
        <v>3042</v>
      </c>
      <c r="C2364" s="29" t="s">
        <v>32</v>
      </c>
      <c r="D2364" s="31">
        <f>SUMIFS(D2365:D3130,K2365:K3130,"0",B2365:B3130,"5 1 2 4 6 12 31111 6 M78 15000 171 00I 001*")-SUMIFS(E2365:E3130,K2365:K3130,"0",B2365:B3130,"5 1 2 4 6 12 31111 6 M78 15000 171 00I 001*")</f>
        <v>0</v>
      </c>
      <c r="E2364"/>
      <c r="F2364" s="31">
        <f>SUMIFS(F2365:F3130,K2365:K3130,"0",B2365:B3130,"5 1 2 4 6 12 31111 6 M78 15000 171 00I 001*")</f>
        <v>219834</v>
      </c>
      <c r="G2364" s="31">
        <f>SUMIFS(G2365:G3130,K2365:K3130,"0",B2365:B3130,"5 1 2 4 6 12 31111 6 M78 15000 171 00I 001*")</f>
        <v>0</v>
      </c>
      <c r="H2364" s="31">
        <f t="shared" si="37"/>
        <v>219834</v>
      </c>
      <c r="I2364" s="31"/>
      <c r="K2364" t="s">
        <v>13</v>
      </c>
    </row>
    <row r="2365" spans="2:11" ht="13" x14ac:dyDescent="0.15">
      <c r="B2365" s="29" t="s">
        <v>3043</v>
      </c>
      <c r="C2365" s="29" t="s">
        <v>3031</v>
      </c>
      <c r="D2365" s="31">
        <f>SUMIFS(D2366:D3130,K2366:K3130,"0",B2366:B3130,"5 1 2 4 6 12 31111 6 M78 15000 171 00I 001 24601*")-SUMIFS(E2366:E3130,K2366:K3130,"0",B2366:B3130,"5 1 2 4 6 12 31111 6 M78 15000 171 00I 001 24601*")</f>
        <v>0</v>
      </c>
      <c r="E2365"/>
      <c r="F2365" s="31">
        <f>SUMIFS(F2366:F3130,K2366:K3130,"0",B2366:B3130,"5 1 2 4 6 12 31111 6 M78 15000 171 00I 001 24601*")</f>
        <v>219834</v>
      </c>
      <c r="G2365" s="31">
        <f>SUMIFS(G2366:G3130,K2366:K3130,"0",B2366:B3130,"5 1 2 4 6 12 31111 6 M78 15000 171 00I 001 24601*")</f>
        <v>0</v>
      </c>
      <c r="H2365" s="31">
        <f t="shared" si="37"/>
        <v>219834</v>
      </c>
      <c r="I2365" s="31"/>
      <c r="K2365" t="s">
        <v>13</v>
      </c>
    </row>
    <row r="2366" spans="2:11" ht="22" x14ac:dyDescent="0.15">
      <c r="B2366" s="29" t="s">
        <v>3044</v>
      </c>
      <c r="C2366" s="29" t="s">
        <v>290</v>
      </c>
      <c r="D2366" s="31">
        <f>SUMIFS(D2367:D3130,K2367:K3130,"0",B2367:B3130,"5 1 2 4 6 12 31111 6 M78 15000 171 00I 001 24601 025*")-SUMIFS(E2367:E3130,K2367:K3130,"0",B2367:B3130,"5 1 2 4 6 12 31111 6 M78 15000 171 00I 001 24601 025*")</f>
        <v>0</v>
      </c>
      <c r="E2366"/>
      <c r="F2366" s="31">
        <f>SUMIFS(F2367:F3130,K2367:K3130,"0",B2367:B3130,"5 1 2 4 6 12 31111 6 M78 15000 171 00I 001 24601 025*")</f>
        <v>219834</v>
      </c>
      <c r="G2366" s="31">
        <f>SUMIFS(G2367:G3130,K2367:K3130,"0",B2367:B3130,"5 1 2 4 6 12 31111 6 M78 15000 171 00I 001 24601 025*")</f>
        <v>0</v>
      </c>
      <c r="H2366" s="31">
        <f t="shared" si="37"/>
        <v>219834</v>
      </c>
      <c r="I2366" s="31"/>
      <c r="K2366" t="s">
        <v>13</v>
      </c>
    </row>
    <row r="2367" spans="2:11" ht="22" x14ac:dyDescent="0.15">
      <c r="B2367" s="29" t="s">
        <v>3045</v>
      </c>
      <c r="C2367" s="29" t="s">
        <v>595</v>
      </c>
      <c r="D2367" s="31">
        <f>SUMIFS(D2368:D3130,K2368:K3130,"0",B2368:B3130,"5 1 2 4 6 12 31111 6 M78 15000 171 00I 001 24601 025 2112000*")-SUMIFS(E2368:E3130,K2368:K3130,"0",B2368:B3130,"5 1 2 4 6 12 31111 6 M78 15000 171 00I 001 24601 025 2112000*")</f>
        <v>0</v>
      </c>
      <c r="E2367"/>
      <c r="F2367" s="31">
        <f>SUMIFS(F2368:F3130,K2368:K3130,"0",B2368:B3130,"5 1 2 4 6 12 31111 6 M78 15000 171 00I 001 24601 025 2112000*")</f>
        <v>219834</v>
      </c>
      <c r="G2367" s="31">
        <f>SUMIFS(G2368:G3130,K2368:K3130,"0",B2368:B3130,"5 1 2 4 6 12 31111 6 M78 15000 171 00I 001 24601 025 2112000*")</f>
        <v>0</v>
      </c>
      <c r="H2367" s="31">
        <f t="shared" si="37"/>
        <v>219834</v>
      </c>
      <c r="I2367" s="31"/>
      <c r="K2367" t="s">
        <v>13</v>
      </c>
    </row>
    <row r="2368" spans="2:11" ht="22" x14ac:dyDescent="0.15">
      <c r="B2368" s="29" t="s">
        <v>3046</v>
      </c>
      <c r="C2368" s="29" t="s">
        <v>275</v>
      </c>
      <c r="D2368" s="31">
        <f>SUMIFS(D2369:D3130,K2369:K3130,"0",B2369:B3130,"5 1 2 4 6 12 31111 6 M78 15000 171 00I 001 24601 025 2112000 2024*")-SUMIFS(E2369:E3130,K2369:K3130,"0",B2369:B3130,"5 1 2 4 6 12 31111 6 M78 15000 171 00I 001 24601 025 2112000 2024*")</f>
        <v>0</v>
      </c>
      <c r="E2368"/>
      <c r="F2368" s="31">
        <f>SUMIFS(F2369:F3130,K2369:K3130,"0",B2369:B3130,"5 1 2 4 6 12 31111 6 M78 15000 171 00I 001 24601 025 2112000 2024*")</f>
        <v>219834</v>
      </c>
      <c r="G2368" s="31">
        <f>SUMIFS(G2369:G3130,K2369:K3130,"0",B2369:B3130,"5 1 2 4 6 12 31111 6 M78 15000 171 00I 001 24601 025 2112000 2024*")</f>
        <v>0</v>
      </c>
      <c r="H2368" s="31">
        <f t="shared" si="37"/>
        <v>219834</v>
      </c>
      <c r="I2368" s="31"/>
      <c r="K2368" t="s">
        <v>13</v>
      </c>
    </row>
    <row r="2369" spans="2:11" ht="22" x14ac:dyDescent="0.15">
      <c r="B2369" s="29" t="s">
        <v>3047</v>
      </c>
      <c r="C2369" s="29" t="s">
        <v>277</v>
      </c>
      <c r="D2369" s="31">
        <f>SUMIFS(D2370:D3130,K2370:K3130,"0",B2370:B3130,"5 1 2 4 6 12 31111 6 M78 15000 171 00I 001 24601 025 2112000 2024 00000000*")-SUMIFS(E2370:E3130,K2370:K3130,"0",B2370:B3130,"5 1 2 4 6 12 31111 6 M78 15000 171 00I 001 24601 025 2112000 2024 00000000*")</f>
        <v>0</v>
      </c>
      <c r="E2369"/>
      <c r="F2369" s="31">
        <f>SUMIFS(F2370:F3130,K2370:K3130,"0",B2370:B3130,"5 1 2 4 6 12 31111 6 M78 15000 171 00I 001 24601 025 2112000 2024 00000000*")</f>
        <v>219834</v>
      </c>
      <c r="G2369" s="31">
        <f>SUMIFS(G2370:G3130,K2370:K3130,"0",B2370:B3130,"5 1 2 4 6 12 31111 6 M78 15000 171 00I 001 24601 025 2112000 2024 00000000*")</f>
        <v>0</v>
      </c>
      <c r="H2369" s="31">
        <f t="shared" si="37"/>
        <v>219834</v>
      </c>
      <c r="I2369" s="31"/>
      <c r="K2369" t="s">
        <v>13</v>
      </c>
    </row>
    <row r="2370" spans="2:11" ht="22" x14ac:dyDescent="0.15">
      <c r="B2370" s="29" t="s">
        <v>3048</v>
      </c>
      <c r="C2370" s="29" t="s">
        <v>581</v>
      </c>
      <c r="D2370" s="31">
        <f>SUMIFS(D2371:D3130,K2371:K3130,"0",B2371:B3130,"5 1 2 4 6 12 31111 6 M78 15000 171 00I 001 24601 025 2112000 2024 00000000 003*")-SUMIFS(E2371:E3130,K2371:K3130,"0",B2371:B3130,"5 1 2 4 6 12 31111 6 M78 15000 171 00I 001 24601 025 2112000 2024 00000000 003*")</f>
        <v>0</v>
      </c>
      <c r="E2370"/>
      <c r="F2370" s="31">
        <f>SUMIFS(F2371:F3130,K2371:K3130,"0",B2371:B3130,"5 1 2 4 6 12 31111 6 M78 15000 171 00I 001 24601 025 2112000 2024 00000000 003*")</f>
        <v>219834</v>
      </c>
      <c r="G2370" s="31">
        <f>SUMIFS(G2371:G3130,K2371:K3130,"0",B2371:B3130,"5 1 2 4 6 12 31111 6 M78 15000 171 00I 001 24601 025 2112000 2024 00000000 003*")</f>
        <v>0</v>
      </c>
      <c r="H2370" s="31">
        <f t="shared" si="37"/>
        <v>219834</v>
      </c>
      <c r="I2370" s="31"/>
      <c r="K2370" t="s">
        <v>13</v>
      </c>
    </row>
    <row r="2371" spans="2:11" ht="22" x14ac:dyDescent="0.15">
      <c r="B2371" s="27" t="s">
        <v>3049</v>
      </c>
      <c r="C2371" s="27" t="s">
        <v>3050</v>
      </c>
      <c r="D2371" s="30">
        <v>0</v>
      </c>
      <c r="E2371" s="30"/>
      <c r="F2371" s="30">
        <v>219834</v>
      </c>
      <c r="G2371" s="30">
        <v>0</v>
      </c>
      <c r="H2371" s="30">
        <f t="shared" si="37"/>
        <v>219834</v>
      </c>
      <c r="I2371" s="30"/>
      <c r="K2371" t="s">
        <v>37</v>
      </c>
    </row>
    <row r="2372" spans="2:11" ht="13" x14ac:dyDescent="0.15">
      <c r="B2372" s="29" t="s">
        <v>3051</v>
      </c>
      <c r="C2372" s="29" t="s">
        <v>3052</v>
      </c>
      <c r="D2372" s="31">
        <f>SUMIFS(D2373:D3130,K2373:K3130,"0",B2373:B3130,"5 1 2 4 9*")-SUMIFS(E2373:E3130,K2373:K3130,"0",B2373:B3130,"5 1 2 4 9*")</f>
        <v>0</v>
      </c>
      <c r="E2372"/>
      <c r="F2372" s="31">
        <f>SUMIFS(F2373:F3130,K2373:K3130,"0",B2373:B3130,"5 1 2 4 9*")</f>
        <v>435837.54000000004</v>
      </c>
      <c r="G2372" s="31">
        <f>SUMIFS(G2373:G3130,K2373:K3130,"0",B2373:B3130,"5 1 2 4 9*")</f>
        <v>0</v>
      </c>
      <c r="H2372" s="31">
        <f t="shared" si="37"/>
        <v>435837.54000000004</v>
      </c>
      <c r="I2372" s="31"/>
      <c r="K2372" t="s">
        <v>13</v>
      </c>
    </row>
    <row r="2373" spans="2:11" ht="13" x14ac:dyDescent="0.15">
      <c r="B2373" s="29" t="s">
        <v>3053</v>
      </c>
      <c r="C2373" s="29" t="s">
        <v>24</v>
      </c>
      <c r="D2373" s="31">
        <f>SUMIFS(D2374:D3130,K2374:K3130,"0",B2374:B3130,"5 1 2 4 9 12*")-SUMIFS(E2374:E3130,K2374:K3130,"0",B2374:B3130,"5 1 2 4 9 12*")</f>
        <v>0</v>
      </c>
      <c r="E2373"/>
      <c r="F2373" s="31">
        <f>SUMIFS(F2374:F3130,K2374:K3130,"0",B2374:B3130,"5 1 2 4 9 12*")</f>
        <v>435837.54000000004</v>
      </c>
      <c r="G2373" s="31">
        <f>SUMIFS(G2374:G3130,K2374:K3130,"0",B2374:B3130,"5 1 2 4 9 12*")</f>
        <v>0</v>
      </c>
      <c r="H2373" s="31">
        <f t="shared" si="37"/>
        <v>435837.54000000004</v>
      </c>
      <c r="I2373" s="31"/>
      <c r="K2373" t="s">
        <v>13</v>
      </c>
    </row>
    <row r="2374" spans="2:11" ht="13" x14ac:dyDescent="0.15">
      <c r="B2374" s="29" t="s">
        <v>3054</v>
      </c>
      <c r="C2374" s="29" t="s">
        <v>26</v>
      </c>
      <c r="D2374" s="31">
        <f>SUMIFS(D2375:D3130,K2375:K3130,"0",B2375:B3130,"5 1 2 4 9 12 31111*")-SUMIFS(E2375:E3130,K2375:K3130,"0",B2375:B3130,"5 1 2 4 9 12 31111*")</f>
        <v>0</v>
      </c>
      <c r="E2374"/>
      <c r="F2374" s="31">
        <f>SUMIFS(F2375:F3130,K2375:K3130,"0",B2375:B3130,"5 1 2 4 9 12 31111*")</f>
        <v>435837.54000000004</v>
      </c>
      <c r="G2374" s="31">
        <f>SUMIFS(G2375:G3130,K2375:K3130,"0",B2375:B3130,"5 1 2 4 9 12 31111*")</f>
        <v>0</v>
      </c>
      <c r="H2374" s="31">
        <f t="shared" si="37"/>
        <v>435837.54000000004</v>
      </c>
      <c r="I2374" s="31"/>
      <c r="K2374" t="s">
        <v>13</v>
      </c>
    </row>
    <row r="2375" spans="2:11" ht="13" x14ac:dyDescent="0.15">
      <c r="B2375" s="29" t="s">
        <v>3055</v>
      </c>
      <c r="C2375" s="29" t="s">
        <v>28</v>
      </c>
      <c r="D2375" s="31">
        <f>SUMIFS(D2376:D3130,K2376:K3130,"0",B2376:B3130,"5 1 2 4 9 12 31111 6*")-SUMIFS(E2376:E3130,K2376:K3130,"0",B2376:B3130,"5 1 2 4 9 12 31111 6*")</f>
        <v>0</v>
      </c>
      <c r="E2375"/>
      <c r="F2375" s="31">
        <f>SUMIFS(F2376:F3130,K2376:K3130,"0",B2376:B3130,"5 1 2 4 9 12 31111 6*")</f>
        <v>435837.54000000004</v>
      </c>
      <c r="G2375" s="31">
        <f>SUMIFS(G2376:G3130,K2376:K3130,"0",B2376:B3130,"5 1 2 4 9 12 31111 6*")</f>
        <v>0</v>
      </c>
      <c r="H2375" s="31">
        <f t="shared" si="37"/>
        <v>435837.54000000004</v>
      </c>
      <c r="I2375" s="31"/>
      <c r="K2375" t="s">
        <v>13</v>
      </c>
    </row>
    <row r="2376" spans="2:11" ht="13" x14ac:dyDescent="0.15">
      <c r="B2376" s="29" t="s">
        <v>3056</v>
      </c>
      <c r="C2376" s="29" t="s">
        <v>1567</v>
      </c>
      <c r="D2376" s="31">
        <f>SUMIFS(D2377:D3130,K2377:K3130,"0",B2377:B3130,"5 1 2 4 9 12 31111 6 M78*")-SUMIFS(E2377:E3130,K2377:K3130,"0",B2377:B3130,"5 1 2 4 9 12 31111 6 M78*")</f>
        <v>0</v>
      </c>
      <c r="E2376"/>
      <c r="F2376" s="31">
        <f>SUMIFS(F2377:F3130,K2377:K3130,"0",B2377:B3130,"5 1 2 4 9 12 31111 6 M78*")</f>
        <v>435837.54000000004</v>
      </c>
      <c r="G2376" s="31">
        <f>SUMIFS(G2377:G3130,K2377:K3130,"0",B2377:B3130,"5 1 2 4 9 12 31111 6 M78*")</f>
        <v>0</v>
      </c>
      <c r="H2376" s="31">
        <f t="shared" si="37"/>
        <v>435837.54000000004</v>
      </c>
      <c r="I2376" s="31"/>
      <c r="K2376" t="s">
        <v>13</v>
      </c>
    </row>
    <row r="2377" spans="2:11" ht="13" x14ac:dyDescent="0.15">
      <c r="B2377" s="29" t="s">
        <v>3057</v>
      </c>
      <c r="C2377" s="29" t="s">
        <v>8</v>
      </c>
      <c r="D2377" s="31">
        <f>SUMIFS(D2378:D3130,K2378:K3130,"0",B2378:B3130,"5 1 2 4 9 12 31111 6 M78 07000*")-SUMIFS(E2378:E3130,K2378:K3130,"0",B2378:B3130,"5 1 2 4 9 12 31111 6 M78 07000*")</f>
        <v>0</v>
      </c>
      <c r="E2377"/>
      <c r="F2377" s="31">
        <f>SUMIFS(F2378:F3130,K2378:K3130,"0",B2378:B3130,"5 1 2 4 9 12 31111 6 M78 07000*")</f>
        <v>209578.5</v>
      </c>
      <c r="G2377" s="31">
        <f>SUMIFS(G2378:G3130,K2378:K3130,"0",B2378:B3130,"5 1 2 4 9 12 31111 6 M78 07000*")</f>
        <v>0</v>
      </c>
      <c r="H2377" s="31">
        <f t="shared" si="37"/>
        <v>209578.5</v>
      </c>
      <c r="I2377" s="31"/>
      <c r="K2377" t="s">
        <v>13</v>
      </c>
    </row>
    <row r="2378" spans="2:11" ht="13" x14ac:dyDescent="0.15">
      <c r="B2378" s="29" t="s">
        <v>3058</v>
      </c>
      <c r="C2378" s="29" t="s">
        <v>588</v>
      </c>
      <c r="D2378" s="31">
        <f>SUMIFS(D2379:D3130,K2379:K3130,"0",B2379:B3130,"5 1 2 4 9 12 31111 6 M78 07000 151*")-SUMIFS(E2379:E3130,K2379:K3130,"0",B2379:B3130,"5 1 2 4 9 12 31111 6 M78 07000 151*")</f>
        <v>0</v>
      </c>
      <c r="E2378"/>
      <c r="F2378" s="31">
        <f>SUMIFS(F2379:F3130,K2379:K3130,"0",B2379:B3130,"5 1 2 4 9 12 31111 6 M78 07000 151*")</f>
        <v>209578.5</v>
      </c>
      <c r="G2378" s="31">
        <f>SUMIFS(G2379:G3130,K2379:K3130,"0",B2379:B3130,"5 1 2 4 9 12 31111 6 M78 07000 151*")</f>
        <v>0</v>
      </c>
      <c r="H2378" s="31">
        <f t="shared" si="37"/>
        <v>209578.5</v>
      </c>
      <c r="I2378" s="31"/>
      <c r="K2378" t="s">
        <v>13</v>
      </c>
    </row>
    <row r="2379" spans="2:11" ht="13" x14ac:dyDescent="0.15">
      <c r="B2379" s="29" t="s">
        <v>3059</v>
      </c>
      <c r="C2379" s="29" t="s">
        <v>265</v>
      </c>
      <c r="D2379" s="31">
        <f>SUMIFS(D2380:D3130,K2380:K3130,"0",B2380:B3130,"5 1 2 4 9 12 31111 6 M78 07000 151 00C*")-SUMIFS(E2380:E3130,K2380:K3130,"0",B2380:B3130,"5 1 2 4 9 12 31111 6 M78 07000 151 00C*")</f>
        <v>0</v>
      </c>
      <c r="E2379"/>
      <c r="F2379" s="31">
        <f>SUMIFS(F2380:F3130,K2380:K3130,"0",B2380:B3130,"5 1 2 4 9 12 31111 6 M78 07000 151 00C*")</f>
        <v>209578.5</v>
      </c>
      <c r="G2379" s="31">
        <f>SUMIFS(G2380:G3130,K2380:K3130,"0",B2380:B3130,"5 1 2 4 9 12 31111 6 M78 07000 151 00C*")</f>
        <v>0</v>
      </c>
      <c r="H2379" s="31">
        <f t="shared" ref="H2379:H2442" si="38">D2379 + F2379 - G2379</f>
        <v>209578.5</v>
      </c>
      <c r="I2379" s="31"/>
      <c r="K2379" t="s">
        <v>13</v>
      </c>
    </row>
    <row r="2380" spans="2:11" ht="13" x14ac:dyDescent="0.15">
      <c r="B2380" s="29" t="s">
        <v>3060</v>
      </c>
      <c r="C2380" s="29" t="s">
        <v>32</v>
      </c>
      <c r="D2380" s="31">
        <f>SUMIFS(D2381:D3130,K2381:K3130,"0",B2381:B3130,"5 1 2 4 9 12 31111 6 M78 07000 151 00C 001*")-SUMIFS(E2381:E3130,K2381:K3130,"0",B2381:B3130,"5 1 2 4 9 12 31111 6 M78 07000 151 00C 001*")</f>
        <v>0</v>
      </c>
      <c r="E2380"/>
      <c r="F2380" s="31">
        <f>SUMIFS(F2381:F3130,K2381:K3130,"0",B2381:B3130,"5 1 2 4 9 12 31111 6 M78 07000 151 00C 001*")</f>
        <v>209578.5</v>
      </c>
      <c r="G2380" s="31">
        <f>SUMIFS(G2381:G3130,K2381:K3130,"0",B2381:B3130,"5 1 2 4 9 12 31111 6 M78 07000 151 00C 001*")</f>
        <v>0</v>
      </c>
      <c r="H2380" s="31">
        <f t="shared" si="38"/>
        <v>209578.5</v>
      </c>
      <c r="I2380" s="31"/>
      <c r="K2380" t="s">
        <v>13</v>
      </c>
    </row>
    <row r="2381" spans="2:11" ht="13" x14ac:dyDescent="0.15">
      <c r="B2381" s="29" t="s">
        <v>3061</v>
      </c>
      <c r="C2381" s="29" t="s">
        <v>3062</v>
      </c>
      <c r="D2381" s="31">
        <f>SUMIFS(D2382:D3130,K2382:K3130,"0",B2382:B3130,"5 1 2 4 9 12 31111 6 M78 07000 151 00C 001 24901*")-SUMIFS(E2382:E3130,K2382:K3130,"0",B2382:B3130,"5 1 2 4 9 12 31111 6 M78 07000 151 00C 001 24901*")</f>
        <v>0</v>
      </c>
      <c r="E2381"/>
      <c r="F2381" s="31">
        <f>SUMIFS(F2382:F3130,K2382:K3130,"0",B2382:B3130,"5 1 2 4 9 12 31111 6 M78 07000 151 00C 001 24901*")</f>
        <v>209578.5</v>
      </c>
      <c r="G2381" s="31">
        <f>SUMIFS(G2382:G3130,K2382:K3130,"0",B2382:B3130,"5 1 2 4 9 12 31111 6 M78 07000 151 00C 001 24901*")</f>
        <v>0</v>
      </c>
      <c r="H2381" s="31">
        <f t="shared" si="38"/>
        <v>209578.5</v>
      </c>
      <c r="I2381" s="31"/>
      <c r="K2381" t="s">
        <v>13</v>
      </c>
    </row>
    <row r="2382" spans="2:11" ht="22" x14ac:dyDescent="0.15">
      <c r="B2382" s="29" t="s">
        <v>3063</v>
      </c>
      <c r="C2382" s="29" t="s">
        <v>271</v>
      </c>
      <c r="D2382" s="31">
        <f>SUMIFS(D2383:D3130,K2383:K3130,"0",B2383:B3130,"5 1 2 4 9 12 31111 6 M78 07000 151 00C 001 24901 015*")-SUMIFS(E2383:E3130,K2383:K3130,"0",B2383:B3130,"5 1 2 4 9 12 31111 6 M78 07000 151 00C 001 24901 015*")</f>
        <v>0</v>
      </c>
      <c r="E2382"/>
      <c r="F2382" s="31">
        <f>SUMIFS(F2383:F3130,K2383:K3130,"0",B2383:B3130,"5 1 2 4 9 12 31111 6 M78 07000 151 00C 001 24901 015*")</f>
        <v>209578.5</v>
      </c>
      <c r="G2382" s="31">
        <f>SUMIFS(G2383:G3130,K2383:K3130,"0",B2383:B3130,"5 1 2 4 9 12 31111 6 M78 07000 151 00C 001 24901 015*")</f>
        <v>0</v>
      </c>
      <c r="H2382" s="31">
        <f t="shared" si="38"/>
        <v>209578.5</v>
      </c>
      <c r="I2382" s="31"/>
      <c r="K2382" t="s">
        <v>13</v>
      </c>
    </row>
    <row r="2383" spans="2:11" ht="22" x14ac:dyDescent="0.15">
      <c r="B2383" s="29" t="s">
        <v>3064</v>
      </c>
      <c r="C2383" s="29" t="s">
        <v>595</v>
      </c>
      <c r="D2383" s="31">
        <f>SUMIFS(D2384:D3130,K2384:K3130,"0",B2384:B3130,"5 1 2 4 9 12 31111 6 M78 07000 151 00C 001 24901 015 2112000*")-SUMIFS(E2384:E3130,K2384:K3130,"0",B2384:B3130,"5 1 2 4 9 12 31111 6 M78 07000 151 00C 001 24901 015 2112000*")</f>
        <v>0</v>
      </c>
      <c r="E2383"/>
      <c r="F2383" s="31">
        <f>SUMIFS(F2384:F3130,K2384:K3130,"0",B2384:B3130,"5 1 2 4 9 12 31111 6 M78 07000 151 00C 001 24901 015 2112000*")</f>
        <v>209578.5</v>
      </c>
      <c r="G2383" s="31">
        <f>SUMIFS(G2384:G3130,K2384:K3130,"0",B2384:B3130,"5 1 2 4 9 12 31111 6 M78 07000 151 00C 001 24901 015 2112000*")</f>
        <v>0</v>
      </c>
      <c r="H2383" s="31">
        <f t="shared" si="38"/>
        <v>209578.5</v>
      </c>
      <c r="I2383" s="31"/>
      <c r="K2383" t="s">
        <v>13</v>
      </c>
    </row>
    <row r="2384" spans="2:11" ht="22" x14ac:dyDescent="0.15">
      <c r="B2384" s="29" t="s">
        <v>3065</v>
      </c>
      <c r="C2384" s="29" t="s">
        <v>275</v>
      </c>
      <c r="D2384" s="31">
        <f>SUMIFS(D2385:D3130,K2385:K3130,"0",B2385:B3130,"5 1 2 4 9 12 31111 6 M78 07000 151 00C 001 24901 015 2112000 2024*")-SUMIFS(E2385:E3130,K2385:K3130,"0",B2385:B3130,"5 1 2 4 9 12 31111 6 M78 07000 151 00C 001 24901 015 2112000 2024*")</f>
        <v>0</v>
      </c>
      <c r="E2384"/>
      <c r="F2384" s="31">
        <f>SUMIFS(F2385:F3130,K2385:K3130,"0",B2385:B3130,"5 1 2 4 9 12 31111 6 M78 07000 151 00C 001 24901 015 2112000 2024*")</f>
        <v>209578.5</v>
      </c>
      <c r="G2384" s="31">
        <f>SUMIFS(G2385:G3130,K2385:K3130,"0",B2385:B3130,"5 1 2 4 9 12 31111 6 M78 07000 151 00C 001 24901 015 2112000 2024*")</f>
        <v>0</v>
      </c>
      <c r="H2384" s="31">
        <f t="shared" si="38"/>
        <v>209578.5</v>
      </c>
      <c r="I2384" s="31"/>
      <c r="K2384" t="s">
        <v>13</v>
      </c>
    </row>
    <row r="2385" spans="2:11" ht="22" x14ac:dyDescent="0.15">
      <c r="B2385" s="29" t="s">
        <v>3066</v>
      </c>
      <c r="C2385" s="29" t="s">
        <v>277</v>
      </c>
      <c r="D2385" s="31">
        <f>SUMIFS(D2386:D3130,K2386:K3130,"0",B2386:B3130,"5 1 2 4 9 12 31111 6 M78 07000 151 00C 001 24901 015 2112000 2024 00000000*")-SUMIFS(E2386:E3130,K2386:K3130,"0",B2386:B3130,"5 1 2 4 9 12 31111 6 M78 07000 151 00C 001 24901 015 2112000 2024 00000000*")</f>
        <v>0</v>
      </c>
      <c r="E2385"/>
      <c r="F2385" s="31">
        <f>SUMIFS(F2386:F3130,K2386:K3130,"0",B2386:B3130,"5 1 2 4 9 12 31111 6 M78 07000 151 00C 001 24901 015 2112000 2024 00000000*")</f>
        <v>209578.5</v>
      </c>
      <c r="G2385" s="31">
        <f>SUMIFS(G2386:G3130,K2386:K3130,"0",B2386:B3130,"5 1 2 4 9 12 31111 6 M78 07000 151 00C 001 24901 015 2112000 2024 00000000*")</f>
        <v>0</v>
      </c>
      <c r="H2385" s="31">
        <f t="shared" si="38"/>
        <v>209578.5</v>
      </c>
      <c r="I2385" s="31"/>
      <c r="K2385" t="s">
        <v>13</v>
      </c>
    </row>
    <row r="2386" spans="2:11" ht="22" x14ac:dyDescent="0.15">
      <c r="B2386" s="29" t="s">
        <v>3067</v>
      </c>
      <c r="C2386" s="29" t="s">
        <v>32</v>
      </c>
      <c r="D2386" s="31">
        <f>SUMIFS(D2387:D3130,K2387:K3130,"0",B2387:B3130,"5 1 2 4 9 12 31111 6 M78 07000 151 00C 001 24901 015 2112000 2024 00000000 001*")-SUMIFS(E2387:E3130,K2387:K3130,"0",B2387:B3130,"5 1 2 4 9 12 31111 6 M78 07000 151 00C 001 24901 015 2112000 2024 00000000 001*")</f>
        <v>0</v>
      </c>
      <c r="E2386"/>
      <c r="F2386" s="31">
        <f>SUMIFS(F2387:F3130,K2387:K3130,"0",B2387:B3130,"5 1 2 4 9 12 31111 6 M78 07000 151 00C 001 24901 015 2112000 2024 00000000 001*")</f>
        <v>209578.5</v>
      </c>
      <c r="G2386" s="31">
        <f>SUMIFS(G2387:G3130,K2387:K3130,"0",B2387:B3130,"5 1 2 4 9 12 31111 6 M78 07000 151 00C 001 24901 015 2112000 2024 00000000 001*")</f>
        <v>0</v>
      </c>
      <c r="H2386" s="31">
        <f t="shared" si="38"/>
        <v>209578.5</v>
      </c>
      <c r="I2386" s="31"/>
      <c r="K2386" t="s">
        <v>13</v>
      </c>
    </row>
    <row r="2387" spans="2:11" ht="22" x14ac:dyDescent="0.15">
      <c r="B2387" s="27" t="s">
        <v>3068</v>
      </c>
      <c r="C2387" s="27" t="s">
        <v>3069</v>
      </c>
      <c r="D2387" s="30">
        <v>0</v>
      </c>
      <c r="E2387" s="30"/>
      <c r="F2387" s="30">
        <v>209578.5</v>
      </c>
      <c r="G2387" s="30">
        <v>0</v>
      </c>
      <c r="H2387" s="30">
        <f t="shared" si="38"/>
        <v>209578.5</v>
      </c>
      <c r="I2387" s="30"/>
      <c r="K2387" t="s">
        <v>37</v>
      </c>
    </row>
    <row r="2388" spans="2:11" ht="13" x14ac:dyDescent="0.15">
      <c r="B2388" s="29" t="s">
        <v>3070</v>
      </c>
      <c r="C2388" s="29" t="s">
        <v>833</v>
      </c>
      <c r="D2388" s="31">
        <f>SUMIFS(D2389:D3130,K2389:K3130,"0",B2389:B3130,"5 1 2 4 9 12 31111 6 M78 15000*")-SUMIFS(E2389:E3130,K2389:K3130,"0",B2389:B3130,"5 1 2 4 9 12 31111 6 M78 15000*")</f>
        <v>0</v>
      </c>
      <c r="E2388"/>
      <c r="F2388" s="31">
        <f>SUMIFS(F2389:F3130,K2389:K3130,"0",B2389:B3130,"5 1 2 4 9 12 31111 6 M78 15000*")</f>
        <v>226259.04</v>
      </c>
      <c r="G2388" s="31">
        <f>SUMIFS(G2389:G3130,K2389:K3130,"0",B2389:B3130,"5 1 2 4 9 12 31111 6 M78 15000*")</f>
        <v>0</v>
      </c>
      <c r="H2388" s="31">
        <f t="shared" si="38"/>
        <v>226259.04</v>
      </c>
      <c r="I2388" s="31"/>
      <c r="K2388" t="s">
        <v>13</v>
      </c>
    </row>
    <row r="2389" spans="2:11" ht="13" x14ac:dyDescent="0.15">
      <c r="B2389" s="29" t="s">
        <v>3071</v>
      </c>
      <c r="C2389" s="29" t="s">
        <v>835</v>
      </c>
      <c r="D2389" s="31">
        <f>SUMIFS(D2390:D3130,K2390:K3130,"0",B2390:B3130,"5 1 2 4 9 12 31111 6 M78 15000 171*")-SUMIFS(E2390:E3130,K2390:K3130,"0",B2390:B3130,"5 1 2 4 9 12 31111 6 M78 15000 171*")</f>
        <v>0</v>
      </c>
      <c r="E2389"/>
      <c r="F2389" s="31">
        <f>SUMIFS(F2390:F3130,K2390:K3130,"0",B2390:B3130,"5 1 2 4 9 12 31111 6 M78 15000 171*")</f>
        <v>226259.04</v>
      </c>
      <c r="G2389" s="31">
        <f>SUMIFS(G2390:G3130,K2390:K3130,"0",B2390:B3130,"5 1 2 4 9 12 31111 6 M78 15000 171*")</f>
        <v>0</v>
      </c>
      <c r="H2389" s="31">
        <f t="shared" si="38"/>
        <v>226259.04</v>
      </c>
      <c r="I2389" s="31"/>
      <c r="K2389" t="s">
        <v>13</v>
      </c>
    </row>
    <row r="2390" spans="2:11" ht="13" x14ac:dyDescent="0.15">
      <c r="B2390" s="29" t="s">
        <v>3072</v>
      </c>
      <c r="C2390" s="29" t="s">
        <v>285</v>
      </c>
      <c r="D2390" s="31">
        <f>SUMIFS(D2391:D3130,K2391:K3130,"0",B2391:B3130,"5 1 2 4 9 12 31111 6 M78 15000 171 00I*")-SUMIFS(E2391:E3130,K2391:K3130,"0",B2391:B3130,"5 1 2 4 9 12 31111 6 M78 15000 171 00I*")</f>
        <v>0</v>
      </c>
      <c r="E2390"/>
      <c r="F2390" s="31">
        <f>SUMIFS(F2391:F3130,K2391:K3130,"0",B2391:B3130,"5 1 2 4 9 12 31111 6 M78 15000 171 00I*")</f>
        <v>226259.04</v>
      </c>
      <c r="G2390" s="31">
        <f>SUMIFS(G2391:G3130,K2391:K3130,"0",B2391:B3130,"5 1 2 4 9 12 31111 6 M78 15000 171 00I*")</f>
        <v>0</v>
      </c>
      <c r="H2390" s="31">
        <f t="shared" si="38"/>
        <v>226259.04</v>
      </c>
      <c r="I2390" s="31"/>
      <c r="K2390" t="s">
        <v>13</v>
      </c>
    </row>
    <row r="2391" spans="2:11" ht="13" x14ac:dyDescent="0.15">
      <c r="B2391" s="29" t="s">
        <v>3073</v>
      </c>
      <c r="C2391" s="29" t="s">
        <v>32</v>
      </c>
      <c r="D2391" s="31">
        <f>SUMIFS(D2392:D3130,K2392:K3130,"0",B2392:B3130,"5 1 2 4 9 12 31111 6 M78 15000 171 00I 001*")-SUMIFS(E2392:E3130,K2392:K3130,"0",B2392:B3130,"5 1 2 4 9 12 31111 6 M78 15000 171 00I 001*")</f>
        <v>0</v>
      </c>
      <c r="E2391"/>
      <c r="F2391" s="31">
        <f>SUMIFS(F2392:F3130,K2392:K3130,"0",B2392:B3130,"5 1 2 4 9 12 31111 6 M78 15000 171 00I 001*")</f>
        <v>226259.04</v>
      </c>
      <c r="G2391" s="31">
        <f>SUMIFS(G2392:G3130,K2392:K3130,"0",B2392:B3130,"5 1 2 4 9 12 31111 6 M78 15000 171 00I 001*")</f>
        <v>0</v>
      </c>
      <c r="H2391" s="31">
        <f t="shared" si="38"/>
        <v>226259.04</v>
      </c>
      <c r="I2391" s="31"/>
      <c r="K2391" t="s">
        <v>13</v>
      </c>
    </row>
    <row r="2392" spans="2:11" ht="13" x14ac:dyDescent="0.15">
      <c r="B2392" s="29" t="s">
        <v>3074</v>
      </c>
      <c r="C2392" s="29" t="s">
        <v>3062</v>
      </c>
      <c r="D2392" s="31">
        <f>SUMIFS(D2393:D3130,K2393:K3130,"0",B2393:B3130,"5 1 2 4 9 12 31111 6 M78 15000 171 00I 001 24901*")-SUMIFS(E2393:E3130,K2393:K3130,"0",B2393:B3130,"5 1 2 4 9 12 31111 6 M78 15000 171 00I 001 24901*")</f>
        <v>0</v>
      </c>
      <c r="E2392"/>
      <c r="F2392" s="31">
        <f>SUMIFS(F2393:F3130,K2393:K3130,"0",B2393:B3130,"5 1 2 4 9 12 31111 6 M78 15000 171 00I 001 24901*")</f>
        <v>226259.04</v>
      </c>
      <c r="G2392" s="31">
        <f>SUMIFS(G2393:G3130,K2393:K3130,"0",B2393:B3130,"5 1 2 4 9 12 31111 6 M78 15000 171 00I 001 24901*")</f>
        <v>0</v>
      </c>
      <c r="H2392" s="31">
        <f t="shared" si="38"/>
        <v>226259.04</v>
      </c>
      <c r="I2392" s="31"/>
      <c r="K2392" t="s">
        <v>13</v>
      </c>
    </row>
    <row r="2393" spans="2:11" ht="22" x14ac:dyDescent="0.15">
      <c r="B2393" s="29" t="s">
        <v>3075</v>
      </c>
      <c r="C2393" s="29" t="s">
        <v>290</v>
      </c>
      <c r="D2393" s="31">
        <f>SUMIFS(D2394:D3130,K2394:K3130,"0",B2394:B3130,"5 1 2 4 9 12 31111 6 M78 15000 171 00I 001 24901 025*")-SUMIFS(E2394:E3130,K2394:K3130,"0",B2394:B3130,"5 1 2 4 9 12 31111 6 M78 15000 171 00I 001 24901 025*")</f>
        <v>0</v>
      </c>
      <c r="E2393"/>
      <c r="F2393" s="31">
        <f>SUMIFS(F2394:F3130,K2394:K3130,"0",B2394:B3130,"5 1 2 4 9 12 31111 6 M78 15000 171 00I 001 24901 025*")</f>
        <v>226259.04</v>
      </c>
      <c r="G2393" s="31">
        <f>SUMIFS(G2394:G3130,K2394:K3130,"0",B2394:B3130,"5 1 2 4 9 12 31111 6 M78 15000 171 00I 001 24901 025*")</f>
        <v>0</v>
      </c>
      <c r="H2393" s="31">
        <f t="shared" si="38"/>
        <v>226259.04</v>
      </c>
      <c r="I2393" s="31"/>
      <c r="K2393" t="s">
        <v>13</v>
      </c>
    </row>
    <row r="2394" spans="2:11" ht="22" x14ac:dyDescent="0.15">
      <c r="B2394" s="29" t="s">
        <v>3076</v>
      </c>
      <c r="C2394" s="29" t="s">
        <v>595</v>
      </c>
      <c r="D2394" s="31">
        <f>SUMIFS(D2395:D3130,K2395:K3130,"0",B2395:B3130,"5 1 2 4 9 12 31111 6 M78 15000 171 00I 001 24901 025 2112000*")-SUMIFS(E2395:E3130,K2395:K3130,"0",B2395:B3130,"5 1 2 4 9 12 31111 6 M78 15000 171 00I 001 24901 025 2112000*")</f>
        <v>0</v>
      </c>
      <c r="E2394"/>
      <c r="F2394" s="31">
        <f>SUMIFS(F2395:F3130,K2395:K3130,"0",B2395:B3130,"5 1 2 4 9 12 31111 6 M78 15000 171 00I 001 24901 025 2112000*")</f>
        <v>226259.04</v>
      </c>
      <c r="G2394" s="31">
        <f>SUMIFS(G2395:G3130,K2395:K3130,"0",B2395:B3130,"5 1 2 4 9 12 31111 6 M78 15000 171 00I 001 24901 025 2112000*")</f>
        <v>0</v>
      </c>
      <c r="H2394" s="31">
        <f t="shared" si="38"/>
        <v>226259.04</v>
      </c>
      <c r="I2394" s="31"/>
      <c r="K2394" t="s">
        <v>13</v>
      </c>
    </row>
    <row r="2395" spans="2:11" ht="22" x14ac:dyDescent="0.15">
      <c r="B2395" s="29" t="s">
        <v>3077</v>
      </c>
      <c r="C2395" s="29" t="s">
        <v>275</v>
      </c>
      <c r="D2395" s="31">
        <f>SUMIFS(D2396:D3130,K2396:K3130,"0",B2396:B3130,"5 1 2 4 9 12 31111 6 M78 15000 171 00I 001 24901 025 2112000 2024*")-SUMIFS(E2396:E3130,K2396:K3130,"0",B2396:B3130,"5 1 2 4 9 12 31111 6 M78 15000 171 00I 001 24901 025 2112000 2024*")</f>
        <v>0</v>
      </c>
      <c r="E2395"/>
      <c r="F2395" s="31">
        <f>SUMIFS(F2396:F3130,K2396:K3130,"0",B2396:B3130,"5 1 2 4 9 12 31111 6 M78 15000 171 00I 001 24901 025 2112000 2024*")</f>
        <v>226259.04</v>
      </c>
      <c r="G2395" s="31">
        <f>SUMIFS(G2396:G3130,K2396:K3130,"0",B2396:B3130,"5 1 2 4 9 12 31111 6 M78 15000 171 00I 001 24901 025 2112000 2024*")</f>
        <v>0</v>
      </c>
      <c r="H2395" s="31">
        <f t="shared" si="38"/>
        <v>226259.04</v>
      </c>
      <c r="I2395" s="31"/>
      <c r="K2395" t="s">
        <v>13</v>
      </c>
    </row>
    <row r="2396" spans="2:11" ht="22" x14ac:dyDescent="0.15">
      <c r="B2396" s="29" t="s">
        <v>3078</v>
      </c>
      <c r="C2396" s="29" t="s">
        <v>277</v>
      </c>
      <c r="D2396" s="31">
        <f>SUMIFS(D2397:D3130,K2397:K3130,"0",B2397:B3130,"5 1 2 4 9 12 31111 6 M78 15000 171 00I 001 24901 025 2112000 2024 00000000*")-SUMIFS(E2397:E3130,K2397:K3130,"0",B2397:B3130,"5 1 2 4 9 12 31111 6 M78 15000 171 00I 001 24901 025 2112000 2024 00000000*")</f>
        <v>0</v>
      </c>
      <c r="E2396"/>
      <c r="F2396" s="31">
        <f>SUMIFS(F2397:F3130,K2397:K3130,"0",B2397:B3130,"5 1 2 4 9 12 31111 6 M78 15000 171 00I 001 24901 025 2112000 2024 00000000*")</f>
        <v>226259.04</v>
      </c>
      <c r="G2396" s="31">
        <f>SUMIFS(G2397:G3130,K2397:K3130,"0",B2397:B3130,"5 1 2 4 9 12 31111 6 M78 15000 171 00I 001 24901 025 2112000 2024 00000000*")</f>
        <v>0</v>
      </c>
      <c r="H2396" s="31">
        <f t="shared" si="38"/>
        <v>226259.04</v>
      </c>
      <c r="I2396" s="31"/>
      <c r="K2396" t="s">
        <v>13</v>
      </c>
    </row>
    <row r="2397" spans="2:11" ht="22" x14ac:dyDescent="0.15">
      <c r="B2397" s="29" t="s">
        <v>3079</v>
      </c>
      <c r="C2397" s="29" t="s">
        <v>581</v>
      </c>
      <c r="D2397" s="31">
        <f>SUMIFS(D2398:D3130,K2398:K3130,"0",B2398:B3130,"5 1 2 4 9 12 31111 6 M78 15000 171 00I 001 24901 025 2112000 2024 00000000 003*")-SUMIFS(E2398:E3130,K2398:K3130,"0",B2398:B3130,"5 1 2 4 9 12 31111 6 M78 15000 171 00I 001 24901 025 2112000 2024 00000000 003*")</f>
        <v>0</v>
      </c>
      <c r="E2397"/>
      <c r="F2397" s="31">
        <f>SUMIFS(F2398:F3130,K2398:K3130,"0",B2398:B3130,"5 1 2 4 9 12 31111 6 M78 15000 171 00I 001 24901 025 2112000 2024 00000000 003*")</f>
        <v>226259.04</v>
      </c>
      <c r="G2397" s="31">
        <f>SUMIFS(G2398:G3130,K2398:K3130,"0",B2398:B3130,"5 1 2 4 9 12 31111 6 M78 15000 171 00I 001 24901 025 2112000 2024 00000000 003*")</f>
        <v>0</v>
      </c>
      <c r="H2397" s="31">
        <f t="shared" si="38"/>
        <v>226259.04</v>
      </c>
      <c r="I2397" s="31"/>
      <c r="K2397" t="s">
        <v>13</v>
      </c>
    </row>
    <row r="2398" spans="2:11" ht="22" x14ac:dyDescent="0.15">
      <c r="B2398" s="27" t="s">
        <v>3080</v>
      </c>
      <c r="C2398" s="27" t="s">
        <v>3081</v>
      </c>
      <c r="D2398" s="30">
        <v>0</v>
      </c>
      <c r="E2398" s="30"/>
      <c r="F2398" s="30">
        <v>226259.04</v>
      </c>
      <c r="G2398" s="30">
        <v>0</v>
      </c>
      <c r="H2398" s="30">
        <f t="shared" si="38"/>
        <v>226259.04</v>
      </c>
      <c r="I2398" s="30"/>
      <c r="K2398" t="s">
        <v>37</v>
      </c>
    </row>
    <row r="2399" spans="2:11" ht="13" x14ac:dyDescent="0.15">
      <c r="B2399" s="29" t="s">
        <v>3082</v>
      </c>
      <c r="C2399" s="29" t="s">
        <v>3083</v>
      </c>
      <c r="D2399" s="31">
        <f>SUMIFS(D2400:D3130,K2400:K3130,"0",B2400:B3130,"5 1 2 5*")-SUMIFS(E2400:E3130,K2400:K3130,"0",B2400:B3130,"5 1 2 5*")</f>
        <v>0</v>
      </c>
      <c r="E2399"/>
      <c r="F2399" s="31">
        <f>SUMIFS(F2400:F3130,K2400:K3130,"0",B2400:B3130,"5 1 2 5*")</f>
        <v>120603.22</v>
      </c>
      <c r="G2399" s="31">
        <f>SUMIFS(G2400:G3130,K2400:K3130,"0",B2400:B3130,"5 1 2 5*")</f>
        <v>16838.03</v>
      </c>
      <c r="H2399" s="31">
        <f t="shared" si="38"/>
        <v>103765.19</v>
      </c>
      <c r="I2399" s="31"/>
      <c r="K2399" t="s">
        <v>13</v>
      </c>
    </row>
    <row r="2400" spans="2:11" ht="13" x14ac:dyDescent="0.15">
      <c r="B2400" s="29" t="s">
        <v>3084</v>
      </c>
      <c r="C2400" s="29" t="s">
        <v>3085</v>
      </c>
      <c r="D2400" s="31">
        <f>SUMIFS(D2401:D3130,K2401:K3130,"0",B2401:B3130,"5 1 2 5 3*")-SUMIFS(E2401:E3130,K2401:K3130,"0",B2401:B3130,"5 1 2 5 3*")</f>
        <v>0</v>
      </c>
      <c r="E2400"/>
      <c r="F2400" s="31">
        <f>SUMIFS(F2401:F3130,K2401:K3130,"0",B2401:B3130,"5 1 2 5 3*")</f>
        <v>41553.15</v>
      </c>
      <c r="G2400" s="31">
        <f>SUMIFS(G2401:G3130,K2401:K3130,"0",B2401:B3130,"5 1 2 5 3*")</f>
        <v>1838</v>
      </c>
      <c r="H2400" s="31">
        <f t="shared" si="38"/>
        <v>39715.15</v>
      </c>
      <c r="I2400" s="31"/>
      <c r="K2400" t="s">
        <v>13</v>
      </c>
    </row>
    <row r="2401" spans="2:11" ht="13" x14ac:dyDescent="0.15">
      <c r="B2401" s="29" t="s">
        <v>3086</v>
      </c>
      <c r="C2401" s="29" t="s">
        <v>24</v>
      </c>
      <c r="D2401" s="31">
        <f>SUMIFS(D2402:D3130,K2402:K3130,"0",B2402:B3130,"5 1 2 5 3 12*")-SUMIFS(E2402:E3130,K2402:K3130,"0",B2402:B3130,"5 1 2 5 3 12*")</f>
        <v>0</v>
      </c>
      <c r="E2401"/>
      <c r="F2401" s="31">
        <f>SUMIFS(F2402:F3130,K2402:K3130,"0",B2402:B3130,"5 1 2 5 3 12*")</f>
        <v>41553.15</v>
      </c>
      <c r="G2401" s="31">
        <f>SUMIFS(G2402:G3130,K2402:K3130,"0",B2402:B3130,"5 1 2 5 3 12*")</f>
        <v>1838</v>
      </c>
      <c r="H2401" s="31">
        <f t="shared" si="38"/>
        <v>39715.15</v>
      </c>
      <c r="I2401" s="31"/>
      <c r="K2401" t="s">
        <v>13</v>
      </c>
    </row>
    <row r="2402" spans="2:11" ht="13" x14ac:dyDescent="0.15">
      <c r="B2402" s="29" t="s">
        <v>3087</v>
      </c>
      <c r="C2402" s="29" t="s">
        <v>26</v>
      </c>
      <c r="D2402" s="31">
        <f>SUMIFS(D2403:D3130,K2403:K3130,"0",B2403:B3130,"5 1 2 5 3 12 31111*")-SUMIFS(E2403:E3130,K2403:K3130,"0",B2403:B3130,"5 1 2 5 3 12 31111*")</f>
        <v>0</v>
      </c>
      <c r="E2402"/>
      <c r="F2402" s="31">
        <f>SUMIFS(F2403:F3130,K2403:K3130,"0",B2403:B3130,"5 1 2 5 3 12 31111*")</f>
        <v>41553.15</v>
      </c>
      <c r="G2402" s="31">
        <f>SUMIFS(G2403:G3130,K2403:K3130,"0",B2403:B3130,"5 1 2 5 3 12 31111*")</f>
        <v>1838</v>
      </c>
      <c r="H2402" s="31">
        <f t="shared" si="38"/>
        <v>39715.15</v>
      </c>
      <c r="I2402" s="31"/>
      <c r="K2402" t="s">
        <v>13</v>
      </c>
    </row>
    <row r="2403" spans="2:11" ht="13" x14ac:dyDescent="0.15">
      <c r="B2403" s="29" t="s">
        <v>3088</v>
      </c>
      <c r="C2403" s="29" t="s">
        <v>28</v>
      </c>
      <c r="D2403" s="31">
        <f>SUMIFS(D2404:D3130,K2404:K3130,"0",B2404:B3130,"5 1 2 5 3 12 31111 6*")-SUMIFS(E2404:E3130,K2404:K3130,"0",B2404:B3130,"5 1 2 5 3 12 31111 6*")</f>
        <v>0</v>
      </c>
      <c r="E2403"/>
      <c r="F2403" s="31">
        <f>SUMIFS(F2404:F3130,K2404:K3130,"0",B2404:B3130,"5 1 2 5 3 12 31111 6*")</f>
        <v>41553.15</v>
      </c>
      <c r="G2403" s="31">
        <f>SUMIFS(G2404:G3130,K2404:K3130,"0",B2404:B3130,"5 1 2 5 3 12 31111 6*")</f>
        <v>1838</v>
      </c>
      <c r="H2403" s="31">
        <f t="shared" si="38"/>
        <v>39715.15</v>
      </c>
      <c r="I2403" s="31"/>
      <c r="K2403" t="s">
        <v>13</v>
      </c>
    </row>
    <row r="2404" spans="2:11" ht="13" x14ac:dyDescent="0.15">
      <c r="B2404" s="29" t="s">
        <v>3089</v>
      </c>
      <c r="C2404" s="29" t="s">
        <v>1567</v>
      </c>
      <c r="D2404" s="31">
        <f>SUMIFS(D2405:D3130,K2405:K3130,"0",B2405:B3130,"5 1 2 5 3 12 31111 6 M78*")-SUMIFS(E2405:E3130,K2405:K3130,"0",B2405:B3130,"5 1 2 5 3 12 31111 6 M78*")</f>
        <v>0</v>
      </c>
      <c r="E2404"/>
      <c r="F2404" s="31">
        <f>SUMIFS(F2405:F3130,K2405:K3130,"0",B2405:B3130,"5 1 2 5 3 12 31111 6 M78*")</f>
        <v>41553.15</v>
      </c>
      <c r="G2404" s="31">
        <f>SUMIFS(G2405:G3130,K2405:K3130,"0",B2405:B3130,"5 1 2 5 3 12 31111 6 M78*")</f>
        <v>1838</v>
      </c>
      <c r="H2404" s="31">
        <f t="shared" si="38"/>
        <v>39715.15</v>
      </c>
      <c r="I2404" s="31"/>
      <c r="K2404" t="s">
        <v>13</v>
      </c>
    </row>
    <row r="2405" spans="2:11" ht="13" x14ac:dyDescent="0.15">
      <c r="B2405" s="29" t="s">
        <v>3090</v>
      </c>
      <c r="C2405" s="29" t="s">
        <v>8</v>
      </c>
      <c r="D2405" s="31">
        <f>SUMIFS(D2406:D3130,K2406:K3130,"0",B2406:B3130,"5 1 2 5 3 12 31111 6 M78 07000*")-SUMIFS(E2406:E3130,K2406:K3130,"0",B2406:B3130,"5 1 2 5 3 12 31111 6 M78 07000*")</f>
        <v>0</v>
      </c>
      <c r="E2405"/>
      <c r="F2405" s="31">
        <f>SUMIFS(F2406:F3130,K2406:K3130,"0",B2406:B3130,"5 1 2 5 3 12 31111 6 M78 07000*")</f>
        <v>41553.15</v>
      </c>
      <c r="G2405" s="31">
        <f>SUMIFS(G2406:G3130,K2406:K3130,"0",B2406:B3130,"5 1 2 5 3 12 31111 6 M78 07000*")</f>
        <v>1838</v>
      </c>
      <c r="H2405" s="31">
        <f t="shared" si="38"/>
        <v>39715.15</v>
      </c>
      <c r="I2405" s="31"/>
      <c r="K2405" t="s">
        <v>13</v>
      </c>
    </row>
    <row r="2406" spans="2:11" ht="13" x14ac:dyDescent="0.15">
      <c r="B2406" s="29" t="s">
        <v>3091</v>
      </c>
      <c r="C2406" s="29" t="s">
        <v>588</v>
      </c>
      <c r="D2406" s="31">
        <f>SUMIFS(D2407:D3130,K2407:K3130,"0",B2407:B3130,"5 1 2 5 3 12 31111 6 M78 07000 151*")-SUMIFS(E2407:E3130,K2407:K3130,"0",B2407:B3130,"5 1 2 5 3 12 31111 6 M78 07000 151*")</f>
        <v>0</v>
      </c>
      <c r="E2406"/>
      <c r="F2406" s="31">
        <f>SUMIFS(F2407:F3130,K2407:K3130,"0",B2407:B3130,"5 1 2 5 3 12 31111 6 M78 07000 151*")</f>
        <v>41553.15</v>
      </c>
      <c r="G2406" s="31">
        <f>SUMIFS(G2407:G3130,K2407:K3130,"0",B2407:B3130,"5 1 2 5 3 12 31111 6 M78 07000 151*")</f>
        <v>1838</v>
      </c>
      <c r="H2406" s="31">
        <f t="shared" si="38"/>
        <v>39715.15</v>
      </c>
      <c r="I2406" s="31"/>
      <c r="K2406" t="s">
        <v>13</v>
      </c>
    </row>
    <row r="2407" spans="2:11" ht="13" x14ac:dyDescent="0.15">
      <c r="B2407" s="29" t="s">
        <v>3092</v>
      </c>
      <c r="C2407" s="29" t="s">
        <v>265</v>
      </c>
      <c r="D2407" s="31">
        <f>SUMIFS(D2408:D3130,K2408:K3130,"0",B2408:B3130,"5 1 2 5 3 12 31111 6 M78 07000 151 00C*")-SUMIFS(E2408:E3130,K2408:K3130,"0",B2408:B3130,"5 1 2 5 3 12 31111 6 M78 07000 151 00C*")</f>
        <v>0</v>
      </c>
      <c r="E2407"/>
      <c r="F2407" s="31">
        <f>SUMIFS(F2408:F3130,K2408:K3130,"0",B2408:B3130,"5 1 2 5 3 12 31111 6 M78 07000 151 00C*")</f>
        <v>41553.15</v>
      </c>
      <c r="G2407" s="31">
        <f>SUMIFS(G2408:G3130,K2408:K3130,"0",B2408:B3130,"5 1 2 5 3 12 31111 6 M78 07000 151 00C*")</f>
        <v>1838</v>
      </c>
      <c r="H2407" s="31">
        <f t="shared" si="38"/>
        <v>39715.15</v>
      </c>
      <c r="I2407" s="31"/>
      <c r="K2407" t="s">
        <v>13</v>
      </c>
    </row>
    <row r="2408" spans="2:11" ht="13" x14ac:dyDescent="0.15">
      <c r="B2408" s="29" t="s">
        <v>3093</v>
      </c>
      <c r="C2408" s="29" t="s">
        <v>32</v>
      </c>
      <c r="D2408" s="31">
        <f>SUMIFS(D2409:D3130,K2409:K3130,"0",B2409:B3130,"5 1 2 5 3 12 31111 6 M78 07000 151 00C 001*")-SUMIFS(E2409:E3130,K2409:K3130,"0",B2409:B3130,"5 1 2 5 3 12 31111 6 M78 07000 151 00C 001*")</f>
        <v>0</v>
      </c>
      <c r="E2408"/>
      <c r="F2408" s="31">
        <f>SUMIFS(F2409:F3130,K2409:K3130,"0",B2409:B3130,"5 1 2 5 3 12 31111 6 M78 07000 151 00C 001*")</f>
        <v>41553.15</v>
      </c>
      <c r="G2408" s="31">
        <f>SUMIFS(G2409:G3130,K2409:K3130,"0",B2409:B3130,"5 1 2 5 3 12 31111 6 M78 07000 151 00C 001*")</f>
        <v>1838</v>
      </c>
      <c r="H2408" s="31">
        <f t="shared" si="38"/>
        <v>39715.15</v>
      </c>
      <c r="I2408" s="31"/>
      <c r="K2408" t="s">
        <v>13</v>
      </c>
    </row>
    <row r="2409" spans="2:11" ht="13" x14ac:dyDescent="0.15">
      <c r="B2409" s="29" t="s">
        <v>3094</v>
      </c>
      <c r="C2409" s="29" t="s">
        <v>3095</v>
      </c>
      <c r="D2409" s="31">
        <f>SUMIFS(D2410:D3130,K2410:K3130,"0",B2410:B3130,"5 1 2 5 3 12 31111 6 M78 07000 151 00C 001 25301*")-SUMIFS(E2410:E3130,K2410:K3130,"0",B2410:B3130,"5 1 2 5 3 12 31111 6 M78 07000 151 00C 001 25301*")</f>
        <v>0</v>
      </c>
      <c r="E2409"/>
      <c r="F2409" s="31">
        <f>SUMIFS(F2410:F3130,K2410:K3130,"0",B2410:B3130,"5 1 2 5 3 12 31111 6 M78 07000 151 00C 001 25301*")</f>
        <v>41553.15</v>
      </c>
      <c r="G2409" s="31">
        <f>SUMIFS(G2410:G3130,K2410:K3130,"0",B2410:B3130,"5 1 2 5 3 12 31111 6 M78 07000 151 00C 001 25301*")</f>
        <v>1838</v>
      </c>
      <c r="H2409" s="31">
        <f t="shared" si="38"/>
        <v>39715.15</v>
      </c>
      <c r="I2409" s="31"/>
      <c r="K2409" t="s">
        <v>13</v>
      </c>
    </row>
    <row r="2410" spans="2:11" ht="22" x14ac:dyDescent="0.15">
      <c r="B2410" s="29" t="s">
        <v>3096</v>
      </c>
      <c r="C2410" s="29" t="s">
        <v>271</v>
      </c>
      <c r="D2410" s="31">
        <f>SUMIFS(D2411:D3130,K2411:K3130,"0",B2411:B3130,"5 1 2 5 3 12 31111 6 M78 07000 151 00C 001 25301 015*")-SUMIFS(E2411:E3130,K2411:K3130,"0",B2411:B3130,"5 1 2 5 3 12 31111 6 M78 07000 151 00C 001 25301 015*")</f>
        <v>0</v>
      </c>
      <c r="E2410"/>
      <c r="F2410" s="31">
        <f>SUMIFS(F2411:F3130,K2411:K3130,"0",B2411:B3130,"5 1 2 5 3 12 31111 6 M78 07000 151 00C 001 25301 015*")</f>
        <v>41553.15</v>
      </c>
      <c r="G2410" s="31">
        <f>SUMIFS(G2411:G3130,K2411:K3130,"0",B2411:B3130,"5 1 2 5 3 12 31111 6 M78 07000 151 00C 001 25301 015*")</f>
        <v>1838</v>
      </c>
      <c r="H2410" s="31">
        <f t="shared" si="38"/>
        <v>39715.15</v>
      </c>
      <c r="I2410" s="31"/>
      <c r="K2410" t="s">
        <v>13</v>
      </c>
    </row>
    <row r="2411" spans="2:11" ht="22" x14ac:dyDescent="0.15">
      <c r="B2411" s="29" t="s">
        <v>3097</v>
      </c>
      <c r="C2411" s="29" t="s">
        <v>595</v>
      </c>
      <c r="D2411" s="31">
        <f>SUMIFS(D2412:D3130,K2412:K3130,"0",B2412:B3130,"5 1 2 5 3 12 31111 6 M78 07000 151 00C 001 25301 015 2112000*")-SUMIFS(E2412:E3130,K2412:K3130,"0",B2412:B3130,"5 1 2 5 3 12 31111 6 M78 07000 151 00C 001 25301 015 2112000*")</f>
        <v>0</v>
      </c>
      <c r="E2411"/>
      <c r="F2411" s="31">
        <f>SUMIFS(F2412:F3130,K2412:K3130,"0",B2412:B3130,"5 1 2 5 3 12 31111 6 M78 07000 151 00C 001 25301 015 2112000*")</f>
        <v>41553.15</v>
      </c>
      <c r="G2411" s="31">
        <f>SUMIFS(G2412:G3130,K2412:K3130,"0",B2412:B3130,"5 1 2 5 3 12 31111 6 M78 07000 151 00C 001 25301 015 2112000*")</f>
        <v>1838</v>
      </c>
      <c r="H2411" s="31">
        <f t="shared" si="38"/>
        <v>39715.15</v>
      </c>
      <c r="I2411" s="31"/>
      <c r="K2411" t="s">
        <v>13</v>
      </c>
    </row>
    <row r="2412" spans="2:11" ht="22" x14ac:dyDescent="0.15">
      <c r="B2412" s="29" t="s">
        <v>3098</v>
      </c>
      <c r="C2412" s="29" t="s">
        <v>275</v>
      </c>
      <c r="D2412" s="31">
        <f>SUMIFS(D2413:D3130,K2413:K3130,"0",B2413:B3130,"5 1 2 5 3 12 31111 6 M78 07000 151 00C 001 25301 015 2112000 2024*")-SUMIFS(E2413:E3130,K2413:K3130,"0",B2413:B3130,"5 1 2 5 3 12 31111 6 M78 07000 151 00C 001 25301 015 2112000 2024*")</f>
        <v>0</v>
      </c>
      <c r="E2412"/>
      <c r="F2412" s="31">
        <f>SUMIFS(F2413:F3130,K2413:K3130,"0",B2413:B3130,"5 1 2 5 3 12 31111 6 M78 07000 151 00C 001 25301 015 2112000 2024*")</f>
        <v>41553.15</v>
      </c>
      <c r="G2412" s="31">
        <f>SUMIFS(G2413:G3130,K2413:K3130,"0",B2413:B3130,"5 1 2 5 3 12 31111 6 M78 07000 151 00C 001 25301 015 2112000 2024*")</f>
        <v>1838</v>
      </c>
      <c r="H2412" s="31">
        <f t="shared" si="38"/>
        <v>39715.15</v>
      </c>
      <c r="I2412" s="31"/>
      <c r="K2412" t="s">
        <v>13</v>
      </c>
    </row>
    <row r="2413" spans="2:11" ht="22" x14ac:dyDescent="0.15">
      <c r="B2413" s="29" t="s">
        <v>3099</v>
      </c>
      <c r="C2413" s="29" t="s">
        <v>277</v>
      </c>
      <c r="D2413" s="31">
        <f>SUMIFS(D2414:D3130,K2414:K3130,"0",B2414:B3130,"5 1 2 5 3 12 31111 6 M78 07000 151 00C 001 25301 015 2112000 2024 00000000*")-SUMIFS(E2414:E3130,K2414:K3130,"0",B2414:B3130,"5 1 2 5 3 12 31111 6 M78 07000 151 00C 001 25301 015 2112000 2024 00000000*")</f>
        <v>0</v>
      </c>
      <c r="E2413"/>
      <c r="F2413" s="31">
        <f>SUMIFS(F2414:F3130,K2414:K3130,"0",B2414:B3130,"5 1 2 5 3 12 31111 6 M78 07000 151 00C 001 25301 015 2112000 2024 00000000*")</f>
        <v>41553.15</v>
      </c>
      <c r="G2413" s="31">
        <f>SUMIFS(G2414:G3130,K2414:K3130,"0",B2414:B3130,"5 1 2 5 3 12 31111 6 M78 07000 151 00C 001 25301 015 2112000 2024 00000000*")</f>
        <v>1838</v>
      </c>
      <c r="H2413" s="31">
        <f t="shared" si="38"/>
        <v>39715.15</v>
      </c>
      <c r="I2413" s="31"/>
      <c r="K2413" t="s">
        <v>13</v>
      </c>
    </row>
    <row r="2414" spans="2:11" ht="22" x14ac:dyDescent="0.15">
      <c r="B2414" s="29" t="s">
        <v>3100</v>
      </c>
      <c r="C2414" s="29" t="s">
        <v>32</v>
      </c>
      <c r="D2414" s="31">
        <f>SUMIFS(D2415:D3130,K2415:K3130,"0",B2415:B3130,"5 1 2 5 3 12 31111 6 M78 07000 151 00C 001 25301 015 2112000 2024 00000000 001*")-SUMIFS(E2415:E3130,K2415:K3130,"0",B2415:B3130,"5 1 2 5 3 12 31111 6 M78 07000 151 00C 001 25301 015 2112000 2024 00000000 001*")</f>
        <v>0</v>
      </c>
      <c r="E2414"/>
      <c r="F2414" s="31">
        <f>SUMIFS(F2415:F3130,K2415:K3130,"0",B2415:B3130,"5 1 2 5 3 12 31111 6 M78 07000 151 00C 001 25301 015 2112000 2024 00000000 001*")</f>
        <v>41553.15</v>
      </c>
      <c r="G2414" s="31">
        <f>SUMIFS(G2415:G3130,K2415:K3130,"0",B2415:B3130,"5 1 2 5 3 12 31111 6 M78 07000 151 00C 001 25301 015 2112000 2024 00000000 001*")</f>
        <v>1838</v>
      </c>
      <c r="H2414" s="31">
        <f t="shared" si="38"/>
        <v>39715.15</v>
      </c>
      <c r="I2414" s="31"/>
      <c r="K2414" t="s">
        <v>13</v>
      </c>
    </row>
    <row r="2415" spans="2:11" ht="22" x14ac:dyDescent="0.15">
      <c r="B2415" s="27" t="s">
        <v>3101</v>
      </c>
      <c r="C2415" s="27" t="s">
        <v>3085</v>
      </c>
      <c r="D2415" s="30">
        <v>0</v>
      </c>
      <c r="E2415" s="30"/>
      <c r="F2415" s="30">
        <v>41553.15</v>
      </c>
      <c r="G2415" s="30">
        <v>1838</v>
      </c>
      <c r="H2415" s="30">
        <f t="shared" si="38"/>
        <v>39715.15</v>
      </c>
      <c r="I2415" s="30"/>
      <c r="K2415" t="s">
        <v>37</v>
      </c>
    </row>
    <row r="2416" spans="2:11" ht="13" x14ac:dyDescent="0.15">
      <c r="B2416" s="29" t="s">
        <v>3102</v>
      </c>
      <c r="C2416" s="29" t="s">
        <v>3103</v>
      </c>
      <c r="D2416" s="31">
        <f>SUMIFS(D2417:D3130,K2417:K3130,"0",B2417:B3130,"5 1 2 5 4*")-SUMIFS(E2417:E3130,K2417:K3130,"0",B2417:B3130,"5 1 2 5 4*")</f>
        <v>0</v>
      </c>
      <c r="E2416"/>
      <c r="F2416" s="31">
        <f>SUMIFS(F2417:F3130,K2417:K3130,"0",B2417:B3130,"5 1 2 5 4*")</f>
        <v>26650.04</v>
      </c>
      <c r="G2416" s="31">
        <f>SUMIFS(G2417:G3130,K2417:K3130,"0",B2417:B3130,"5 1 2 5 4*")</f>
        <v>15000.03</v>
      </c>
      <c r="H2416" s="31">
        <f t="shared" si="38"/>
        <v>11650.01</v>
      </c>
      <c r="I2416" s="31"/>
      <c r="K2416" t="s">
        <v>13</v>
      </c>
    </row>
    <row r="2417" spans="2:11" ht="13" x14ac:dyDescent="0.15">
      <c r="B2417" s="29" t="s">
        <v>3104</v>
      </c>
      <c r="C2417" s="29" t="s">
        <v>24</v>
      </c>
      <c r="D2417" s="31">
        <f>SUMIFS(D2418:D3130,K2418:K3130,"0",B2418:B3130,"5 1 2 5 4 12*")-SUMIFS(E2418:E3130,K2418:K3130,"0",B2418:B3130,"5 1 2 5 4 12*")</f>
        <v>0</v>
      </c>
      <c r="E2417"/>
      <c r="F2417" s="31">
        <f>SUMIFS(F2418:F3130,K2418:K3130,"0",B2418:B3130,"5 1 2 5 4 12*")</f>
        <v>26650.04</v>
      </c>
      <c r="G2417" s="31">
        <f>SUMIFS(G2418:G3130,K2418:K3130,"0",B2418:B3130,"5 1 2 5 4 12*")</f>
        <v>15000.03</v>
      </c>
      <c r="H2417" s="31">
        <f t="shared" si="38"/>
        <v>11650.01</v>
      </c>
      <c r="I2417" s="31"/>
      <c r="K2417" t="s">
        <v>13</v>
      </c>
    </row>
    <row r="2418" spans="2:11" ht="13" x14ac:dyDescent="0.15">
      <c r="B2418" s="29" t="s">
        <v>3105</v>
      </c>
      <c r="C2418" s="29" t="s">
        <v>26</v>
      </c>
      <c r="D2418" s="31">
        <f>SUMIFS(D2419:D3130,K2419:K3130,"0",B2419:B3130,"5 1 2 5 4 12 31111*")-SUMIFS(E2419:E3130,K2419:K3130,"0",B2419:B3130,"5 1 2 5 4 12 31111*")</f>
        <v>0</v>
      </c>
      <c r="E2418"/>
      <c r="F2418" s="31">
        <f>SUMIFS(F2419:F3130,K2419:K3130,"0",B2419:B3130,"5 1 2 5 4 12 31111*")</f>
        <v>26650.04</v>
      </c>
      <c r="G2418" s="31">
        <f>SUMIFS(G2419:G3130,K2419:K3130,"0",B2419:B3130,"5 1 2 5 4 12 31111*")</f>
        <v>15000.03</v>
      </c>
      <c r="H2418" s="31">
        <f t="shared" si="38"/>
        <v>11650.01</v>
      </c>
      <c r="I2418" s="31"/>
      <c r="K2418" t="s">
        <v>13</v>
      </c>
    </row>
    <row r="2419" spans="2:11" ht="13" x14ac:dyDescent="0.15">
      <c r="B2419" s="29" t="s">
        <v>3106</v>
      </c>
      <c r="C2419" s="29" t="s">
        <v>28</v>
      </c>
      <c r="D2419" s="31">
        <f>SUMIFS(D2420:D3130,K2420:K3130,"0",B2420:B3130,"5 1 2 5 4 12 31111 6*")-SUMIFS(E2420:E3130,K2420:K3130,"0",B2420:B3130,"5 1 2 5 4 12 31111 6*")</f>
        <v>0</v>
      </c>
      <c r="E2419"/>
      <c r="F2419" s="31">
        <f>SUMIFS(F2420:F3130,K2420:K3130,"0",B2420:B3130,"5 1 2 5 4 12 31111 6*")</f>
        <v>26650.04</v>
      </c>
      <c r="G2419" s="31">
        <f>SUMIFS(G2420:G3130,K2420:K3130,"0",B2420:B3130,"5 1 2 5 4 12 31111 6*")</f>
        <v>15000.03</v>
      </c>
      <c r="H2419" s="31">
        <f t="shared" si="38"/>
        <v>11650.01</v>
      </c>
      <c r="I2419" s="31"/>
      <c r="K2419" t="s">
        <v>13</v>
      </c>
    </row>
    <row r="2420" spans="2:11" ht="13" x14ac:dyDescent="0.15">
      <c r="B2420" s="29" t="s">
        <v>3107</v>
      </c>
      <c r="C2420" s="29" t="s">
        <v>1567</v>
      </c>
      <c r="D2420" s="31">
        <f>SUMIFS(D2421:D3130,K2421:K3130,"0",B2421:B3130,"5 1 2 5 4 12 31111 6 M78*")-SUMIFS(E2421:E3130,K2421:K3130,"0",B2421:B3130,"5 1 2 5 4 12 31111 6 M78*")</f>
        <v>0</v>
      </c>
      <c r="E2420"/>
      <c r="F2420" s="31">
        <f>SUMIFS(F2421:F3130,K2421:K3130,"0",B2421:B3130,"5 1 2 5 4 12 31111 6 M78*")</f>
        <v>26650.04</v>
      </c>
      <c r="G2420" s="31">
        <f>SUMIFS(G2421:G3130,K2421:K3130,"0",B2421:B3130,"5 1 2 5 4 12 31111 6 M78*")</f>
        <v>15000.03</v>
      </c>
      <c r="H2420" s="31">
        <f t="shared" si="38"/>
        <v>11650.01</v>
      </c>
      <c r="I2420" s="31"/>
      <c r="K2420" t="s">
        <v>13</v>
      </c>
    </row>
    <row r="2421" spans="2:11" ht="13" x14ac:dyDescent="0.15">
      <c r="B2421" s="29" t="s">
        <v>3108</v>
      </c>
      <c r="C2421" s="29" t="s">
        <v>8</v>
      </c>
      <c r="D2421" s="31">
        <f>SUMIFS(D2422:D3130,K2422:K3130,"0",B2422:B3130,"5 1 2 5 4 12 31111 6 M78 07000*")-SUMIFS(E2422:E3130,K2422:K3130,"0",B2422:B3130,"5 1 2 5 4 12 31111 6 M78 07000*")</f>
        <v>0</v>
      </c>
      <c r="E2421"/>
      <c r="F2421" s="31">
        <f>SUMIFS(F2422:F3130,K2422:K3130,"0",B2422:B3130,"5 1 2 5 4 12 31111 6 M78 07000*")</f>
        <v>21650.04</v>
      </c>
      <c r="G2421" s="31">
        <f>SUMIFS(G2422:G3130,K2422:K3130,"0",B2422:B3130,"5 1 2 5 4 12 31111 6 M78 07000*")</f>
        <v>15000.03</v>
      </c>
      <c r="H2421" s="31">
        <f t="shared" si="38"/>
        <v>6650.01</v>
      </c>
      <c r="I2421" s="31"/>
      <c r="K2421" t="s">
        <v>13</v>
      </c>
    </row>
    <row r="2422" spans="2:11" ht="13" x14ac:dyDescent="0.15">
      <c r="B2422" s="29" t="s">
        <v>3109</v>
      </c>
      <c r="C2422" s="29" t="s">
        <v>588</v>
      </c>
      <c r="D2422" s="31">
        <f>SUMIFS(D2423:D3130,K2423:K3130,"0",B2423:B3130,"5 1 2 5 4 12 31111 6 M78 07000 151*")-SUMIFS(E2423:E3130,K2423:K3130,"0",B2423:B3130,"5 1 2 5 4 12 31111 6 M78 07000 151*")</f>
        <v>0</v>
      </c>
      <c r="E2422"/>
      <c r="F2422" s="31">
        <f>SUMIFS(F2423:F3130,K2423:K3130,"0",B2423:B3130,"5 1 2 5 4 12 31111 6 M78 07000 151*")</f>
        <v>21650.04</v>
      </c>
      <c r="G2422" s="31">
        <f>SUMIFS(G2423:G3130,K2423:K3130,"0",B2423:B3130,"5 1 2 5 4 12 31111 6 M78 07000 151*")</f>
        <v>15000.03</v>
      </c>
      <c r="H2422" s="31">
        <f t="shared" si="38"/>
        <v>6650.01</v>
      </c>
      <c r="I2422" s="31"/>
      <c r="K2422" t="s">
        <v>13</v>
      </c>
    </row>
    <row r="2423" spans="2:11" ht="13" x14ac:dyDescent="0.15">
      <c r="B2423" s="29" t="s">
        <v>3110</v>
      </c>
      <c r="C2423" s="29" t="s">
        <v>265</v>
      </c>
      <c r="D2423" s="31">
        <f>SUMIFS(D2424:D3130,K2424:K3130,"0",B2424:B3130,"5 1 2 5 4 12 31111 6 M78 07000 151 00C*")-SUMIFS(E2424:E3130,K2424:K3130,"0",B2424:B3130,"5 1 2 5 4 12 31111 6 M78 07000 151 00C*")</f>
        <v>0</v>
      </c>
      <c r="E2423"/>
      <c r="F2423" s="31">
        <f>SUMIFS(F2424:F3130,K2424:K3130,"0",B2424:B3130,"5 1 2 5 4 12 31111 6 M78 07000 151 00C*")</f>
        <v>21650.04</v>
      </c>
      <c r="G2423" s="31">
        <f>SUMIFS(G2424:G3130,K2424:K3130,"0",B2424:B3130,"5 1 2 5 4 12 31111 6 M78 07000 151 00C*")</f>
        <v>15000.03</v>
      </c>
      <c r="H2423" s="31">
        <f t="shared" si="38"/>
        <v>6650.01</v>
      </c>
      <c r="I2423" s="31"/>
      <c r="K2423" t="s">
        <v>13</v>
      </c>
    </row>
    <row r="2424" spans="2:11" ht="13" x14ac:dyDescent="0.15">
      <c r="B2424" s="29" t="s">
        <v>3111</v>
      </c>
      <c r="C2424" s="29" t="s">
        <v>32</v>
      </c>
      <c r="D2424" s="31">
        <f>SUMIFS(D2425:D3130,K2425:K3130,"0",B2425:B3130,"5 1 2 5 4 12 31111 6 M78 07000 151 00C 001*")-SUMIFS(E2425:E3130,K2425:K3130,"0",B2425:B3130,"5 1 2 5 4 12 31111 6 M78 07000 151 00C 001*")</f>
        <v>0</v>
      </c>
      <c r="E2424"/>
      <c r="F2424" s="31">
        <f>SUMIFS(F2425:F3130,K2425:K3130,"0",B2425:B3130,"5 1 2 5 4 12 31111 6 M78 07000 151 00C 001*")</f>
        <v>21650.04</v>
      </c>
      <c r="G2424" s="31">
        <f>SUMIFS(G2425:G3130,K2425:K3130,"0",B2425:B3130,"5 1 2 5 4 12 31111 6 M78 07000 151 00C 001*")</f>
        <v>15000.03</v>
      </c>
      <c r="H2424" s="31">
        <f t="shared" si="38"/>
        <v>6650.01</v>
      </c>
      <c r="I2424" s="31"/>
      <c r="K2424" t="s">
        <v>13</v>
      </c>
    </row>
    <row r="2425" spans="2:11" ht="13" x14ac:dyDescent="0.15">
      <c r="B2425" s="29" t="s">
        <v>3112</v>
      </c>
      <c r="C2425" s="29" t="s">
        <v>3113</v>
      </c>
      <c r="D2425" s="31">
        <f>SUMIFS(D2426:D3130,K2426:K3130,"0",B2426:B3130,"5 1 2 5 4 12 31111 6 M78 07000 151 00C 001 25401*")-SUMIFS(E2426:E3130,K2426:K3130,"0",B2426:B3130,"5 1 2 5 4 12 31111 6 M78 07000 151 00C 001 25401*")</f>
        <v>0</v>
      </c>
      <c r="E2425"/>
      <c r="F2425" s="31">
        <f>SUMIFS(F2426:F3130,K2426:K3130,"0",B2426:B3130,"5 1 2 5 4 12 31111 6 M78 07000 151 00C 001 25401*")</f>
        <v>21650.04</v>
      </c>
      <c r="G2425" s="31">
        <f>SUMIFS(G2426:G3130,K2426:K3130,"0",B2426:B3130,"5 1 2 5 4 12 31111 6 M78 07000 151 00C 001 25401*")</f>
        <v>15000.03</v>
      </c>
      <c r="H2425" s="31">
        <f t="shared" si="38"/>
        <v>6650.01</v>
      </c>
      <c r="I2425" s="31"/>
      <c r="K2425" t="s">
        <v>13</v>
      </c>
    </row>
    <row r="2426" spans="2:11" ht="22" x14ac:dyDescent="0.15">
      <c r="B2426" s="29" t="s">
        <v>3114</v>
      </c>
      <c r="C2426" s="29" t="s">
        <v>271</v>
      </c>
      <c r="D2426" s="31">
        <f>SUMIFS(D2427:D3130,K2427:K3130,"0",B2427:B3130,"5 1 2 5 4 12 31111 6 M78 07000 151 00C 001 25401 015*")-SUMIFS(E2427:E3130,K2427:K3130,"0",B2427:B3130,"5 1 2 5 4 12 31111 6 M78 07000 151 00C 001 25401 015*")</f>
        <v>0</v>
      </c>
      <c r="E2426"/>
      <c r="F2426" s="31">
        <f>SUMIFS(F2427:F3130,K2427:K3130,"0",B2427:B3130,"5 1 2 5 4 12 31111 6 M78 07000 151 00C 001 25401 015*")</f>
        <v>21650.04</v>
      </c>
      <c r="G2426" s="31">
        <f>SUMIFS(G2427:G3130,K2427:K3130,"0",B2427:B3130,"5 1 2 5 4 12 31111 6 M78 07000 151 00C 001 25401 015*")</f>
        <v>15000.03</v>
      </c>
      <c r="H2426" s="31">
        <f t="shared" si="38"/>
        <v>6650.01</v>
      </c>
      <c r="I2426" s="31"/>
      <c r="K2426" t="s">
        <v>13</v>
      </c>
    </row>
    <row r="2427" spans="2:11" ht="22" x14ac:dyDescent="0.15">
      <c r="B2427" s="29" t="s">
        <v>3115</v>
      </c>
      <c r="C2427" s="29" t="s">
        <v>595</v>
      </c>
      <c r="D2427" s="31">
        <f>SUMIFS(D2428:D3130,K2428:K3130,"0",B2428:B3130,"5 1 2 5 4 12 31111 6 M78 07000 151 00C 001 25401 015 2112000*")-SUMIFS(E2428:E3130,K2428:K3130,"0",B2428:B3130,"5 1 2 5 4 12 31111 6 M78 07000 151 00C 001 25401 015 2112000*")</f>
        <v>0</v>
      </c>
      <c r="E2427"/>
      <c r="F2427" s="31">
        <f>SUMIFS(F2428:F3130,K2428:K3130,"0",B2428:B3130,"5 1 2 5 4 12 31111 6 M78 07000 151 00C 001 25401 015 2112000*")</f>
        <v>21650.04</v>
      </c>
      <c r="G2427" s="31">
        <f>SUMIFS(G2428:G3130,K2428:K3130,"0",B2428:B3130,"5 1 2 5 4 12 31111 6 M78 07000 151 00C 001 25401 015 2112000*")</f>
        <v>15000.03</v>
      </c>
      <c r="H2427" s="31">
        <f t="shared" si="38"/>
        <v>6650.01</v>
      </c>
      <c r="I2427" s="31"/>
      <c r="K2427" t="s">
        <v>13</v>
      </c>
    </row>
    <row r="2428" spans="2:11" ht="22" x14ac:dyDescent="0.15">
      <c r="B2428" s="29" t="s">
        <v>3116</v>
      </c>
      <c r="C2428" s="29" t="s">
        <v>275</v>
      </c>
      <c r="D2428" s="31">
        <f>SUMIFS(D2429:D3130,K2429:K3130,"0",B2429:B3130,"5 1 2 5 4 12 31111 6 M78 07000 151 00C 001 25401 015 2112000 2024*")-SUMIFS(E2429:E3130,K2429:K3130,"0",B2429:B3130,"5 1 2 5 4 12 31111 6 M78 07000 151 00C 001 25401 015 2112000 2024*")</f>
        <v>0</v>
      </c>
      <c r="E2428"/>
      <c r="F2428" s="31">
        <f>SUMIFS(F2429:F3130,K2429:K3130,"0",B2429:B3130,"5 1 2 5 4 12 31111 6 M78 07000 151 00C 001 25401 015 2112000 2024*")</f>
        <v>21650.04</v>
      </c>
      <c r="G2428" s="31">
        <f>SUMIFS(G2429:G3130,K2429:K3130,"0",B2429:B3130,"5 1 2 5 4 12 31111 6 M78 07000 151 00C 001 25401 015 2112000 2024*")</f>
        <v>15000.03</v>
      </c>
      <c r="H2428" s="31">
        <f t="shared" si="38"/>
        <v>6650.01</v>
      </c>
      <c r="I2428" s="31"/>
      <c r="K2428" t="s">
        <v>13</v>
      </c>
    </row>
    <row r="2429" spans="2:11" ht="22" x14ac:dyDescent="0.15">
      <c r="B2429" s="29" t="s">
        <v>3117</v>
      </c>
      <c r="C2429" s="29" t="s">
        <v>277</v>
      </c>
      <c r="D2429" s="31">
        <f>SUMIFS(D2430:D3130,K2430:K3130,"0",B2430:B3130,"5 1 2 5 4 12 31111 6 M78 07000 151 00C 001 25401 015 2112000 2024 00000000*")-SUMIFS(E2430:E3130,K2430:K3130,"0",B2430:B3130,"5 1 2 5 4 12 31111 6 M78 07000 151 00C 001 25401 015 2112000 2024 00000000*")</f>
        <v>0</v>
      </c>
      <c r="E2429"/>
      <c r="F2429" s="31">
        <f>SUMIFS(F2430:F3130,K2430:K3130,"0",B2430:B3130,"5 1 2 5 4 12 31111 6 M78 07000 151 00C 001 25401 015 2112000 2024 00000000*")</f>
        <v>21650.04</v>
      </c>
      <c r="G2429" s="31">
        <f>SUMIFS(G2430:G3130,K2430:K3130,"0",B2430:B3130,"5 1 2 5 4 12 31111 6 M78 07000 151 00C 001 25401 015 2112000 2024 00000000*")</f>
        <v>15000.03</v>
      </c>
      <c r="H2429" s="31">
        <f t="shared" si="38"/>
        <v>6650.01</v>
      </c>
      <c r="I2429" s="31"/>
      <c r="K2429" t="s">
        <v>13</v>
      </c>
    </row>
    <row r="2430" spans="2:11" ht="22" x14ac:dyDescent="0.15">
      <c r="B2430" s="29" t="s">
        <v>3118</v>
      </c>
      <c r="C2430" s="29" t="s">
        <v>32</v>
      </c>
      <c r="D2430" s="31">
        <f>SUMIFS(D2431:D3130,K2431:K3130,"0",B2431:B3130,"5 1 2 5 4 12 31111 6 M78 07000 151 00C 001 25401 015 2112000 2024 00000000 001*")-SUMIFS(E2431:E3130,K2431:K3130,"0",B2431:B3130,"5 1 2 5 4 12 31111 6 M78 07000 151 00C 001 25401 015 2112000 2024 00000000 001*")</f>
        <v>0</v>
      </c>
      <c r="E2430"/>
      <c r="F2430" s="31">
        <f>SUMIFS(F2431:F3130,K2431:K3130,"0",B2431:B3130,"5 1 2 5 4 12 31111 6 M78 07000 151 00C 001 25401 015 2112000 2024 00000000 001*")</f>
        <v>21650.04</v>
      </c>
      <c r="G2430" s="31">
        <f>SUMIFS(G2431:G3130,K2431:K3130,"0",B2431:B3130,"5 1 2 5 4 12 31111 6 M78 07000 151 00C 001 25401 015 2112000 2024 00000000 001*")</f>
        <v>15000.03</v>
      </c>
      <c r="H2430" s="31">
        <f t="shared" si="38"/>
        <v>6650.01</v>
      </c>
      <c r="I2430" s="31"/>
      <c r="K2430" t="s">
        <v>13</v>
      </c>
    </row>
    <row r="2431" spans="2:11" ht="22" x14ac:dyDescent="0.15">
      <c r="B2431" s="27" t="s">
        <v>3119</v>
      </c>
      <c r="C2431" s="27" t="s">
        <v>3113</v>
      </c>
      <c r="D2431" s="30">
        <v>0</v>
      </c>
      <c r="E2431" s="30"/>
      <c r="F2431" s="30">
        <v>21650.04</v>
      </c>
      <c r="G2431" s="30">
        <v>15000.03</v>
      </c>
      <c r="H2431" s="30">
        <f t="shared" si="38"/>
        <v>6650.01</v>
      </c>
      <c r="I2431" s="30"/>
      <c r="K2431" t="s">
        <v>37</v>
      </c>
    </row>
    <row r="2432" spans="2:11" ht="13" x14ac:dyDescent="0.15">
      <c r="B2432" s="29" t="s">
        <v>3120</v>
      </c>
      <c r="C2432" s="29" t="s">
        <v>833</v>
      </c>
      <c r="D2432" s="31">
        <f>SUMIFS(D2433:D3130,K2433:K3130,"0",B2433:B3130,"5 1 2 5 4 12 31111 6 M78 15000*")-SUMIFS(E2433:E3130,K2433:K3130,"0",B2433:B3130,"5 1 2 5 4 12 31111 6 M78 15000*")</f>
        <v>0</v>
      </c>
      <c r="E2432"/>
      <c r="F2432" s="31">
        <f>SUMIFS(F2433:F3130,K2433:K3130,"0",B2433:B3130,"5 1 2 5 4 12 31111 6 M78 15000*")</f>
        <v>5000</v>
      </c>
      <c r="G2432" s="31">
        <f>SUMIFS(G2433:G3130,K2433:K3130,"0",B2433:B3130,"5 1 2 5 4 12 31111 6 M78 15000*")</f>
        <v>0</v>
      </c>
      <c r="H2432" s="31">
        <f t="shared" si="38"/>
        <v>5000</v>
      </c>
      <c r="I2432" s="31"/>
      <c r="K2432" t="s">
        <v>13</v>
      </c>
    </row>
    <row r="2433" spans="2:11" ht="13" x14ac:dyDescent="0.15">
      <c r="B2433" s="29" t="s">
        <v>3121</v>
      </c>
      <c r="C2433" s="29" t="s">
        <v>835</v>
      </c>
      <c r="D2433" s="31">
        <f>SUMIFS(D2434:D3130,K2434:K3130,"0",B2434:B3130,"5 1 2 5 4 12 31111 6 M78 15000 171*")-SUMIFS(E2434:E3130,K2434:K3130,"0",B2434:B3130,"5 1 2 5 4 12 31111 6 M78 15000 171*")</f>
        <v>0</v>
      </c>
      <c r="E2433"/>
      <c r="F2433" s="31">
        <f>SUMIFS(F2434:F3130,K2434:K3130,"0",B2434:B3130,"5 1 2 5 4 12 31111 6 M78 15000 171*")</f>
        <v>5000</v>
      </c>
      <c r="G2433" s="31">
        <f>SUMIFS(G2434:G3130,K2434:K3130,"0",B2434:B3130,"5 1 2 5 4 12 31111 6 M78 15000 171*")</f>
        <v>0</v>
      </c>
      <c r="H2433" s="31">
        <f t="shared" si="38"/>
        <v>5000</v>
      </c>
      <c r="I2433" s="31"/>
      <c r="K2433" t="s">
        <v>13</v>
      </c>
    </row>
    <row r="2434" spans="2:11" ht="13" x14ac:dyDescent="0.15">
      <c r="B2434" s="29" t="s">
        <v>3122</v>
      </c>
      <c r="C2434" s="29" t="s">
        <v>285</v>
      </c>
      <c r="D2434" s="31">
        <f>SUMIFS(D2435:D3130,K2435:K3130,"0",B2435:B3130,"5 1 2 5 4 12 31111 6 M78 15000 171 00I*")-SUMIFS(E2435:E3130,K2435:K3130,"0",B2435:B3130,"5 1 2 5 4 12 31111 6 M78 15000 171 00I*")</f>
        <v>0</v>
      </c>
      <c r="E2434"/>
      <c r="F2434" s="31">
        <f>SUMIFS(F2435:F3130,K2435:K3130,"0",B2435:B3130,"5 1 2 5 4 12 31111 6 M78 15000 171 00I*")</f>
        <v>5000</v>
      </c>
      <c r="G2434" s="31">
        <f>SUMIFS(G2435:G3130,K2435:K3130,"0",B2435:B3130,"5 1 2 5 4 12 31111 6 M78 15000 171 00I*")</f>
        <v>0</v>
      </c>
      <c r="H2434" s="31">
        <f t="shared" si="38"/>
        <v>5000</v>
      </c>
      <c r="I2434" s="31"/>
      <c r="K2434" t="s">
        <v>13</v>
      </c>
    </row>
    <row r="2435" spans="2:11" ht="13" x14ac:dyDescent="0.15">
      <c r="B2435" s="29" t="s">
        <v>3123</v>
      </c>
      <c r="C2435" s="29" t="s">
        <v>32</v>
      </c>
      <c r="D2435" s="31">
        <f>SUMIFS(D2436:D3130,K2436:K3130,"0",B2436:B3130,"5 1 2 5 4 12 31111 6 M78 15000 171 00I 001*")-SUMIFS(E2436:E3130,K2436:K3130,"0",B2436:B3130,"5 1 2 5 4 12 31111 6 M78 15000 171 00I 001*")</f>
        <v>0</v>
      </c>
      <c r="E2435"/>
      <c r="F2435" s="31">
        <f>SUMIFS(F2436:F3130,K2436:K3130,"0",B2436:B3130,"5 1 2 5 4 12 31111 6 M78 15000 171 00I 001*")</f>
        <v>5000</v>
      </c>
      <c r="G2435" s="31">
        <f>SUMIFS(G2436:G3130,K2436:K3130,"0",B2436:B3130,"5 1 2 5 4 12 31111 6 M78 15000 171 00I 001*")</f>
        <v>0</v>
      </c>
      <c r="H2435" s="31">
        <f t="shared" si="38"/>
        <v>5000</v>
      </c>
      <c r="I2435" s="31"/>
      <c r="K2435" t="s">
        <v>13</v>
      </c>
    </row>
    <row r="2436" spans="2:11" ht="13" x14ac:dyDescent="0.15">
      <c r="B2436" s="29" t="s">
        <v>3124</v>
      </c>
      <c r="C2436" s="29" t="s">
        <v>3103</v>
      </c>
      <c r="D2436" s="31">
        <f>SUMIFS(D2437:D3130,K2437:K3130,"0",B2437:B3130,"5 1 2 5 4 12 31111 6 M78 15000 171 00I 001 25401*")-SUMIFS(E2437:E3130,K2437:K3130,"0",B2437:B3130,"5 1 2 5 4 12 31111 6 M78 15000 171 00I 001 25401*")</f>
        <v>0</v>
      </c>
      <c r="E2436"/>
      <c r="F2436" s="31">
        <f>SUMIFS(F2437:F3130,K2437:K3130,"0",B2437:B3130,"5 1 2 5 4 12 31111 6 M78 15000 171 00I 001 25401*")</f>
        <v>5000</v>
      </c>
      <c r="G2436" s="31">
        <f>SUMIFS(G2437:G3130,K2437:K3130,"0",B2437:B3130,"5 1 2 5 4 12 31111 6 M78 15000 171 00I 001 25401*")</f>
        <v>0</v>
      </c>
      <c r="H2436" s="31">
        <f t="shared" si="38"/>
        <v>5000</v>
      </c>
      <c r="I2436" s="31"/>
      <c r="K2436" t="s">
        <v>13</v>
      </c>
    </row>
    <row r="2437" spans="2:11" ht="22" x14ac:dyDescent="0.15">
      <c r="B2437" s="29" t="s">
        <v>3125</v>
      </c>
      <c r="C2437" s="29" t="s">
        <v>3126</v>
      </c>
      <c r="D2437" s="31">
        <f>SUMIFS(D2438:D3130,K2438:K3130,"0",B2438:B3130,"5 1 2 5 4 12 31111 6 M78 15000 171 00I 001 25401 025*")-SUMIFS(E2438:E3130,K2438:K3130,"0",B2438:B3130,"5 1 2 5 4 12 31111 6 M78 15000 171 00I 001 25401 025*")</f>
        <v>0</v>
      </c>
      <c r="E2437"/>
      <c r="F2437" s="31">
        <f>SUMIFS(F2438:F3130,K2438:K3130,"0",B2438:B3130,"5 1 2 5 4 12 31111 6 M78 15000 171 00I 001 25401 025*")</f>
        <v>5000</v>
      </c>
      <c r="G2437" s="31">
        <f>SUMIFS(G2438:G3130,K2438:K3130,"0",B2438:B3130,"5 1 2 5 4 12 31111 6 M78 15000 171 00I 001 25401 025*")</f>
        <v>0</v>
      </c>
      <c r="H2437" s="31">
        <f t="shared" si="38"/>
        <v>5000</v>
      </c>
      <c r="I2437" s="31"/>
      <c r="K2437" t="s">
        <v>13</v>
      </c>
    </row>
    <row r="2438" spans="2:11" ht="22" x14ac:dyDescent="0.15">
      <c r="B2438" s="29" t="s">
        <v>3127</v>
      </c>
      <c r="C2438" s="29" t="s">
        <v>595</v>
      </c>
      <c r="D2438" s="31">
        <f>SUMIFS(D2439:D3130,K2439:K3130,"0",B2439:B3130,"5 1 2 5 4 12 31111 6 M78 15000 171 00I 001 25401 025 2112000*")-SUMIFS(E2439:E3130,K2439:K3130,"0",B2439:B3130,"5 1 2 5 4 12 31111 6 M78 15000 171 00I 001 25401 025 2112000*")</f>
        <v>0</v>
      </c>
      <c r="E2438"/>
      <c r="F2438" s="31">
        <f>SUMIFS(F2439:F3130,K2439:K3130,"0",B2439:B3130,"5 1 2 5 4 12 31111 6 M78 15000 171 00I 001 25401 025 2112000*")</f>
        <v>5000</v>
      </c>
      <c r="G2438" s="31">
        <f>SUMIFS(G2439:G3130,K2439:K3130,"0",B2439:B3130,"5 1 2 5 4 12 31111 6 M78 15000 171 00I 001 25401 025 2112000*")</f>
        <v>0</v>
      </c>
      <c r="H2438" s="31">
        <f t="shared" si="38"/>
        <v>5000</v>
      </c>
      <c r="I2438" s="31"/>
      <c r="K2438" t="s">
        <v>13</v>
      </c>
    </row>
    <row r="2439" spans="2:11" ht="22" x14ac:dyDescent="0.15">
      <c r="B2439" s="29" t="s">
        <v>3128</v>
      </c>
      <c r="C2439" s="29" t="s">
        <v>275</v>
      </c>
      <c r="D2439" s="31">
        <f>SUMIFS(D2440:D3130,K2440:K3130,"0",B2440:B3130,"5 1 2 5 4 12 31111 6 M78 15000 171 00I 001 25401 025 2112000 2024*")-SUMIFS(E2440:E3130,K2440:K3130,"0",B2440:B3130,"5 1 2 5 4 12 31111 6 M78 15000 171 00I 001 25401 025 2112000 2024*")</f>
        <v>0</v>
      </c>
      <c r="E2439"/>
      <c r="F2439" s="31">
        <f>SUMIFS(F2440:F3130,K2440:K3130,"0",B2440:B3130,"5 1 2 5 4 12 31111 6 M78 15000 171 00I 001 25401 025 2112000 2024*")</f>
        <v>5000</v>
      </c>
      <c r="G2439" s="31">
        <f>SUMIFS(G2440:G3130,K2440:K3130,"0",B2440:B3130,"5 1 2 5 4 12 31111 6 M78 15000 171 00I 001 25401 025 2112000 2024*")</f>
        <v>0</v>
      </c>
      <c r="H2439" s="31">
        <f t="shared" si="38"/>
        <v>5000</v>
      </c>
      <c r="I2439" s="31"/>
      <c r="K2439" t="s">
        <v>13</v>
      </c>
    </row>
    <row r="2440" spans="2:11" ht="22" x14ac:dyDescent="0.15">
      <c r="B2440" s="29" t="s">
        <v>3129</v>
      </c>
      <c r="C2440" s="29" t="s">
        <v>277</v>
      </c>
      <c r="D2440" s="31">
        <f>SUMIFS(D2441:D3130,K2441:K3130,"0",B2441:B3130,"5 1 2 5 4 12 31111 6 M78 15000 171 00I 001 25401 025 2112000 2024 00000000*")-SUMIFS(E2441:E3130,K2441:K3130,"0",B2441:B3130,"5 1 2 5 4 12 31111 6 M78 15000 171 00I 001 25401 025 2112000 2024 00000000*")</f>
        <v>0</v>
      </c>
      <c r="E2440"/>
      <c r="F2440" s="31">
        <f>SUMIFS(F2441:F3130,K2441:K3130,"0",B2441:B3130,"5 1 2 5 4 12 31111 6 M78 15000 171 00I 001 25401 025 2112000 2024 00000000*")</f>
        <v>5000</v>
      </c>
      <c r="G2440" s="31">
        <f>SUMIFS(G2441:G3130,K2441:K3130,"0",B2441:B3130,"5 1 2 5 4 12 31111 6 M78 15000 171 00I 001 25401 025 2112000 2024 00000000*")</f>
        <v>0</v>
      </c>
      <c r="H2440" s="31">
        <f t="shared" si="38"/>
        <v>5000</v>
      </c>
      <c r="I2440" s="31"/>
      <c r="K2440" t="s">
        <v>13</v>
      </c>
    </row>
    <row r="2441" spans="2:11" ht="22" x14ac:dyDescent="0.15">
      <c r="B2441" s="29" t="s">
        <v>3130</v>
      </c>
      <c r="C2441" s="29" t="s">
        <v>3131</v>
      </c>
      <c r="D2441" s="31">
        <f>SUMIFS(D2442:D3130,K2442:K3130,"0",B2442:B3130,"5 1 2 5 4 12 31111 6 M78 15000 171 00I 001 25401 025 2112000 2024 00000000 003*")-SUMIFS(E2442:E3130,K2442:K3130,"0",B2442:B3130,"5 1 2 5 4 12 31111 6 M78 15000 171 00I 001 25401 025 2112000 2024 00000000 003*")</f>
        <v>0</v>
      </c>
      <c r="E2441"/>
      <c r="F2441" s="31">
        <f>SUMIFS(F2442:F3130,K2442:K3130,"0",B2442:B3130,"5 1 2 5 4 12 31111 6 M78 15000 171 00I 001 25401 025 2112000 2024 00000000 003*")</f>
        <v>5000</v>
      </c>
      <c r="G2441" s="31">
        <f>SUMIFS(G2442:G3130,K2442:K3130,"0",B2442:B3130,"5 1 2 5 4 12 31111 6 M78 15000 171 00I 001 25401 025 2112000 2024 00000000 003*")</f>
        <v>0</v>
      </c>
      <c r="H2441" s="31">
        <f t="shared" si="38"/>
        <v>5000</v>
      </c>
      <c r="I2441" s="31"/>
      <c r="K2441" t="s">
        <v>13</v>
      </c>
    </row>
    <row r="2442" spans="2:11" ht="22" x14ac:dyDescent="0.15">
      <c r="B2442" s="27" t="s">
        <v>3132</v>
      </c>
      <c r="C2442" s="27" t="s">
        <v>3103</v>
      </c>
      <c r="D2442" s="30">
        <v>0</v>
      </c>
      <c r="E2442" s="30"/>
      <c r="F2442" s="30">
        <v>5000</v>
      </c>
      <c r="G2442" s="30">
        <v>0</v>
      </c>
      <c r="H2442" s="30">
        <f t="shared" si="38"/>
        <v>5000</v>
      </c>
      <c r="I2442" s="30"/>
      <c r="K2442" t="s">
        <v>37</v>
      </c>
    </row>
    <row r="2443" spans="2:11" ht="13" x14ac:dyDescent="0.15">
      <c r="B2443" s="29" t="s">
        <v>3133</v>
      </c>
      <c r="C2443" s="29" t="s">
        <v>3134</v>
      </c>
      <c r="D2443" s="31">
        <f>SUMIFS(D2444:D3130,K2444:K3130,"0",B2444:B3130,"5 1 2 5 9*")-SUMIFS(E2444:E3130,K2444:K3130,"0",B2444:B3130,"5 1 2 5 9*")</f>
        <v>0</v>
      </c>
      <c r="E2443"/>
      <c r="F2443" s="31">
        <f>SUMIFS(F2444:F3130,K2444:K3130,"0",B2444:B3130,"5 1 2 5 9*")</f>
        <v>52400.03</v>
      </c>
      <c r="G2443" s="31">
        <f>SUMIFS(G2444:G3130,K2444:K3130,"0",B2444:B3130,"5 1 2 5 9*")</f>
        <v>0</v>
      </c>
      <c r="H2443" s="31">
        <f t="shared" ref="H2443:H2506" si="39">D2443 + F2443 - G2443</f>
        <v>52400.03</v>
      </c>
      <c r="I2443" s="31"/>
      <c r="K2443" t="s">
        <v>13</v>
      </c>
    </row>
    <row r="2444" spans="2:11" ht="13" x14ac:dyDescent="0.15">
      <c r="B2444" s="29" t="s">
        <v>3135</v>
      </c>
      <c r="C2444" s="29" t="s">
        <v>24</v>
      </c>
      <c r="D2444" s="31">
        <f>SUMIFS(D2445:D3130,K2445:K3130,"0",B2445:B3130,"5 1 2 5 9 12*")-SUMIFS(E2445:E3130,K2445:K3130,"0",B2445:B3130,"5 1 2 5 9 12*")</f>
        <v>0</v>
      </c>
      <c r="E2444"/>
      <c r="F2444" s="31">
        <f>SUMIFS(F2445:F3130,K2445:K3130,"0",B2445:B3130,"5 1 2 5 9 12*")</f>
        <v>52400.03</v>
      </c>
      <c r="G2444" s="31">
        <f>SUMIFS(G2445:G3130,K2445:K3130,"0",B2445:B3130,"5 1 2 5 9 12*")</f>
        <v>0</v>
      </c>
      <c r="H2444" s="31">
        <f t="shared" si="39"/>
        <v>52400.03</v>
      </c>
      <c r="I2444" s="31"/>
      <c r="K2444" t="s">
        <v>13</v>
      </c>
    </row>
    <row r="2445" spans="2:11" ht="13" x14ac:dyDescent="0.15">
      <c r="B2445" s="29" t="s">
        <v>3136</v>
      </c>
      <c r="C2445" s="29" t="s">
        <v>26</v>
      </c>
      <c r="D2445" s="31">
        <f>SUMIFS(D2446:D3130,K2446:K3130,"0",B2446:B3130,"5 1 2 5 9 12 31111*")-SUMIFS(E2446:E3130,K2446:K3130,"0",B2446:B3130,"5 1 2 5 9 12 31111*")</f>
        <v>0</v>
      </c>
      <c r="E2445"/>
      <c r="F2445" s="31">
        <f>SUMIFS(F2446:F3130,K2446:K3130,"0",B2446:B3130,"5 1 2 5 9 12 31111*")</f>
        <v>52400.03</v>
      </c>
      <c r="G2445" s="31">
        <f>SUMIFS(G2446:G3130,K2446:K3130,"0",B2446:B3130,"5 1 2 5 9 12 31111*")</f>
        <v>0</v>
      </c>
      <c r="H2445" s="31">
        <f t="shared" si="39"/>
        <v>52400.03</v>
      </c>
      <c r="I2445" s="31"/>
      <c r="K2445" t="s">
        <v>13</v>
      </c>
    </row>
    <row r="2446" spans="2:11" ht="13" x14ac:dyDescent="0.15">
      <c r="B2446" s="29" t="s">
        <v>3137</v>
      </c>
      <c r="C2446" s="29" t="s">
        <v>28</v>
      </c>
      <c r="D2446" s="31">
        <f>SUMIFS(D2447:D3130,K2447:K3130,"0",B2447:B3130,"5 1 2 5 9 12 31111 6*")-SUMIFS(E2447:E3130,K2447:K3130,"0",B2447:B3130,"5 1 2 5 9 12 31111 6*")</f>
        <v>0</v>
      </c>
      <c r="E2446"/>
      <c r="F2446" s="31">
        <f>SUMIFS(F2447:F3130,K2447:K3130,"0",B2447:B3130,"5 1 2 5 9 12 31111 6*")</f>
        <v>52400.03</v>
      </c>
      <c r="G2446" s="31">
        <f>SUMIFS(G2447:G3130,K2447:K3130,"0",B2447:B3130,"5 1 2 5 9 12 31111 6*")</f>
        <v>0</v>
      </c>
      <c r="H2446" s="31">
        <f t="shared" si="39"/>
        <v>52400.03</v>
      </c>
      <c r="I2446" s="31"/>
      <c r="K2446" t="s">
        <v>13</v>
      </c>
    </row>
    <row r="2447" spans="2:11" ht="13" x14ac:dyDescent="0.15">
      <c r="B2447" s="29" t="s">
        <v>3138</v>
      </c>
      <c r="C2447" s="29" t="s">
        <v>1567</v>
      </c>
      <c r="D2447" s="31">
        <f>SUMIFS(D2448:D3130,K2448:K3130,"0",B2448:B3130,"5 1 2 5 9 12 31111 6 M78*")-SUMIFS(E2448:E3130,K2448:K3130,"0",B2448:B3130,"5 1 2 5 9 12 31111 6 M78*")</f>
        <v>0</v>
      </c>
      <c r="E2447"/>
      <c r="F2447" s="31">
        <f>SUMIFS(F2448:F3130,K2448:K3130,"0",B2448:B3130,"5 1 2 5 9 12 31111 6 M78*")</f>
        <v>52400.03</v>
      </c>
      <c r="G2447" s="31">
        <f>SUMIFS(G2448:G3130,K2448:K3130,"0",B2448:B3130,"5 1 2 5 9 12 31111 6 M78*")</f>
        <v>0</v>
      </c>
      <c r="H2447" s="31">
        <f t="shared" si="39"/>
        <v>52400.03</v>
      </c>
      <c r="I2447" s="31"/>
      <c r="K2447" t="s">
        <v>13</v>
      </c>
    </row>
    <row r="2448" spans="2:11" ht="13" x14ac:dyDescent="0.15">
      <c r="B2448" s="29" t="s">
        <v>3139</v>
      </c>
      <c r="C2448" s="29" t="s">
        <v>8</v>
      </c>
      <c r="D2448" s="31">
        <f>SUMIFS(D2449:D3130,K2449:K3130,"0",B2449:B3130,"5 1 2 5 9 12 31111 6 M78 07000*")-SUMIFS(E2449:E3130,K2449:K3130,"0",B2449:B3130,"5 1 2 5 9 12 31111 6 M78 07000*")</f>
        <v>0</v>
      </c>
      <c r="E2448"/>
      <c r="F2448" s="31">
        <f>SUMIFS(F2449:F3130,K2449:K3130,"0",B2449:B3130,"5 1 2 5 9 12 31111 6 M78 07000*")</f>
        <v>30000.03</v>
      </c>
      <c r="G2448" s="31">
        <f>SUMIFS(G2449:G3130,K2449:K3130,"0",B2449:B3130,"5 1 2 5 9 12 31111 6 M78 07000*")</f>
        <v>0</v>
      </c>
      <c r="H2448" s="31">
        <f t="shared" si="39"/>
        <v>30000.03</v>
      </c>
      <c r="I2448" s="31"/>
      <c r="K2448" t="s">
        <v>13</v>
      </c>
    </row>
    <row r="2449" spans="2:11" ht="13" x14ac:dyDescent="0.15">
      <c r="B2449" s="29" t="s">
        <v>3140</v>
      </c>
      <c r="C2449" s="29" t="s">
        <v>588</v>
      </c>
      <c r="D2449" s="31">
        <f>SUMIFS(D2450:D3130,K2450:K3130,"0",B2450:B3130,"5 1 2 5 9 12 31111 6 M78 07000 151*")-SUMIFS(E2450:E3130,K2450:K3130,"0",B2450:B3130,"5 1 2 5 9 12 31111 6 M78 07000 151*")</f>
        <v>0</v>
      </c>
      <c r="E2449"/>
      <c r="F2449" s="31">
        <f>SUMIFS(F2450:F3130,K2450:K3130,"0",B2450:B3130,"5 1 2 5 9 12 31111 6 M78 07000 151*")</f>
        <v>30000.03</v>
      </c>
      <c r="G2449" s="31">
        <f>SUMIFS(G2450:G3130,K2450:K3130,"0",B2450:B3130,"5 1 2 5 9 12 31111 6 M78 07000 151*")</f>
        <v>0</v>
      </c>
      <c r="H2449" s="31">
        <f t="shared" si="39"/>
        <v>30000.03</v>
      </c>
      <c r="I2449" s="31"/>
      <c r="K2449" t="s">
        <v>13</v>
      </c>
    </row>
    <row r="2450" spans="2:11" ht="13" x14ac:dyDescent="0.15">
      <c r="B2450" s="29" t="s">
        <v>3141</v>
      </c>
      <c r="C2450" s="29" t="s">
        <v>265</v>
      </c>
      <c r="D2450" s="31">
        <f>SUMIFS(D2451:D3130,K2451:K3130,"0",B2451:B3130,"5 1 2 5 9 12 31111 6 M78 07000 151 00C*")-SUMIFS(E2451:E3130,K2451:K3130,"0",B2451:B3130,"5 1 2 5 9 12 31111 6 M78 07000 151 00C*")</f>
        <v>0</v>
      </c>
      <c r="E2450"/>
      <c r="F2450" s="31">
        <f>SUMIFS(F2451:F3130,K2451:K3130,"0",B2451:B3130,"5 1 2 5 9 12 31111 6 M78 07000 151 00C*")</f>
        <v>30000.03</v>
      </c>
      <c r="G2450" s="31">
        <f>SUMIFS(G2451:G3130,K2451:K3130,"0",B2451:B3130,"5 1 2 5 9 12 31111 6 M78 07000 151 00C*")</f>
        <v>0</v>
      </c>
      <c r="H2450" s="31">
        <f t="shared" si="39"/>
        <v>30000.03</v>
      </c>
      <c r="I2450" s="31"/>
      <c r="K2450" t="s">
        <v>13</v>
      </c>
    </row>
    <row r="2451" spans="2:11" ht="13" x14ac:dyDescent="0.15">
      <c r="B2451" s="29" t="s">
        <v>3142</v>
      </c>
      <c r="C2451" s="29" t="s">
        <v>32</v>
      </c>
      <c r="D2451" s="31">
        <f>SUMIFS(D2452:D3130,K2452:K3130,"0",B2452:B3130,"5 1 2 5 9 12 31111 6 M78 07000 151 00C 001*")-SUMIFS(E2452:E3130,K2452:K3130,"0",B2452:B3130,"5 1 2 5 9 12 31111 6 M78 07000 151 00C 001*")</f>
        <v>0</v>
      </c>
      <c r="E2451"/>
      <c r="F2451" s="31">
        <f>SUMIFS(F2452:F3130,K2452:K3130,"0",B2452:B3130,"5 1 2 5 9 12 31111 6 M78 07000 151 00C 001*")</f>
        <v>30000.03</v>
      </c>
      <c r="G2451" s="31">
        <f>SUMIFS(G2452:G3130,K2452:K3130,"0",B2452:B3130,"5 1 2 5 9 12 31111 6 M78 07000 151 00C 001*")</f>
        <v>0</v>
      </c>
      <c r="H2451" s="31">
        <f t="shared" si="39"/>
        <v>30000.03</v>
      </c>
      <c r="I2451" s="31"/>
      <c r="K2451" t="s">
        <v>13</v>
      </c>
    </row>
    <row r="2452" spans="2:11" ht="13" x14ac:dyDescent="0.15">
      <c r="B2452" s="29" t="s">
        <v>3143</v>
      </c>
      <c r="C2452" s="29" t="s">
        <v>3144</v>
      </c>
      <c r="D2452" s="31">
        <f>SUMIFS(D2453:D3130,K2453:K3130,"0",B2453:B3130,"5 1 2 5 9 12 31111 6 M78 07000 151 00C 001 25901*")-SUMIFS(E2453:E3130,K2453:K3130,"0",B2453:B3130,"5 1 2 5 9 12 31111 6 M78 07000 151 00C 001 25901*")</f>
        <v>0</v>
      </c>
      <c r="E2452"/>
      <c r="F2452" s="31">
        <f>SUMIFS(F2453:F3130,K2453:K3130,"0",B2453:B3130,"5 1 2 5 9 12 31111 6 M78 07000 151 00C 001 25901*")</f>
        <v>30000.03</v>
      </c>
      <c r="G2452" s="31">
        <f>SUMIFS(G2453:G3130,K2453:K3130,"0",B2453:B3130,"5 1 2 5 9 12 31111 6 M78 07000 151 00C 001 25901*")</f>
        <v>0</v>
      </c>
      <c r="H2452" s="31">
        <f t="shared" si="39"/>
        <v>30000.03</v>
      </c>
      <c r="I2452" s="31"/>
      <c r="K2452" t="s">
        <v>13</v>
      </c>
    </row>
    <row r="2453" spans="2:11" ht="22" x14ac:dyDescent="0.15">
      <c r="B2453" s="29" t="s">
        <v>3145</v>
      </c>
      <c r="C2453" s="29" t="s">
        <v>271</v>
      </c>
      <c r="D2453" s="31">
        <f>SUMIFS(D2454:D3130,K2454:K3130,"0",B2454:B3130,"5 1 2 5 9 12 31111 6 M78 07000 151 00C 001 25901 015*")-SUMIFS(E2454:E3130,K2454:K3130,"0",B2454:B3130,"5 1 2 5 9 12 31111 6 M78 07000 151 00C 001 25901 015*")</f>
        <v>0</v>
      </c>
      <c r="E2453"/>
      <c r="F2453" s="31">
        <f>SUMIFS(F2454:F3130,K2454:K3130,"0",B2454:B3130,"5 1 2 5 9 12 31111 6 M78 07000 151 00C 001 25901 015*")</f>
        <v>30000.03</v>
      </c>
      <c r="G2453" s="31">
        <f>SUMIFS(G2454:G3130,K2454:K3130,"0",B2454:B3130,"5 1 2 5 9 12 31111 6 M78 07000 151 00C 001 25901 015*")</f>
        <v>0</v>
      </c>
      <c r="H2453" s="31">
        <f t="shared" si="39"/>
        <v>30000.03</v>
      </c>
      <c r="I2453" s="31"/>
      <c r="K2453" t="s">
        <v>13</v>
      </c>
    </row>
    <row r="2454" spans="2:11" ht="22" x14ac:dyDescent="0.15">
      <c r="B2454" s="29" t="s">
        <v>3146</v>
      </c>
      <c r="C2454" s="29" t="s">
        <v>595</v>
      </c>
      <c r="D2454" s="31">
        <f>SUMIFS(D2455:D3130,K2455:K3130,"0",B2455:B3130,"5 1 2 5 9 12 31111 6 M78 07000 151 00C 001 25901 015 2112000*")-SUMIFS(E2455:E3130,K2455:K3130,"0",B2455:B3130,"5 1 2 5 9 12 31111 6 M78 07000 151 00C 001 25901 015 2112000*")</f>
        <v>0</v>
      </c>
      <c r="E2454"/>
      <c r="F2454" s="31">
        <f>SUMIFS(F2455:F3130,K2455:K3130,"0",B2455:B3130,"5 1 2 5 9 12 31111 6 M78 07000 151 00C 001 25901 015 2112000*")</f>
        <v>30000.03</v>
      </c>
      <c r="G2454" s="31">
        <f>SUMIFS(G2455:G3130,K2455:K3130,"0",B2455:B3130,"5 1 2 5 9 12 31111 6 M78 07000 151 00C 001 25901 015 2112000*")</f>
        <v>0</v>
      </c>
      <c r="H2454" s="31">
        <f t="shared" si="39"/>
        <v>30000.03</v>
      </c>
      <c r="I2454" s="31"/>
      <c r="K2454" t="s">
        <v>13</v>
      </c>
    </row>
    <row r="2455" spans="2:11" ht="22" x14ac:dyDescent="0.15">
      <c r="B2455" s="29" t="s">
        <v>3147</v>
      </c>
      <c r="C2455" s="29" t="s">
        <v>275</v>
      </c>
      <c r="D2455" s="31">
        <f>SUMIFS(D2456:D3130,K2456:K3130,"0",B2456:B3130,"5 1 2 5 9 12 31111 6 M78 07000 151 00C 001 25901 015 2112000 2024*")-SUMIFS(E2456:E3130,K2456:K3130,"0",B2456:B3130,"5 1 2 5 9 12 31111 6 M78 07000 151 00C 001 25901 015 2112000 2024*")</f>
        <v>0</v>
      </c>
      <c r="E2455"/>
      <c r="F2455" s="31">
        <f>SUMIFS(F2456:F3130,K2456:K3130,"0",B2456:B3130,"5 1 2 5 9 12 31111 6 M78 07000 151 00C 001 25901 015 2112000 2024*")</f>
        <v>30000.03</v>
      </c>
      <c r="G2455" s="31">
        <f>SUMIFS(G2456:G3130,K2456:K3130,"0",B2456:B3130,"5 1 2 5 9 12 31111 6 M78 07000 151 00C 001 25901 015 2112000 2024*")</f>
        <v>0</v>
      </c>
      <c r="H2455" s="31">
        <f t="shared" si="39"/>
        <v>30000.03</v>
      </c>
      <c r="I2455" s="31"/>
      <c r="K2455" t="s">
        <v>13</v>
      </c>
    </row>
    <row r="2456" spans="2:11" ht="22" x14ac:dyDescent="0.15">
      <c r="B2456" s="29" t="s">
        <v>3148</v>
      </c>
      <c r="C2456" s="29" t="s">
        <v>277</v>
      </c>
      <c r="D2456" s="31">
        <f>SUMIFS(D2457:D3130,K2457:K3130,"0",B2457:B3130,"5 1 2 5 9 12 31111 6 M78 07000 151 00C 001 25901 015 2112000 2024 00000000*")-SUMIFS(E2457:E3130,K2457:K3130,"0",B2457:B3130,"5 1 2 5 9 12 31111 6 M78 07000 151 00C 001 25901 015 2112000 2024 00000000*")</f>
        <v>0</v>
      </c>
      <c r="E2456"/>
      <c r="F2456" s="31">
        <f>SUMIFS(F2457:F3130,K2457:K3130,"0",B2457:B3130,"5 1 2 5 9 12 31111 6 M78 07000 151 00C 001 25901 015 2112000 2024 00000000*")</f>
        <v>30000.03</v>
      </c>
      <c r="G2456" s="31">
        <f>SUMIFS(G2457:G3130,K2457:K3130,"0",B2457:B3130,"5 1 2 5 9 12 31111 6 M78 07000 151 00C 001 25901 015 2112000 2024 00000000*")</f>
        <v>0</v>
      </c>
      <c r="H2456" s="31">
        <f t="shared" si="39"/>
        <v>30000.03</v>
      </c>
      <c r="I2456" s="31"/>
      <c r="K2456" t="s">
        <v>13</v>
      </c>
    </row>
    <row r="2457" spans="2:11" ht="22" x14ac:dyDescent="0.15">
      <c r="B2457" s="29" t="s">
        <v>3149</v>
      </c>
      <c r="C2457" s="29" t="s">
        <v>32</v>
      </c>
      <c r="D2457" s="31">
        <f>SUMIFS(D2458:D3130,K2458:K3130,"0",B2458:B3130,"5 1 2 5 9 12 31111 6 M78 07000 151 00C 001 25901 015 2112000 2024 00000000 001*")-SUMIFS(E2458:E3130,K2458:K3130,"0",B2458:B3130,"5 1 2 5 9 12 31111 6 M78 07000 151 00C 001 25901 015 2112000 2024 00000000 001*")</f>
        <v>0</v>
      </c>
      <c r="E2457"/>
      <c r="F2457" s="31">
        <f>SUMIFS(F2458:F3130,K2458:K3130,"0",B2458:B3130,"5 1 2 5 9 12 31111 6 M78 07000 151 00C 001 25901 015 2112000 2024 00000000 001*")</f>
        <v>30000.03</v>
      </c>
      <c r="G2457" s="31">
        <f>SUMIFS(G2458:G3130,K2458:K3130,"0",B2458:B3130,"5 1 2 5 9 12 31111 6 M78 07000 151 00C 001 25901 015 2112000 2024 00000000 001*")</f>
        <v>0</v>
      </c>
      <c r="H2457" s="31">
        <f t="shared" si="39"/>
        <v>30000.03</v>
      </c>
      <c r="I2457" s="31"/>
      <c r="K2457" t="s">
        <v>13</v>
      </c>
    </row>
    <row r="2458" spans="2:11" ht="22" x14ac:dyDescent="0.15">
      <c r="B2458" s="27" t="s">
        <v>3150</v>
      </c>
      <c r="C2458" s="27" t="s">
        <v>3144</v>
      </c>
      <c r="D2458" s="30">
        <v>0</v>
      </c>
      <c r="E2458" s="30"/>
      <c r="F2458" s="30">
        <v>30000.03</v>
      </c>
      <c r="G2458" s="30">
        <v>0</v>
      </c>
      <c r="H2458" s="30">
        <f t="shared" si="39"/>
        <v>30000.03</v>
      </c>
      <c r="I2458" s="30"/>
      <c r="K2458" t="s">
        <v>37</v>
      </c>
    </row>
    <row r="2459" spans="2:11" ht="13" x14ac:dyDescent="0.15">
      <c r="B2459" s="29" t="s">
        <v>3151</v>
      </c>
      <c r="C2459" s="29" t="s">
        <v>833</v>
      </c>
      <c r="D2459" s="31">
        <f>SUMIFS(D2460:D3130,K2460:K3130,"0",B2460:B3130,"5 1 2 5 9 12 31111 6 M78 15000*")-SUMIFS(E2460:E3130,K2460:K3130,"0",B2460:B3130,"5 1 2 5 9 12 31111 6 M78 15000*")</f>
        <v>0</v>
      </c>
      <c r="E2459"/>
      <c r="F2459" s="31">
        <f>SUMIFS(F2460:F3130,K2460:K3130,"0",B2460:B3130,"5 1 2 5 9 12 31111 6 M78 15000*")</f>
        <v>22400</v>
      </c>
      <c r="G2459" s="31">
        <f>SUMIFS(G2460:G3130,K2460:K3130,"0",B2460:B3130,"5 1 2 5 9 12 31111 6 M78 15000*")</f>
        <v>0</v>
      </c>
      <c r="H2459" s="31">
        <f t="shared" si="39"/>
        <v>22400</v>
      </c>
      <c r="I2459" s="31"/>
      <c r="K2459" t="s">
        <v>13</v>
      </c>
    </row>
    <row r="2460" spans="2:11" ht="13" x14ac:dyDescent="0.15">
      <c r="B2460" s="29" t="s">
        <v>3152</v>
      </c>
      <c r="C2460" s="29" t="s">
        <v>835</v>
      </c>
      <c r="D2460" s="31">
        <f>SUMIFS(D2461:D3130,K2461:K3130,"0",B2461:B3130,"5 1 2 5 9 12 31111 6 M78 15000 171*")-SUMIFS(E2461:E3130,K2461:K3130,"0",B2461:B3130,"5 1 2 5 9 12 31111 6 M78 15000 171*")</f>
        <v>0</v>
      </c>
      <c r="E2460"/>
      <c r="F2460" s="31">
        <f>SUMIFS(F2461:F3130,K2461:K3130,"0",B2461:B3130,"5 1 2 5 9 12 31111 6 M78 15000 171*")</f>
        <v>22400</v>
      </c>
      <c r="G2460" s="31">
        <f>SUMIFS(G2461:G3130,K2461:K3130,"0",B2461:B3130,"5 1 2 5 9 12 31111 6 M78 15000 171*")</f>
        <v>0</v>
      </c>
      <c r="H2460" s="31">
        <f t="shared" si="39"/>
        <v>22400</v>
      </c>
      <c r="I2460" s="31"/>
      <c r="K2460" t="s">
        <v>13</v>
      </c>
    </row>
    <row r="2461" spans="2:11" ht="13" x14ac:dyDescent="0.15">
      <c r="B2461" s="29" t="s">
        <v>3153</v>
      </c>
      <c r="C2461" s="29" t="s">
        <v>285</v>
      </c>
      <c r="D2461" s="31">
        <f>SUMIFS(D2462:D3130,K2462:K3130,"0",B2462:B3130,"5 1 2 5 9 12 31111 6 M78 15000 171 00I*")-SUMIFS(E2462:E3130,K2462:K3130,"0",B2462:B3130,"5 1 2 5 9 12 31111 6 M78 15000 171 00I*")</f>
        <v>0</v>
      </c>
      <c r="E2461"/>
      <c r="F2461" s="31">
        <f>SUMIFS(F2462:F3130,K2462:K3130,"0",B2462:B3130,"5 1 2 5 9 12 31111 6 M78 15000 171 00I*")</f>
        <v>22400</v>
      </c>
      <c r="G2461" s="31">
        <f>SUMIFS(G2462:G3130,K2462:K3130,"0",B2462:B3130,"5 1 2 5 9 12 31111 6 M78 15000 171 00I*")</f>
        <v>0</v>
      </c>
      <c r="H2461" s="31">
        <f t="shared" si="39"/>
        <v>22400</v>
      </c>
      <c r="I2461" s="31"/>
      <c r="K2461" t="s">
        <v>13</v>
      </c>
    </row>
    <row r="2462" spans="2:11" ht="13" x14ac:dyDescent="0.15">
      <c r="B2462" s="29" t="s">
        <v>3154</v>
      </c>
      <c r="C2462" s="29" t="s">
        <v>32</v>
      </c>
      <c r="D2462" s="31">
        <f>SUMIFS(D2463:D3130,K2463:K3130,"0",B2463:B3130,"5 1 2 5 9 12 31111 6 M78 15000 171 00I 001*")-SUMIFS(E2463:E3130,K2463:K3130,"0",B2463:B3130,"5 1 2 5 9 12 31111 6 M78 15000 171 00I 001*")</f>
        <v>0</v>
      </c>
      <c r="E2462"/>
      <c r="F2462" s="31">
        <f>SUMIFS(F2463:F3130,K2463:K3130,"0",B2463:B3130,"5 1 2 5 9 12 31111 6 M78 15000 171 00I 001*")</f>
        <v>22400</v>
      </c>
      <c r="G2462" s="31">
        <f>SUMIFS(G2463:G3130,K2463:K3130,"0",B2463:B3130,"5 1 2 5 9 12 31111 6 M78 15000 171 00I 001*")</f>
        <v>0</v>
      </c>
      <c r="H2462" s="31">
        <f t="shared" si="39"/>
        <v>22400</v>
      </c>
      <c r="I2462" s="31"/>
      <c r="K2462" t="s">
        <v>13</v>
      </c>
    </row>
    <row r="2463" spans="2:11" ht="13" x14ac:dyDescent="0.15">
      <c r="B2463" s="29" t="s">
        <v>3155</v>
      </c>
      <c r="C2463" s="29" t="s">
        <v>3144</v>
      </c>
      <c r="D2463" s="31">
        <f>SUMIFS(D2464:D3130,K2464:K3130,"0",B2464:B3130,"5 1 2 5 9 12 31111 6 M78 15000 171 00I 001 25901*")-SUMIFS(E2464:E3130,K2464:K3130,"0",B2464:B3130,"5 1 2 5 9 12 31111 6 M78 15000 171 00I 001 25901*")</f>
        <v>0</v>
      </c>
      <c r="E2463"/>
      <c r="F2463" s="31">
        <f>SUMIFS(F2464:F3130,K2464:K3130,"0",B2464:B3130,"5 1 2 5 9 12 31111 6 M78 15000 171 00I 001 25901*")</f>
        <v>22400</v>
      </c>
      <c r="G2463" s="31">
        <f>SUMIFS(G2464:G3130,K2464:K3130,"0",B2464:B3130,"5 1 2 5 9 12 31111 6 M78 15000 171 00I 001 25901*")</f>
        <v>0</v>
      </c>
      <c r="H2463" s="31">
        <f t="shared" si="39"/>
        <v>22400</v>
      </c>
      <c r="I2463" s="31"/>
      <c r="K2463" t="s">
        <v>13</v>
      </c>
    </row>
    <row r="2464" spans="2:11" ht="22" x14ac:dyDescent="0.15">
      <c r="B2464" s="29" t="s">
        <v>3156</v>
      </c>
      <c r="C2464" s="29" t="s">
        <v>290</v>
      </c>
      <c r="D2464" s="31">
        <f>SUMIFS(D2465:D3130,K2465:K3130,"0",B2465:B3130,"5 1 2 5 9 12 31111 6 M78 15000 171 00I 001 25901 025*")-SUMIFS(E2465:E3130,K2465:K3130,"0",B2465:B3130,"5 1 2 5 9 12 31111 6 M78 15000 171 00I 001 25901 025*")</f>
        <v>0</v>
      </c>
      <c r="E2464"/>
      <c r="F2464" s="31">
        <f>SUMIFS(F2465:F3130,K2465:K3130,"0",B2465:B3130,"5 1 2 5 9 12 31111 6 M78 15000 171 00I 001 25901 025*")</f>
        <v>22400</v>
      </c>
      <c r="G2464" s="31">
        <f>SUMIFS(G2465:G3130,K2465:K3130,"0",B2465:B3130,"5 1 2 5 9 12 31111 6 M78 15000 171 00I 001 25901 025*")</f>
        <v>0</v>
      </c>
      <c r="H2464" s="31">
        <f t="shared" si="39"/>
        <v>22400</v>
      </c>
      <c r="I2464" s="31"/>
      <c r="K2464" t="s">
        <v>13</v>
      </c>
    </row>
    <row r="2465" spans="2:11" ht="22" x14ac:dyDescent="0.15">
      <c r="B2465" s="29" t="s">
        <v>3157</v>
      </c>
      <c r="C2465" s="29" t="s">
        <v>595</v>
      </c>
      <c r="D2465" s="31">
        <f>SUMIFS(D2466:D3130,K2466:K3130,"0",B2466:B3130,"5 1 2 5 9 12 31111 6 M78 15000 171 00I 001 25901 025 2112000*")-SUMIFS(E2466:E3130,K2466:K3130,"0",B2466:B3130,"5 1 2 5 9 12 31111 6 M78 15000 171 00I 001 25901 025 2112000*")</f>
        <v>0</v>
      </c>
      <c r="E2465"/>
      <c r="F2465" s="31">
        <f>SUMIFS(F2466:F3130,K2466:K3130,"0",B2466:B3130,"5 1 2 5 9 12 31111 6 M78 15000 171 00I 001 25901 025 2112000*")</f>
        <v>22400</v>
      </c>
      <c r="G2465" s="31">
        <f>SUMIFS(G2466:G3130,K2466:K3130,"0",B2466:B3130,"5 1 2 5 9 12 31111 6 M78 15000 171 00I 001 25901 025 2112000*")</f>
        <v>0</v>
      </c>
      <c r="H2465" s="31">
        <f t="shared" si="39"/>
        <v>22400</v>
      </c>
      <c r="I2465" s="31"/>
      <c r="K2465" t="s">
        <v>13</v>
      </c>
    </row>
    <row r="2466" spans="2:11" ht="22" x14ac:dyDescent="0.15">
      <c r="B2466" s="29" t="s">
        <v>3158</v>
      </c>
      <c r="C2466" s="29" t="s">
        <v>275</v>
      </c>
      <c r="D2466" s="31">
        <f>SUMIFS(D2467:D3130,K2467:K3130,"0",B2467:B3130,"5 1 2 5 9 12 31111 6 M78 15000 171 00I 001 25901 025 2112000 2024*")-SUMIFS(E2467:E3130,K2467:K3130,"0",B2467:B3130,"5 1 2 5 9 12 31111 6 M78 15000 171 00I 001 25901 025 2112000 2024*")</f>
        <v>0</v>
      </c>
      <c r="E2466"/>
      <c r="F2466" s="31">
        <f>SUMIFS(F2467:F3130,K2467:K3130,"0",B2467:B3130,"5 1 2 5 9 12 31111 6 M78 15000 171 00I 001 25901 025 2112000 2024*")</f>
        <v>22400</v>
      </c>
      <c r="G2466" s="31">
        <f>SUMIFS(G2467:G3130,K2467:K3130,"0",B2467:B3130,"5 1 2 5 9 12 31111 6 M78 15000 171 00I 001 25901 025 2112000 2024*")</f>
        <v>0</v>
      </c>
      <c r="H2466" s="31">
        <f t="shared" si="39"/>
        <v>22400</v>
      </c>
      <c r="I2466" s="31"/>
      <c r="K2466" t="s">
        <v>13</v>
      </c>
    </row>
    <row r="2467" spans="2:11" ht="22" x14ac:dyDescent="0.15">
      <c r="B2467" s="29" t="s">
        <v>3159</v>
      </c>
      <c r="C2467" s="29" t="s">
        <v>277</v>
      </c>
      <c r="D2467" s="31">
        <f>SUMIFS(D2468:D3130,K2468:K3130,"0",B2468:B3130,"5 1 2 5 9 12 31111 6 M78 15000 171 00I 001 25901 025 2112000 2024 00000000*")-SUMIFS(E2468:E3130,K2468:K3130,"0",B2468:B3130,"5 1 2 5 9 12 31111 6 M78 15000 171 00I 001 25901 025 2112000 2024 00000000*")</f>
        <v>0</v>
      </c>
      <c r="E2467"/>
      <c r="F2467" s="31">
        <f>SUMIFS(F2468:F3130,K2468:K3130,"0",B2468:B3130,"5 1 2 5 9 12 31111 6 M78 15000 171 00I 001 25901 025 2112000 2024 00000000*")</f>
        <v>22400</v>
      </c>
      <c r="G2467" s="31">
        <f>SUMIFS(G2468:G3130,K2468:K3130,"0",B2468:B3130,"5 1 2 5 9 12 31111 6 M78 15000 171 00I 001 25901 025 2112000 2024 00000000*")</f>
        <v>0</v>
      </c>
      <c r="H2467" s="31">
        <f t="shared" si="39"/>
        <v>22400</v>
      </c>
      <c r="I2467" s="31"/>
      <c r="K2467" t="s">
        <v>13</v>
      </c>
    </row>
    <row r="2468" spans="2:11" ht="22" x14ac:dyDescent="0.15">
      <c r="B2468" s="29" t="s">
        <v>3160</v>
      </c>
      <c r="C2468" s="29" t="s">
        <v>581</v>
      </c>
      <c r="D2468" s="31">
        <f>SUMIFS(D2469:D3130,K2469:K3130,"0",B2469:B3130,"5 1 2 5 9 12 31111 6 M78 15000 171 00I 001 25901 025 2112000 2024 00000000 003*")-SUMIFS(E2469:E3130,K2469:K3130,"0",B2469:B3130,"5 1 2 5 9 12 31111 6 M78 15000 171 00I 001 25901 025 2112000 2024 00000000 003*")</f>
        <v>0</v>
      </c>
      <c r="E2468"/>
      <c r="F2468" s="31">
        <f>SUMIFS(F2469:F3130,K2469:K3130,"0",B2469:B3130,"5 1 2 5 9 12 31111 6 M78 15000 171 00I 001 25901 025 2112000 2024 00000000 003*")</f>
        <v>22400</v>
      </c>
      <c r="G2468" s="31">
        <f>SUMIFS(G2469:G3130,K2469:K3130,"0",B2469:B3130,"5 1 2 5 9 12 31111 6 M78 15000 171 00I 001 25901 025 2112000 2024 00000000 003*")</f>
        <v>0</v>
      </c>
      <c r="H2468" s="31">
        <f t="shared" si="39"/>
        <v>22400</v>
      </c>
      <c r="I2468" s="31"/>
      <c r="K2468" t="s">
        <v>13</v>
      </c>
    </row>
    <row r="2469" spans="2:11" ht="22" x14ac:dyDescent="0.15">
      <c r="B2469" s="27" t="s">
        <v>3161</v>
      </c>
      <c r="C2469" s="27" t="s">
        <v>3162</v>
      </c>
      <c r="D2469" s="30">
        <v>0</v>
      </c>
      <c r="E2469" s="30"/>
      <c r="F2469" s="30">
        <v>22400</v>
      </c>
      <c r="G2469" s="30">
        <v>0</v>
      </c>
      <c r="H2469" s="30">
        <f t="shared" si="39"/>
        <v>22400</v>
      </c>
      <c r="I2469" s="30"/>
      <c r="K2469" t="s">
        <v>37</v>
      </c>
    </row>
    <row r="2470" spans="2:11" ht="13" x14ac:dyDescent="0.15">
      <c r="B2470" s="29" t="s">
        <v>3163</v>
      </c>
      <c r="C2470" s="29" t="s">
        <v>3164</v>
      </c>
      <c r="D2470" s="31">
        <f>SUMIFS(D2471:D3130,K2471:K3130,"0",B2471:B3130,"5 1 2 6*")-SUMIFS(E2471:E3130,K2471:K3130,"0",B2471:B3130,"5 1 2 6*")</f>
        <v>0</v>
      </c>
      <c r="E2470"/>
      <c r="F2470" s="31">
        <f>SUMIFS(F2471:F3130,K2471:K3130,"0",B2471:B3130,"5 1 2 6*")</f>
        <v>1856997.02</v>
      </c>
      <c r="G2470" s="31">
        <f>SUMIFS(G2471:G3130,K2471:K3130,"0",B2471:B3130,"5 1 2 6*")</f>
        <v>38985.550000000003</v>
      </c>
      <c r="H2470" s="31">
        <f t="shared" si="39"/>
        <v>1818011.47</v>
      </c>
      <c r="I2470" s="31"/>
      <c r="K2470" t="s">
        <v>13</v>
      </c>
    </row>
    <row r="2471" spans="2:11" ht="13" x14ac:dyDescent="0.15">
      <c r="B2471" s="29" t="s">
        <v>3165</v>
      </c>
      <c r="C2471" s="29" t="s">
        <v>3164</v>
      </c>
      <c r="D2471" s="31">
        <f>SUMIFS(D2472:D3130,K2472:K3130,"0",B2472:B3130,"5 1 2 6 1*")-SUMIFS(E2472:E3130,K2472:K3130,"0",B2472:B3130,"5 1 2 6 1*")</f>
        <v>0</v>
      </c>
      <c r="E2471"/>
      <c r="F2471" s="31">
        <f>SUMIFS(F2472:F3130,K2472:K3130,"0",B2472:B3130,"5 1 2 6 1*")</f>
        <v>1856997.02</v>
      </c>
      <c r="G2471" s="31">
        <f>SUMIFS(G2472:G3130,K2472:K3130,"0",B2472:B3130,"5 1 2 6 1*")</f>
        <v>38985.550000000003</v>
      </c>
      <c r="H2471" s="31">
        <f t="shared" si="39"/>
        <v>1818011.47</v>
      </c>
      <c r="I2471" s="31"/>
      <c r="K2471" t="s">
        <v>13</v>
      </c>
    </row>
    <row r="2472" spans="2:11" ht="13" x14ac:dyDescent="0.15">
      <c r="B2472" s="29" t="s">
        <v>3166</v>
      </c>
      <c r="C2472" s="29" t="s">
        <v>24</v>
      </c>
      <c r="D2472" s="31">
        <f>SUMIFS(D2473:D3130,K2473:K3130,"0",B2473:B3130,"5 1 2 6 1 12*")-SUMIFS(E2473:E3130,K2473:K3130,"0",B2473:B3130,"5 1 2 6 1 12*")</f>
        <v>0</v>
      </c>
      <c r="E2472"/>
      <c r="F2472" s="31">
        <f>SUMIFS(F2473:F3130,K2473:K3130,"0",B2473:B3130,"5 1 2 6 1 12*")</f>
        <v>1856997.02</v>
      </c>
      <c r="G2472" s="31">
        <f>SUMIFS(G2473:G3130,K2473:K3130,"0",B2473:B3130,"5 1 2 6 1 12*")</f>
        <v>38985.550000000003</v>
      </c>
      <c r="H2472" s="31">
        <f t="shared" si="39"/>
        <v>1818011.47</v>
      </c>
      <c r="I2472" s="31"/>
      <c r="K2472" t="s">
        <v>13</v>
      </c>
    </row>
    <row r="2473" spans="2:11" ht="13" x14ac:dyDescent="0.15">
      <c r="B2473" s="29" t="s">
        <v>3167</v>
      </c>
      <c r="C2473" s="29" t="s">
        <v>26</v>
      </c>
      <c r="D2473" s="31">
        <f>SUMIFS(D2474:D3130,K2474:K3130,"0",B2474:B3130,"5 1 2 6 1 12 31111*")-SUMIFS(E2474:E3130,K2474:K3130,"0",B2474:B3130,"5 1 2 6 1 12 31111*")</f>
        <v>0</v>
      </c>
      <c r="E2473"/>
      <c r="F2473" s="31">
        <f>SUMIFS(F2474:F3130,K2474:K3130,"0",B2474:B3130,"5 1 2 6 1 12 31111*")</f>
        <v>1856997.02</v>
      </c>
      <c r="G2473" s="31">
        <f>SUMIFS(G2474:G3130,K2474:K3130,"0",B2474:B3130,"5 1 2 6 1 12 31111*")</f>
        <v>38985.550000000003</v>
      </c>
      <c r="H2473" s="31">
        <f t="shared" si="39"/>
        <v>1818011.47</v>
      </c>
      <c r="I2473" s="31"/>
      <c r="K2473" t="s">
        <v>13</v>
      </c>
    </row>
    <row r="2474" spans="2:11" ht="13" x14ac:dyDescent="0.15">
      <c r="B2474" s="29" t="s">
        <v>3168</v>
      </c>
      <c r="C2474" s="29" t="s">
        <v>28</v>
      </c>
      <c r="D2474" s="31">
        <f>SUMIFS(D2475:D3130,K2475:K3130,"0",B2475:B3130,"5 1 2 6 1 12 31111 6*")-SUMIFS(E2475:E3130,K2475:K3130,"0",B2475:B3130,"5 1 2 6 1 12 31111 6*")</f>
        <v>0</v>
      </c>
      <c r="E2474"/>
      <c r="F2474" s="31">
        <f>SUMIFS(F2475:F3130,K2475:K3130,"0",B2475:B3130,"5 1 2 6 1 12 31111 6*")</f>
        <v>1856997.02</v>
      </c>
      <c r="G2474" s="31">
        <f>SUMIFS(G2475:G3130,K2475:K3130,"0",B2475:B3130,"5 1 2 6 1 12 31111 6*")</f>
        <v>38985.550000000003</v>
      </c>
      <c r="H2474" s="31">
        <f t="shared" si="39"/>
        <v>1818011.47</v>
      </c>
      <c r="I2474" s="31"/>
      <c r="K2474" t="s">
        <v>13</v>
      </c>
    </row>
    <row r="2475" spans="2:11" ht="13" x14ac:dyDescent="0.15">
      <c r="B2475" s="29" t="s">
        <v>3169</v>
      </c>
      <c r="C2475" s="29" t="s">
        <v>1567</v>
      </c>
      <c r="D2475" s="31">
        <f>SUMIFS(D2476:D3130,K2476:K3130,"0",B2476:B3130,"5 1 2 6 1 12 31111 6 M78*")-SUMIFS(E2476:E3130,K2476:K3130,"0",B2476:B3130,"5 1 2 6 1 12 31111 6 M78*")</f>
        <v>0</v>
      </c>
      <c r="E2475"/>
      <c r="F2475" s="31">
        <f>SUMIFS(F2476:F3130,K2476:K3130,"0",B2476:B3130,"5 1 2 6 1 12 31111 6 M78*")</f>
        <v>1856997.02</v>
      </c>
      <c r="G2475" s="31">
        <f>SUMIFS(G2476:G3130,K2476:K3130,"0",B2476:B3130,"5 1 2 6 1 12 31111 6 M78*")</f>
        <v>38985.550000000003</v>
      </c>
      <c r="H2475" s="31">
        <f t="shared" si="39"/>
        <v>1818011.47</v>
      </c>
      <c r="I2475" s="31"/>
      <c r="K2475" t="s">
        <v>13</v>
      </c>
    </row>
    <row r="2476" spans="2:11" ht="13" x14ac:dyDescent="0.15">
      <c r="B2476" s="29" t="s">
        <v>3170</v>
      </c>
      <c r="C2476" s="29" t="s">
        <v>8</v>
      </c>
      <c r="D2476" s="31">
        <f>SUMIFS(D2477:D3130,K2477:K3130,"0",B2477:B3130,"5 1 2 6 1 12 31111 6 M78 07000*")-SUMIFS(E2477:E3130,K2477:K3130,"0",B2477:B3130,"5 1 2 6 1 12 31111 6 M78 07000*")</f>
        <v>0</v>
      </c>
      <c r="E2476"/>
      <c r="F2476" s="31">
        <f>SUMIFS(F2477:F3130,K2477:K3130,"0",B2477:B3130,"5 1 2 6 1 12 31111 6 M78 07000*")</f>
        <v>1451574.28</v>
      </c>
      <c r="G2476" s="31">
        <f>SUMIFS(G2477:G3130,K2477:K3130,"0",B2477:B3130,"5 1 2 6 1 12 31111 6 M78 07000*")</f>
        <v>38985.550000000003</v>
      </c>
      <c r="H2476" s="31">
        <f t="shared" si="39"/>
        <v>1412588.73</v>
      </c>
      <c r="I2476" s="31"/>
      <c r="K2476" t="s">
        <v>13</v>
      </c>
    </row>
    <row r="2477" spans="2:11" ht="13" x14ac:dyDescent="0.15">
      <c r="B2477" s="29" t="s">
        <v>3171</v>
      </c>
      <c r="C2477" s="29" t="s">
        <v>588</v>
      </c>
      <c r="D2477" s="31">
        <f>SUMIFS(D2478:D3130,K2478:K3130,"0",B2478:B3130,"5 1 2 6 1 12 31111 6 M78 07000 151*")-SUMIFS(E2478:E3130,K2478:K3130,"0",B2478:B3130,"5 1 2 6 1 12 31111 6 M78 07000 151*")</f>
        <v>0</v>
      </c>
      <c r="E2477"/>
      <c r="F2477" s="31">
        <f>SUMIFS(F2478:F3130,K2478:K3130,"0",B2478:B3130,"5 1 2 6 1 12 31111 6 M78 07000 151*")</f>
        <v>1451574.28</v>
      </c>
      <c r="G2477" s="31">
        <f>SUMIFS(G2478:G3130,K2478:K3130,"0",B2478:B3130,"5 1 2 6 1 12 31111 6 M78 07000 151*")</f>
        <v>38985.550000000003</v>
      </c>
      <c r="H2477" s="31">
        <f t="shared" si="39"/>
        <v>1412588.73</v>
      </c>
      <c r="I2477" s="31"/>
      <c r="K2477" t="s">
        <v>13</v>
      </c>
    </row>
    <row r="2478" spans="2:11" ht="13" x14ac:dyDescent="0.15">
      <c r="B2478" s="29" t="s">
        <v>3172</v>
      </c>
      <c r="C2478" s="29" t="s">
        <v>265</v>
      </c>
      <c r="D2478" s="31">
        <f>SUMIFS(D2479:D3130,K2479:K3130,"0",B2479:B3130,"5 1 2 6 1 12 31111 6 M78 07000 151 00C*")-SUMIFS(E2479:E3130,K2479:K3130,"0",B2479:B3130,"5 1 2 6 1 12 31111 6 M78 07000 151 00C*")</f>
        <v>0</v>
      </c>
      <c r="E2478"/>
      <c r="F2478" s="31">
        <f>SUMIFS(F2479:F3130,K2479:K3130,"0",B2479:B3130,"5 1 2 6 1 12 31111 6 M78 07000 151 00C*")</f>
        <v>1438248.91</v>
      </c>
      <c r="G2478" s="31">
        <f>SUMIFS(G2479:G3130,K2479:K3130,"0",B2479:B3130,"5 1 2 6 1 12 31111 6 M78 07000 151 00C*")</f>
        <v>38985.550000000003</v>
      </c>
      <c r="H2478" s="31">
        <f t="shared" si="39"/>
        <v>1399263.3599999999</v>
      </c>
      <c r="I2478" s="31"/>
      <c r="K2478" t="s">
        <v>13</v>
      </c>
    </row>
    <row r="2479" spans="2:11" ht="13" x14ac:dyDescent="0.15">
      <c r="B2479" s="29" t="s">
        <v>3173</v>
      </c>
      <c r="C2479" s="29" t="s">
        <v>32</v>
      </c>
      <c r="D2479" s="31">
        <f>SUMIFS(D2480:D3130,K2480:K3130,"0",B2480:B3130,"5 1 2 6 1 12 31111 6 M78 07000 151 00C 001*")-SUMIFS(E2480:E3130,K2480:K3130,"0",B2480:B3130,"5 1 2 6 1 12 31111 6 M78 07000 151 00C 001*")</f>
        <v>0</v>
      </c>
      <c r="E2479"/>
      <c r="F2479" s="31">
        <f>SUMIFS(F2480:F3130,K2480:K3130,"0",B2480:B3130,"5 1 2 6 1 12 31111 6 M78 07000 151 00C 001*")</f>
        <v>1438248.91</v>
      </c>
      <c r="G2479" s="31">
        <f>SUMIFS(G2480:G3130,K2480:K3130,"0",B2480:B3130,"5 1 2 6 1 12 31111 6 M78 07000 151 00C 001*")</f>
        <v>38985.550000000003</v>
      </c>
      <c r="H2479" s="31">
        <f t="shared" si="39"/>
        <v>1399263.3599999999</v>
      </c>
      <c r="I2479" s="31"/>
      <c r="K2479" t="s">
        <v>13</v>
      </c>
    </row>
    <row r="2480" spans="2:11" ht="33" x14ac:dyDescent="0.15">
      <c r="B2480" s="29" t="s">
        <v>3174</v>
      </c>
      <c r="C2480" s="29" t="s">
        <v>3175</v>
      </c>
      <c r="D2480" s="31">
        <f>SUMIFS(D2481:D3130,K2481:K3130,"0",B2481:B3130,"5 1 2 6 1 12 31111 6 M78 07000 151 00C 001 26104*")-SUMIFS(E2481:E3130,K2481:K3130,"0",B2481:B3130,"5 1 2 6 1 12 31111 6 M78 07000 151 00C 001 26104*")</f>
        <v>0</v>
      </c>
      <c r="E2480"/>
      <c r="F2480" s="31">
        <f>SUMIFS(F2481:F3130,K2481:K3130,"0",B2481:B3130,"5 1 2 6 1 12 31111 6 M78 07000 151 00C 001 26104*")</f>
        <v>1438248.91</v>
      </c>
      <c r="G2480" s="31">
        <f>SUMIFS(G2481:G3130,K2481:K3130,"0",B2481:B3130,"5 1 2 6 1 12 31111 6 M78 07000 151 00C 001 26104*")</f>
        <v>38985.550000000003</v>
      </c>
      <c r="H2480" s="31">
        <f t="shared" si="39"/>
        <v>1399263.3599999999</v>
      </c>
      <c r="I2480" s="31"/>
      <c r="K2480" t="s">
        <v>13</v>
      </c>
    </row>
    <row r="2481" spans="2:11" ht="22" x14ac:dyDescent="0.15">
      <c r="B2481" s="29" t="s">
        <v>3176</v>
      </c>
      <c r="C2481" s="29" t="s">
        <v>271</v>
      </c>
      <c r="D2481" s="31">
        <f>SUMIFS(D2482:D3130,K2482:K3130,"0",B2482:B3130,"5 1 2 6 1 12 31111 6 M78 07000 151 00C 001 26104 015*")-SUMIFS(E2482:E3130,K2482:K3130,"0",B2482:B3130,"5 1 2 6 1 12 31111 6 M78 07000 151 00C 001 26104 015*")</f>
        <v>0</v>
      </c>
      <c r="E2481"/>
      <c r="F2481" s="31">
        <f>SUMIFS(F2482:F3130,K2482:K3130,"0",B2482:B3130,"5 1 2 6 1 12 31111 6 M78 07000 151 00C 001 26104 015*")</f>
        <v>1438248.91</v>
      </c>
      <c r="G2481" s="31">
        <f>SUMIFS(G2482:G3130,K2482:K3130,"0",B2482:B3130,"5 1 2 6 1 12 31111 6 M78 07000 151 00C 001 26104 015*")</f>
        <v>38985.550000000003</v>
      </c>
      <c r="H2481" s="31">
        <f t="shared" si="39"/>
        <v>1399263.3599999999</v>
      </c>
      <c r="I2481" s="31"/>
      <c r="K2481" t="s">
        <v>13</v>
      </c>
    </row>
    <row r="2482" spans="2:11" ht="22" x14ac:dyDescent="0.15">
      <c r="B2482" s="29" t="s">
        <v>3177</v>
      </c>
      <c r="C2482" s="29" t="s">
        <v>595</v>
      </c>
      <c r="D2482" s="31">
        <f>SUMIFS(D2483:D3130,K2483:K3130,"0",B2483:B3130,"5 1 2 6 1 12 31111 6 M78 07000 151 00C 001 26104 015 2112000*")-SUMIFS(E2483:E3130,K2483:K3130,"0",B2483:B3130,"5 1 2 6 1 12 31111 6 M78 07000 151 00C 001 26104 015 2112000*")</f>
        <v>0</v>
      </c>
      <c r="E2482"/>
      <c r="F2482" s="31">
        <f>SUMIFS(F2483:F3130,K2483:K3130,"0",B2483:B3130,"5 1 2 6 1 12 31111 6 M78 07000 151 00C 001 26104 015 2112000*")</f>
        <v>1438248.91</v>
      </c>
      <c r="G2482" s="31">
        <f>SUMIFS(G2483:G3130,K2483:K3130,"0",B2483:B3130,"5 1 2 6 1 12 31111 6 M78 07000 151 00C 001 26104 015 2112000*")</f>
        <v>38985.550000000003</v>
      </c>
      <c r="H2482" s="31">
        <f t="shared" si="39"/>
        <v>1399263.3599999999</v>
      </c>
      <c r="I2482" s="31"/>
      <c r="K2482" t="s">
        <v>13</v>
      </c>
    </row>
    <row r="2483" spans="2:11" ht="22" x14ac:dyDescent="0.15">
      <c r="B2483" s="29" t="s">
        <v>3178</v>
      </c>
      <c r="C2483" s="29" t="s">
        <v>275</v>
      </c>
      <c r="D2483" s="31">
        <f>SUMIFS(D2484:D3130,K2484:K3130,"0",B2484:B3130,"5 1 2 6 1 12 31111 6 M78 07000 151 00C 001 26104 015 2112000 2024*")-SUMIFS(E2484:E3130,K2484:K3130,"0",B2484:B3130,"5 1 2 6 1 12 31111 6 M78 07000 151 00C 001 26104 015 2112000 2024*")</f>
        <v>0</v>
      </c>
      <c r="E2483"/>
      <c r="F2483" s="31">
        <f>SUMIFS(F2484:F3130,K2484:K3130,"0",B2484:B3130,"5 1 2 6 1 12 31111 6 M78 07000 151 00C 001 26104 015 2112000 2024*")</f>
        <v>1438248.91</v>
      </c>
      <c r="G2483" s="31">
        <f>SUMIFS(G2484:G3130,K2484:K3130,"0",B2484:B3130,"5 1 2 6 1 12 31111 6 M78 07000 151 00C 001 26104 015 2112000 2024*")</f>
        <v>38985.550000000003</v>
      </c>
      <c r="H2483" s="31">
        <f t="shared" si="39"/>
        <v>1399263.3599999999</v>
      </c>
      <c r="I2483" s="31"/>
      <c r="K2483" t="s">
        <v>13</v>
      </c>
    </row>
    <row r="2484" spans="2:11" ht="22" x14ac:dyDescent="0.15">
      <c r="B2484" s="29" t="s">
        <v>3179</v>
      </c>
      <c r="C2484" s="29" t="s">
        <v>277</v>
      </c>
      <c r="D2484" s="31">
        <f>SUMIFS(D2485:D3130,K2485:K3130,"0",B2485:B3130,"5 1 2 6 1 12 31111 6 M78 07000 151 00C 001 26104 015 2112000 2024 00000000*")-SUMIFS(E2485:E3130,K2485:K3130,"0",B2485:B3130,"5 1 2 6 1 12 31111 6 M78 07000 151 00C 001 26104 015 2112000 2024 00000000*")</f>
        <v>0</v>
      </c>
      <c r="E2484"/>
      <c r="F2484" s="31">
        <f>SUMIFS(F2485:F3130,K2485:K3130,"0",B2485:B3130,"5 1 2 6 1 12 31111 6 M78 07000 151 00C 001 26104 015 2112000 2024 00000000*")</f>
        <v>1438248.91</v>
      </c>
      <c r="G2484" s="31">
        <f>SUMIFS(G2485:G3130,K2485:K3130,"0",B2485:B3130,"5 1 2 6 1 12 31111 6 M78 07000 151 00C 001 26104 015 2112000 2024 00000000*")</f>
        <v>38985.550000000003</v>
      </c>
      <c r="H2484" s="31">
        <f t="shared" si="39"/>
        <v>1399263.3599999999</v>
      </c>
      <c r="I2484" s="31"/>
      <c r="K2484" t="s">
        <v>13</v>
      </c>
    </row>
    <row r="2485" spans="2:11" ht="22" x14ac:dyDescent="0.15">
      <c r="B2485" s="29" t="s">
        <v>3180</v>
      </c>
      <c r="C2485" s="29" t="s">
        <v>32</v>
      </c>
      <c r="D2485" s="31">
        <f>SUMIFS(D2486:D3130,K2486:K3130,"0",B2486:B3130,"5 1 2 6 1 12 31111 6 M78 07000 151 00C 001 26104 015 2112000 2024 00000000 001*")-SUMIFS(E2486:E3130,K2486:K3130,"0",B2486:B3130,"5 1 2 6 1 12 31111 6 M78 07000 151 00C 001 26104 015 2112000 2024 00000000 001*")</f>
        <v>0</v>
      </c>
      <c r="E2485"/>
      <c r="F2485" s="31">
        <f>SUMIFS(F2486:F3130,K2486:K3130,"0",B2486:B3130,"5 1 2 6 1 12 31111 6 M78 07000 151 00C 001 26104 015 2112000 2024 00000000 001*")</f>
        <v>1438248.91</v>
      </c>
      <c r="G2485" s="31">
        <f>SUMIFS(G2486:G3130,K2486:K3130,"0",B2486:B3130,"5 1 2 6 1 12 31111 6 M78 07000 151 00C 001 26104 015 2112000 2024 00000000 001*")</f>
        <v>38985.550000000003</v>
      </c>
      <c r="H2485" s="31">
        <f t="shared" si="39"/>
        <v>1399263.3599999999</v>
      </c>
      <c r="I2485" s="31"/>
      <c r="K2485" t="s">
        <v>13</v>
      </c>
    </row>
    <row r="2486" spans="2:11" ht="33" x14ac:dyDescent="0.15">
      <c r="B2486" s="27" t="s">
        <v>3181</v>
      </c>
      <c r="C2486" s="27" t="s">
        <v>3182</v>
      </c>
      <c r="D2486" s="30">
        <v>0</v>
      </c>
      <c r="E2486" s="30"/>
      <c r="F2486" s="30">
        <v>1438248.91</v>
      </c>
      <c r="G2486" s="30">
        <v>38985.550000000003</v>
      </c>
      <c r="H2486" s="30">
        <f t="shared" si="39"/>
        <v>1399263.3599999999</v>
      </c>
      <c r="I2486" s="30"/>
      <c r="K2486" t="s">
        <v>37</v>
      </c>
    </row>
    <row r="2487" spans="2:11" ht="13" x14ac:dyDescent="0.15">
      <c r="B2487" s="29" t="s">
        <v>3183</v>
      </c>
      <c r="C2487" s="29" t="s">
        <v>812</v>
      </c>
      <c r="D2487" s="31">
        <f>SUMIFS(D2488:D3130,K2488:K3130,"0",B2488:B3130,"5 1 2 6 1 12 31111 6 M78 07000 151 00E*")-SUMIFS(E2488:E3130,K2488:K3130,"0",B2488:B3130,"5 1 2 6 1 12 31111 6 M78 07000 151 00E*")</f>
        <v>0</v>
      </c>
      <c r="E2487"/>
      <c r="F2487" s="31">
        <f>SUMIFS(F2488:F3130,K2488:K3130,"0",B2488:B3130,"5 1 2 6 1 12 31111 6 M78 07000 151 00E*")</f>
        <v>13325.37</v>
      </c>
      <c r="G2487" s="31">
        <f>SUMIFS(G2488:G3130,K2488:K3130,"0",B2488:B3130,"5 1 2 6 1 12 31111 6 M78 07000 151 00E*")</f>
        <v>0</v>
      </c>
      <c r="H2487" s="31">
        <f t="shared" si="39"/>
        <v>13325.37</v>
      </c>
      <c r="I2487" s="31"/>
      <c r="K2487" t="s">
        <v>13</v>
      </c>
    </row>
    <row r="2488" spans="2:11" ht="13" x14ac:dyDescent="0.15">
      <c r="B2488" s="29" t="s">
        <v>3184</v>
      </c>
      <c r="C2488" s="29" t="s">
        <v>32</v>
      </c>
      <c r="D2488" s="31">
        <f>SUMIFS(D2489:D3130,K2489:K3130,"0",B2489:B3130,"5 1 2 6 1 12 31111 6 M78 07000 151 00E 001*")-SUMIFS(E2489:E3130,K2489:K3130,"0",B2489:B3130,"5 1 2 6 1 12 31111 6 M78 07000 151 00E 001*")</f>
        <v>0</v>
      </c>
      <c r="E2488"/>
      <c r="F2488" s="31">
        <f>SUMIFS(F2489:F3130,K2489:K3130,"0",B2489:B3130,"5 1 2 6 1 12 31111 6 M78 07000 151 00E 001*")</f>
        <v>13325.37</v>
      </c>
      <c r="G2488" s="31">
        <f>SUMIFS(G2489:G3130,K2489:K3130,"0",B2489:B3130,"5 1 2 6 1 12 31111 6 M78 07000 151 00E 001*")</f>
        <v>0</v>
      </c>
      <c r="H2488" s="31">
        <f t="shared" si="39"/>
        <v>13325.37</v>
      </c>
      <c r="I2488" s="31"/>
      <c r="K2488" t="s">
        <v>13</v>
      </c>
    </row>
    <row r="2489" spans="2:11" ht="33" x14ac:dyDescent="0.15">
      <c r="B2489" s="29" t="s">
        <v>3185</v>
      </c>
      <c r="C2489" s="29" t="s">
        <v>3182</v>
      </c>
      <c r="D2489" s="31">
        <f>SUMIFS(D2490:D3130,K2490:K3130,"0",B2490:B3130,"5 1 2 6 1 12 31111 6 M78 07000 151 00E 001 26104*")-SUMIFS(E2490:E3130,K2490:K3130,"0",B2490:B3130,"5 1 2 6 1 12 31111 6 M78 07000 151 00E 001 26104*")</f>
        <v>0</v>
      </c>
      <c r="E2489"/>
      <c r="F2489" s="31">
        <f>SUMIFS(F2490:F3130,K2490:K3130,"0",B2490:B3130,"5 1 2 6 1 12 31111 6 M78 07000 151 00E 001 26104*")</f>
        <v>13325.37</v>
      </c>
      <c r="G2489" s="31">
        <f>SUMIFS(G2490:G3130,K2490:K3130,"0",B2490:B3130,"5 1 2 6 1 12 31111 6 M78 07000 151 00E 001 26104*")</f>
        <v>0</v>
      </c>
      <c r="H2489" s="31">
        <f t="shared" si="39"/>
        <v>13325.37</v>
      </c>
      <c r="I2489" s="31"/>
      <c r="K2489" t="s">
        <v>13</v>
      </c>
    </row>
    <row r="2490" spans="2:11" ht="22" x14ac:dyDescent="0.15">
      <c r="B2490" s="29" t="s">
        <v>3186</v>
      </c>
      <c r="C2490" s="29" t="s">
        <v>1567</v>
      </c>
      <c r="D2490" s="31">
        <f>SUMIFS(D2491:D3130,K2491:K3130,"0",B2491:B3130,"5 1 2 6 1 12 31111 6 M78 07000 151 00E 001 26104 011*")-SUMIFS(E2491:E3130,K2491:K3130,"0",B2491:B3130,"5 1 2 6 1 12 31111 6 M78 07000 151 00E 001 26104 011*")</f>
        <v>0</v>
      </c>
      <c r="E2490"/>
      <c r="F2490" s="31">
        <f>SUMIFS(F2491:F3130,K2491:K3130,"0",B2491:B3130,"5 1 2 6 1 12 31111 6 M78 07000 151 00E 001 26104 011*")</f>
        <v>13325.37</v>
      </c>
      <c r="G2490" s="31">
        <f>SUMIFS(G2491:G3130,K2491:K3130,"0",B2491:B3130,"5 1 2 6 1 12 31111 6 M78 07000 151 00E 001 26104 011*")</f>
        <v>0</v>
      </c>
      <c r="H2490" s="31">
        <f t="shared" si="39"/>
        <v>13325.37</v>
      </c>
      <c r="I2490" s="31"/>
      <c r="K2490" t="s">
        <v>13</v>
      </c>
    </row>
    <row r="2491" spans="2:11" ht="22" x14ac:dyDescent="0.15">
      <c r="B2491" s="29" t="s">
        <v>3187</v>
      </c>
      <c r="C2491" s="29" t="s">
        <v>595</v>
      </c>
      <c r="D2491" s="31">
        <f>SUMIFS(D2492:D3130,K2492:K3130,"0",B2492:B3130,"5 1 2 6 1 12 31111 6 M78 07000 151 00E 001 26104 011 2112000*")-SUMIFS(E2492:E3130,K2492:K3130,"0",B2492:B3130,"5 1 2 6 1 12 31111 6 M78 07000 151 00E 001 26104 011 2112000*")</f>
        <v>0</v>
      </c>
      <c r="E2491"/>
      <c r="F2491" s="31">
        <f>SUMIFS(F2492:F3130,K2492:K3130,"0",B2492:B3130,"5 1 2 6 1 12 31111 6 M78 07000 151 00E 001 26104 011 2112000*")</f>
        <v>13325.37</v>
      </c>
      <c r="G2491" s="31">
        <f>SUMIFS(G2492:G3130,K2492:K3130,"0",B2492:B3130,"5 1 2 6 1 12 31111 6 M78 07000 151 00E 001 26104 011 2112000*")</f>
        <v>0</v>
      </c>
      <c r="H2491" s="31">
        <f t="shared" si="39"/>
        <v>13325.37</v>
      </c>
      <c r="I2491" s="31"/>
      <c r="K2491" t="s">
        <v>13</v>
      </c>
    </row>
    <row r="2492" spans="2:11" ht="22" x14ac:dyDescent="0.15">
      <c r="B2492" s="29" t="s">
        <v>3188</v>
      </c>
      <c r="C2492" s="29" t="s">
        <v>275</v>
      </c>
      <c r="D2492" s="31">
        <f>SUMIFS(D2493:D3130,K2493:K3130,"0",B2493:B3130,"5 1 2 6 1 12 31111 6 M78 07000 151 00E 001 26104 011 2112000 2024*")-SUMIFS(E2493:E3130,K2493:K3130,"0",B2493:B3130,"5 1 2 6 1 12 31111 6 M78 07000 151 00E 001 26104 011 2112000 2024*")</f>
        <v>0</v>
      </c>
      <c r="E2492"/>
      <c r="F2492" s="31">
        <f>SUMIFS(F2493:F3130,K2493:K3130,"0",B2493:B3130,"5 1 2 6 1 12 31111 6 M78 07000 151 00E 001 26104 011 2112000 2024*")</f>
        <v>13325.37</v>
      </c>
      <c r="G2492" s="31">
        <f>SUMIFS(G2493:G3130,K2493:K3130,"0",B2493:B3130,"5 1 2 6 1 12 31111 6 M78 07000 151 00E 001 26104 011 2112000 2024*")</f>
        <v>0</v>
      </c>
      <c r="H2492" s="31">
        <f t="shared" si="39"/>
        <v>13325.37</v>
      </c>
      <c r="I2492" s="31"/>
      <c r="K2492" t="s">
        <v>13</v>
      </c>
    </row>
    <row r="2493" spans="2:11" ht="22" x14ac:dyDescent="0.15">
      <c r="B2493" s="29" t="s">
        <v>3189</v>
      </c>
      <c r="C2493" s="29" t="s">
        <v>277</v>
      </c>
      <c r="D2493" s="31">
        <f>SUMIFS(D2494:D3130,K2494:K3130,"0",B2494:B3130,"5 1 2 6 1 12 31111 6 M78 07000 151 00E 001 26104 011 2112000 2024 00000000*")-SUMIFS(E2494:E3130,K2494:K3130,"0",B2494:B3130,"5 1 2 6 1 12 31111 6 M78 07000 151 00E 001 26104 011 2112000 2024 00000000*")</f>
        <v>0</v>
      </c>
      <c r="E2493"/>
      <c r="F2493" s="31">
        <f>SUMIFS(F2494:F3130,K2494:K3130,"0",B2494:B3130,"5 1 2 6 1 12 31111 6 M78 07000 151 00E 001 26104 011 2112000 2024 00000000*")</f>
        <v>13325.37</v>
      </c>
      <c r="G2493" s="31">
        <f>SUMIFS(G2494:G3130,K2494:K3130,"0",B2494:B3130,"5 1 2 6 1 12 31111 6 M78 07000 151 00E 001 26104 011 2112000 2024 00000000*")</f>
        <v>0</v>
      </c>
      <c r="H2493" s="31">
        <f t="shared" si="39"/>
        <v>13325.37</v>
      </c>
      <c r="I2493" s="31"/>
      <c r="K2493" t="s">
        <v>13</v>
      </c>
    </row>
    <row r="2494" spans="2:11" ht="22" x14ac:dyDescent="0.15">
      <c r="B2494" s="29" t="s">
        <v>3190</v>
      </c>
      <c r="C2494" s="29" t="s">
        <v>1567</v>
      </c>
      <c r="D2494" s="31">
        <f>SUMIFS(D2495:D3130,K2495:K3130,"0",B2495:B3130,"5 1 2 6 1 12 31111 6 M78 07000 151 00E 001 26104 011 2112000 2024 00000000 005*")-SUMIFS(E2495:E3130,K2495:K3130,"0",B2495:B3130,"5 1 2 6 1 12 31111 6 M78 07000 151 00E 001 26104 011 2112000 2024 00000000 005*")</f>
        <v>0</v>
      </c>
      <c r="E2494"/>
      <c r="F2494" s="31">
        <f>SUMIFS(F2495:F3130,K2495:K3130,"0",B2495:B3130,"5 1 2 6 1 12 31111 6 M78 07000 151 00E 001 26104 011 2112000 2024 00000000 005*")</f>
        <v>13325.37</v>
      </c>
      <c r="G2494" s="31">
        <f>SUMIFS(G2495:G3130,K2495:K3130,"0",B2495:B3130,"5 1 2 6 1 12 31111 6 M78 07000 151 00E 001 26104 011 2112000 2024 00000000 005*")</f>
        <v>0</v>
      </c>
      <c r="H2494" s="31">
        <f t="shared" si="39"/>
        <v>13325.37</v>
      </c>
      <c r="I2494" s="31"/>
      <c r="K2494" t="s">
        <v>13</v>
      </c>
    </row>
    <row r="2495" spans="2:11" ht="22" x14ac:dyDescent="0.15">
      <c r="B2495" s="27" t="s">
        <v>3191</v>
      </c>
      <c r="C2495" s="27" t="s">
        <v>1567</v>
      </c>
      <c r="D2495" s="30">
        <v>0</v>
      </c>
      <c r="E2495" s="30"/>
      <c r="F2495" s="30">
        <v>13325.37</v>
      </c>
      <c r="G2495" s="30">
        <v>0</v>
      </c>
      <c r="H2495" s="30">
        <f t="shared" si="39"/>
        <v>13325.37</v>
      </c>
      <c r="I2495" s="30"/>
      <c r="K2495" t="s">
        <v>37</v>
      </c>
    </row>
    <row r="2496" spans="2:11" ht="13" x14ac:dyDescent="0.15">
      <c r="B2496" s="29" t="s">
        <v>3192</v>
      </c>
      <c r="C2496" s="29" t="s">
        <v>833</v>
      </c>
      <c r="D2496" s="31">
        <f>SUMIFS(D2497:D3130,K2497:K3130,"0",B2497:B3130,"5 1 2 6 1 12 31111 6 M78 15000*")-SUMIFS(E2497:E3130,K2497:K3130,"0",B2497:B3130,"5 1 2 6 1 12 31111 6 M78 15000*")</f>
        <v>0</v>
      </c>
      <c r="E2496"/>
      <c r="F2496" s="31">
        <f>SUMIFS(F2497:F3130,K2497:K3130,"0",B2497:B3130,"5 1 2 6 1 12 31111 6 M78 15000*")</f>
        <v>405422.74</v>
      </c>
      <c r="G2496" s="31">
        <f>SUMIFS(G2497:G3130,K2497:K3130,"0",B2497:B3130,"5 1 2 6 1 12 31111 6 M78 15000*")</f>
        <v>0</v>
      </c>
      <c r="H2496" s="31">
        <f t="shared" si="39"/>
        <v>405422.74</v>
      </c>
      <c r="I2496" s="31"/>
      <c r="K2496" t="s">
        <v>13</v>
      </c>
    </row>
    <row r="2497" spans="2:11" ht="13" x14ac:dyDescent="0.15">
      <c r="B2497" s="29" t="s">
        <v>3193</v>
      </c>
      <c r="C2497" s="29" t="s">
        <v>835</v>
      </c>
      <c r="D2497" s="31">
        <f>SUMIFS(D2498:D3130,K2498:K3130,"0",B2498:B3130,"5 1 2 6 1 12 31111 6 M78 15000 171*")-SUMIFS(E2498:E3130,K2498:K3130,"0",B2498:B3130,"5 1 2 6 1 12 31111 6 M78 15000 171*")</f>
        <v>0</v>
      </c>
      <c r="E2497"/>
      <c r="F2497" s="31">
        <f>SUMIFS(F2498:F3130,K2498:K3130,"0",B2498:B3130,"5 1 2 6 1 12 31111 6 M78 15000 171*")</f>
        <v>405422.74</v>
      </c>
      <c r="G2497" s="31">
        <f>SUMIFS(G2498:G3130,K2498:K3130,"0",B2498:B3130,"5 1 2 6 1 12 31111 6 M78 15000 171*")</f>
        <v>0</v>
      </c>
      <c r="H2497" s="31">
        <f t="shared" si="39"/>
        <v>405422.74</v>
      </c>
      <c r="I2497" s="31"/>
      <c r="K2497" t="s">
        <v>13</v>
      </c>
    </row>
    <row r="2498" spans="2:11" ht="13" x14ac:dyDescent="0.15">
      <c r="B2498" s="29" t="s">
        <v>3194</v>
      </c>
      <c r="C2498" s="29" t="s">
        <v>285</v>
      </c>
      <c r="D2498" s="31">
        <f>SUMIFS(D2499:D3130,K2499:K3130,"0",B2499:B3130,"5 1 2 6 1 12 31111 6 M78 15000 171 00I*")-SUMIFS(E2499:E3130,K2499:K3130,"0",B2499:B3130,"5 1 2 6 1 12 31111 6 M78 15000 171 00I*")</f>
        <v>0</v>
      </c>
      <c r="E2498"/>
      <c r="F2498" s="31">
        <f>SUMIFS(F2499:F3130,K2499:K3130,"0",B2499:B3130,"5 1 2 6 1 12 31111 6 M78 15000 171 00I*")</f>
        <v>405422.74</v>
      </c>
      <c r="G2498" s="31">
        <f>SUMIFS(G2499:G3130,K2499:K3130,"0",B2499:B3130,"5 1 2 6 1 12 31111 6 M78 15000 171 00I*")</f>
        <v>0</v>
      </c>
      <c r="H2498" s="31">
        <f t="shared" si="39"/>
        <v>405422.74</v>
      </c>
      <c r="I2498" s="31"/>
      <c r="K2498" t="s">
        <v>13</v>
      </c>
    </row>
    <row r="2499" spans="2:11" ht="13" x14ac:dyDescent="0.15">
      <c r="B2499" s="29" t="s">
        <v>3195</v>
      </c>
      <c r="C2499" s="29" t="s">
        <v>32</v>
      </c>
      <c r="D2499" s="31">
        <f>SUMIFS(D2500:D3130,K2500:K3130,"0",B2500:B3130,"5 1 2 6 1 12 31111 6 M78 15000 171 00I 001*")-SUMIFS(E2500:E3130,K2500:K3130,"0",B2500:B3130,"5 1 2 6 1 12 31111 6 M78 15000 171 00I 001*")</f>
        <v>0</v>
      </c>
      <c r="E2499"/>
      <c r="F2499" s="31">
        <f>SUMIFS(F2500:F3130,K2500:K3130,"0",B2500:B3130,"5 1 2 6 1 12 31111 6 M78 15000 171 00I 001*")</f>
        <v>405422.74</v>
      </c>
      <c r="G2499" s="31">
        <f>SUMIFS(G2500:G3130,K2500:K3130,"0",B2500:B3130,"5 1 2 6 1 12 31111 6 M78 15000 171 00I 001*")</f>
        <v>0</v>
      </c>
      <c r="H2499" s="31">
        <f t="shared" si="39"/>
        <v>405422.74</v>
      </c>
      <c r="I2499" s="31"/>
      <c r="K2499" t="s">
        <v>13</v>
      </c>
    </row>
    <row r="2500" spans="2:11" ht="33" x14ac:dyDescent="0.15">
      <c r="B2500" s="29" t="s">
        <v>3196</v>
      </c>
      <c r="C2500" s="29" t="s">
        <v>3197</v>
      </c>
      <c r="D2500" s="31">
        <f>SUMIFS(D2501:D3130,K2501:K3130,"0",B2501:B3130,"5 1 2 6 1 12 31111 6 M78 15000 171 00I 001 26101*")-SUMIFS(E2501:E3130,K2501:K3130,"0",B2501:B3130,"5 1 2 6 1 12 31111 6 M78 15000 171 00I 001 26101*")</f>
        <v>0</v>
      </c>
      <c r="E2500"/>
      <c r="F2500" s="31">
        <f>SUMIFS(F2501:F3130,K2501:K3130,"0",B2501:B3130,"5 1 2 6 1 12 31111 6 M78 15000 171 00I 001 26101*")</f>
        <v>405422.74</v>
      </c>
      <c r="G2500" s="31">
        <f>SUMIFS(G2501:G3130,K2501:K3130,"0",B2501:B3130,"5 1 2 6 1 12 31111 6 M78 15000 171 00I 001 26101*")</f>
        <v>0</v>
      </c>
      <c r="H2500" s="31">
        <f t="shared" si="39"/>
        <v>405422.74</v>
      </c>
      <c r="I2500" s="31"/>
      <c r="K2500" t="s">
        <v>13</v>
      </c>
    </row>
    <row r="2501" spans="2:11" ht="22" x14ac:dyDescent="0.15">
      <c r="B2501" s="29" t="s">
        <v>3198</v>
      </c>
      <c r="C2501" s="29" t="s">
        <v>290</v>
      </c>
      <c r="D2501" s="31">
        <f>SUMIFS(D2502:D3130,K2502:K3130,"0",B2502:B3130,"5 1 2 6 1 12 31111 6 M78 15000 171 00I 001 26101 025*")-SUMIFS(E2502:E3130,K2502:K3130,"0",B2502:B3130,"5 1 2 6 1 12 31111 6 M78 15000 171 00I 001 26101 025*")</f>
        <v>0</v>
      </c>
      <c r="E2501"/>
      <c r="F2501" s="31">
        <f>SUMIFS(F2502:F3130,K2502:K3130,"0",B2502:B3130,"5 1 2 6 1 12 31111 6 M78 15000 171 00I 001 26101 025*")</f>
        <v>405422.74</v>
      </c>
      <c r="G2501" s="31">
        <f>SUMIFS(G2502:G3130,K2502:K3130,"0",B2502:B3130,"5 1 2 6 1 12 31111 6 M78 15000 171 00I 001 26101 025*")</f>
        <v>0</v>
      </c>
      <c r="H2501" s="31">
        <f t="shared" si="39"/>
        <v>405422.74</v>
      </c>
      <c r="I2501" s="31"/>
      <c r="K2501" t="s">
        <v>13</v>
      </c>
    </row>
    <row r="2502" spans="2:11" ht="22" x14ac:dyDescent="0.15">
      <c r="B2502" s="29" t="s">
        <v>3199</v>
      </c>
      <c r="C2502" s="29" t="s">
        <v>595</v>
      </c>
      <c r="D2502" s="31">
        <f>SUMIFS(D2503:D3130,K2503:K3130,"0",B2503:B3130,"5 1 2 6 1 12 31111 6 M78 15000 171 00I 001 26101 025 2112000*")-SUMIFS(E2503:E3130,K2503:K3130,"0",B2503:B3130,"5 1 2 6 1 12 31111 6 M78 15000 171 00I 001 26101 025 2112000*")</f>
        <v>0</v>
      </c>
      <c r="E2502"/>
      <c r="F2502" s="31">
        <f>SUMIFS(F2503:F3130,K2503:K3130,"0",B2503:B3130,"5 1 2 6 1 12 31111 6 M78 15000 171 00I 001 26101 025 2112000*")</f>
        <v>405422.74</v>
      </c>
      <c r="G2502" s="31">
        <f>SUMIFS(G2503:G3130,K2503:K3130,"0",B2503:B3130,"5 1 2 6 1 12 31111 6 M78 15000 171 00I 001 26101 025 2112000*")</f>
        <v>0</v>
      </c>
      <c r="H2502" s="31">
        <f t="shared" si="39"/>
        <v>405422.74</v>
      </c>
      <c r="I2502" s="31"/>
      <c r="K2502" t="s">
        <v>13</v>
      </c>
    </row>
    <row r="2503" spans="2:11" ht="22" x14ac:dyDescent="0.15">
      <c r="B2503" s="29" t="s">
        <v>3200</v>
      </c>
      <c r="C2503" s="29" t="s">
        <v>275</v>
      </c>
      <c r="D2503" s="31">
        <f>SUMIFS(D2504:D3130,K2504:K3130,"0",B2504:B3130,"5 1 2 6 1 12 31111 6 M78 15000 171 00I 001 26101 025 2112000 2024*")-SUMIFS(E2504:E3130,K2504:K3130,"0",B2504:B3130,"5 1 2 6 1 12 31111 6 M78 15000 171 00I 001 26101 025 2112000 2024*")</f>
        <v>0</v>
      </c>
      <c r="E2503"/>
      <c r="F2503" s="31">
        <f>SUMIFS(F2504:F3130,K2504:K3130,"0",B2504:B3130,"5 1 2 6 1 12 31111 6 M78 15000 171 00I 001 26101 025 2112000 2024*")</f>
        <v>405422.74</v>
      </c>
      <c r="G2503" s="31">
        <f>SUMIFS(G2504:G3130,K2504:K3130,"0",B2504:B3130,"5 1 2 6 1 12 31111 6 M78 15000 171 00I 001 26101 025 2112000 2024*")</f>
        <v>0</v>
      </c>
      <c r="H2503" s="31">
        <f t="shared" si="39"/>
        <v>405422.74</v>
      </c>
      <c r="I2503" s="31"/>
      <c r="K2503" t="s">
        <v>13</v>
      </c>
    </row>
    <row r="2504" spans="2:11" ht="22" x14ac:dyDescent="0.15">
      <c r="B2504" s="29" t="s">
        <v>3201</v>
      </c>
      <c r="C2504" s="29" t="s">
        <v>277</v>
      </c>
      <c r="D2504" s="31">
        <f>SUMIFS(D2505:D3130,K2505:K3130,"0",B2505:B3130,"5 1 2 6 1 12 31111 6 M78 15000 171 00I 001 26101 025 2112000 2024 00000000*")-SUMIFS(E2505:E3130,K2505:K3130,"0",B2505:B3130,"5 1 2 6 1 12 31111 6 M78 15000 171 00I 001 26101 025 2112000 2024 00000000*")</f>
        <v>0</v>
      </c>
      <c r="E2504"/>
      <c r="F2504" s="31">
        <f>SUMIFS(F2505:F3130,K2505:K3130,"0",B2505:B3130,"5 1 2 6 1 12 31111 6 M78 15000 171 00I 001 26101 025 2112000 2024 00000000*")</f>
        <v>405422.74</v>
      </c>
      <c r="G2504" s="31">
        <f>SUMIFS(G2505:G3130,K2505:K3130,"0",B2505:B3130,"5 1 2 6 1 12 31111 6 M78 15000 171 00I 001 26101 025 2112000 2024 00000000*")</f>
        <v>0</v>
      </c>
      <c r="H2504" s="31">
        <f t="shared" si="39"/>
        <v>405422.74</v>
      </c>
      <c r="I2504" s="31"/>
      <c r="K2504" t="s">
        <v>13</v>
      </c>
    </row>
    <row r="2505" spans="2:11" ht="22" x14ac:dyDescent="0.15">
      <c r="B2505" s="29" t="s">
        <v>3202</v>
      </c>
      <c r="C2505" s="29" t="s">
        <v>581</v>
      </c>
      <c r="D2505" s="31">
        <f>SUMIFS(D2506:D3130,K2506:K3130,"0",B2506:B3130,"5 1 2 6 1 12 31111 6 M78 15000 171 00I 001 26101 025 2112000 2024 00000000 003*")-SUMIFS(E2506:E3130,K2506:K3130,"0",B2506:B3130,"5 1 2 6 1 12 31111 6 M78 15000 171 00I 001 26101 025 2112000 2024 00000000 003*")</f>
        <v>0</v>
      </c>
      <c r="E2505"/>
      <c r="F2505" s="31">
        <f>SUMIFS(F2506:F3130,K2506:K3130,"0",B2506:B3130,"5 1 2 6 1 12 31111 6 M78 15000 171 00I 001 26101 025 2112000 2024 00000000 003*")</f>
        <v>405422.74</v>
      </c>
      <c r="G2505" s="31">
        <f>SUMIFS(G2506:G3130,K2506:K3130,"0",B2506:B3130,"5 1 2 6 1 12 31111 6 M78 15000 171 00I 001 26101 025 2112000 2024 00000000 003*")</f>
        <v>0</v>
      </c>
      <c r="H2505" s="31">
        <f t="shared" si="39"/>
        <v>405422.74</v>
      </c>
      <c r="I2505" s="31"/>
      <c r="K2505" t="s">
        <v>13</v>
      </c>
    </row>
    <row r="2506" spans="2:11" ht="22" x14ac:dyDescent="0.15">
      <c r="B2506" s="27" t="s">
        <v>3203</v>
      </c>
      <c r="C2506" s="27" t="s">
        <v>3204</v>
      </c>
      <c r="D2506" s="30">
        <v>0</v>
      </c>
      <c r="E2506" s="30"/>
      <c r="F2506" s="30">
        <v>405422.74</v>
      </c>
      <c r="G2506" s="30">
        <v>0</v>
      </c>
      <c r="H2506" s="30">
        <f t="shared" si="39"/>
        <v>405422.74</v>
      </c>
      <c r="I2506" s="30"/>
      <c r="K2506" t="s">
        <v>37</v>
      </c>
    </row>
    <row r="2507" spans="2:11" ht="13" x14ac:dyDescent="0.15">
      <c r="B2507" s="29" t="s">
        <v>3205</v>
      </c>
      <c r="C2507" s="29" t="s">
        <v>3206</v>
      </c>
      <c r="D2507" s="31">
        <f>SUMIFS(D2508:D3130,K2508:K3130,"0",B2508:B3130,"5 1 2 7*")-SUMIFS(E2508:E3130,K2508:K3130,"0",B2508:B3130,"5 1 2 7*")</f>
        <v>0</v>
      </c>
      <c r="E2507"/>
      <c r="F2507" s="31">
        <f>SUMIFS(F2508:F3130,K2508:K3130,"0",B2508:B3130,"5 1 2 7*")</f>
        <v>424076.4</v>
      </c>
      <c r="G2507" s="31">
        <f>SUMIFS(G2508:G3130,K2508:K3130,"0",B2508:B3130,"5 1 2 7*")</f>
        <v>0</v>
      </c>
      <c r="H2507" s="31">
        <f t="shared" ref="H2507:H2570" si="40">D2507 + F2507 - G2507</f>
        <v>424076.4</v>
      </c>
      <c r="I2507" s="31"/>
      <c r="K2507" t="s">
        <v>13</v>
      </c>
    </row>
    <row r="2508" spans="2:11" ht="13" x14ac:dyDescent="0.15">
      <c r="B2508" s="29" t="s">
        <v>3207</v>
      </c>
      <c r="C2508" s="29" t="s">
        <v>3208</v>
      </c>
      <c r="D2508" s="31">
        <f>SUMIFS(D2509:D3130,K2509:K3130,"0",B2509:B3130,"5 1 2 7 1*")-SUMIFS(E2509:E3130,K2509:K3130,"0",B2509:B3130,"5 1 2 7 1*")</f>
        <v>0</v>
      </c>
      <c r="E2508"/>
      <c r="F2508" s="31">
        <f>SUMIFS(F2509:F3130,K2509:K3130,"0",B2509:B3130,"5 1 2 7 1*")</f>
        <v>271517</v>
      </c>
      <c r="G2508" s="31">
        <f>SUMIFS(G2509:G3130,K2509:K3130,"0",B2509:B3130,"5 1 2 7 1*")</f>
        <v>0</v>
      </c>
      <c r="H2508" s="31">
        <f t="shared" si="40"/>
        <v>271517</v>
      </c>
      <c r="I2508" s="31"/>
      <c r="K2508" t="s">
        <v>13</v>
      </c>
    </row>
    <row r="2509" spans="2:11" ht="13" x14ac:dyDescent="0.15">
      <c r="B2509" s="29" t="s">
        <v>3209</v>
      </c>
      <c r="C2509" s="29" t="s">
        <v>24</v>
      </c>
      <c r="D2509" s="31">
        <f>SUMIFS(D2510:D3130,K2510:K3130,"0",B2510:B3130,"5 1 2 7 1 12*")-SUMIFS(E2510:E3130,K2510:K3130,"0",B2510:B3130,"5 1 2 7 1 12*")</f>
        <v>0</v>
      </c>
      <c r="E2509"/>
      <c r="F2509" s="31">
        <f>SUMIFS(F2510:F3130,K2510:K3130,"0",B2510:B3130,"5 1 2 7 1 12*")</f>
        <v>271517</v>
      </c>
      <c r="G2509" s="31">
        <f>SUMIFS(G2510:G3130,K2510:K3130,"0",B2510:B3130,"5 1 2 7 1 12*")</f>
        <v>0</v>
      </c>
      <c r="H2509" s="31">
        <f t="shared" si="40"/>
        <v>271517</v>
      </c>
      <c r="I2509" s="31"/>
      <c r="K2509" t="s">
        <v>13</v>
      </c>
    </row>
    <row r="2510" spans="2:11" ht="13" x14ac:dyDescent="0.15">
      <c r="B2510" s="29" t="s">
        <v>3210</v>
      </c>
      <c r="C2510" s="29" t="s">
        <v>26</v>
      </c>
      <c r="D2510" s="31">
        <f>SUMIFS(D2511:D3130,K2511:K3130,"0",B2511:B3130,"5 1 2 7 1 12 31111*")-SUMIFS(E2511:E3130,K2511:K3130,"0",B2511:B3130,"5 1 2 7 1 12 31111*")</f>
        <v>0</v>
      </c>
      <c r="E2510"/>
      <c r="F2510" s="31">
        <f>SUMIFS(F2511:F3130,K2511:K3130,"0",B2511:B3130,"5 1 2 7 1 12 31111*")</f>
        <v>271517</v>
      </c>
      <c r="G2510" s="31">
        <f>SUMIFS(G2511:G3130,K2511:K3130,"0",B2511:B3130,"5 1 2 7 1 12 31111*")</f>
        <v>0</v>
      </c>
      <c r="H2510" s="31">
        <f t="shared" si="40"/>
        <v>271517</v>
      </c>
      <c r="I2510" s="31"/>
      <c r="K2510" t="s">
        <v>13</v>
      </c>
    </row>
    <row r="2511" spans="2:11" ht="13" x14ac:dyDescent="0.15">
      <c r="B2511" s="29" t="s">
        <v>3211</v>
      </c>
      <c r="C2511" s="29" t="s">
        <v>28</v>
      </c>
      <c r="D2511" s="31">
        <f>SUMIFS(D2512:D3130,K2512:K3130,"0",B2512:B3130,"5 1 2 7 1 12 31111 6*")-SUMIFS(E2512:E3130,K2512:K3130,"0",B2512:B3130,"5 1 2 7 1 12 31111 6*")</f>
        <v>0</v>
      </c>
      <c r="E2511"/>
      <c r="F2511" s="31">
        <f>SUMIFS(F2512:F3130,K2512:K3130,"0",B2512:B3130,"5 1 2 7 1 12 31111 6*")</f>
        <v>271517</v>
      </c>
      <c r="G2511" s="31">
        <f>SUMIFS(G2512:G3130,K2512:K3130,"0",B2512:B3130,"5 1 2 7 1 12 31111 6*")</f>
        <v>0</v>
      </c>
      <c r="H2511" s="31">
        <f t="shared" si="40"/>
        <v>271517</v>
      </c>
      <c r="I2511" s="31"/>
      <c r="K2511" t="s">
        <v>13</v>
      </c>
    </row>
    <row r="2512" spans="2:11" ht="13" x14ac:dyDescent="0.15">
      <c r="B2512" s="29" t="s">
        <v>3212</v>
      </c>
      <c r="C2512" s="29" t="s">
        <v>1567</v>
      </c>
      <c r="D2512" s="31">
        <f>SUMIFS(D2513:D3130,K2513:K3130,"0",B2513:B3130,"5 1 2 7 1 12 31111 6 M78*")-SUMIFS(E2513:E3130,K2513:K3130,"0",B2513:B3130,"5 1 2 7 1 12 31111 6 M78*")</f>
        <v>0</v>
      </c>
      <c r="E2512"/>
      <c r="F2512" s="31">
        <f>SUMIFS(F2513:F3130,K2513:K3130,"0",B2513:B3130,"5 1 2 7 1 12 31111 6 M78*")</f>
        <v>271517</v>
      </c>
      <c r="G2512" s="31">
        <f>SUMIFS(G2513:G3130,K2513:K3130,"0",B2513:B3130,"5 1 2 7 1 12 31111 6 M78*")</f>
        <v>0</v>
      </c>
      <c r="H2512" s="31">
        <f t="shared" si="40"/>
        <v>271517</v>
      </c>
      <c r="I2512" s="31"/>
      <c r="K2512" t="s">
        <v>13</v>
      </c>
    </row>
    <row r="2513" spans="2:11" ht="13" x14ac:dyDescent="0.15">
      <c r="B2513" s="29" t="s">
        <v>3213</v>
      </c>
      <c r="C2513" s="29" t="s">
        <v>833</v>
      </c>
      <c r="D2513" s="31">
        <f>SUMIFS(D2514:D3130,K2514:K3130,"0",B2514:B3130,"5 1 2 7 1 12 31111 6 M78 15000*")-SUMIFS(E2514:E3130,K2514:K3130,"0",B2514:B3130,"5 1 2 7 1 12 31111 6 M78 15000*")</f>
        <v>0</v>
      </c>
      <c r="E2513"/>
      <c r="F2513" s="31">
        <f>SUMIFS(F2514:F3130,K2514:K3130,"0",B2514:B3130,"5 1 2 7 1 12 31111 6 M78 15000*")</f>
        <v>271517</v>
      </c>
      <c r="G2513" s="31">
        <f>SUMIFS(G2514:G3130,K2514:K3130,"0",B2514:B3130,"5 1 2 7 1 12 31111 6 M78 15000*")</f>
        <v>0</v>
      </c>
      <c r="H2513" s="31">
        <f t="shared" si="40"/>
        <v>271517</v>
      </c>
      <c r="I2513" s="31"/>
      <c r="K2513" t="s">
        <v>13</v>
      </c>
    </row>
    <row r="2514" spans="2:11" ht="13" x14ac:dyDescent="0.15">
      <c r="B2514" s="29" t="s">
        <v>3214</v>
      </c>
      <c r="C2514" s="29" t="s">
        <v>835</v>
      </c>
      <c r="D2514" s="31">
        <f>SUMIFS(D2515:D3130,K2515:K3130,"0",B2515:B3130,"5 1 2 7 1 12 31111 6 M78 15000 171*")-SUMIFS(E2515:E3130,K2515:K3130,"0",B2515:B3130,"5 1 2 7 1 12 31111 6 M78 15000 171*")</f>
        <v>0</v>
      </c>
      <c r="E2514"/>
      <c r="F2514" s="31">
        <f>SUMIFS(F2515:F3130,K2515:K3130,"0",B2515:B3130,"5 1 2 7 1 12 31111 6 M78 15000 171*")</f>
        <v>271517</v>
      </c>
      <c r="G2514" s="31">
        <f>SUMIFS(G2515:G3130,K2515:K3130,"0",B2515:B3130,"5 1 2 7 1 12 31111 6 M78 15000 171*")</f>
        <v>0</v>
      </c>
      <c r="H2514" s="31">
        <f t="shared" si="40"/>
        <v>271517</v>
      </c>
      <c r="I2514" s="31"/>
      <c r="K2514" t="s">
        <v>13</v>
      </c>
    </row>
    <row r="2515" spans="2:11" ht="13" x14ac:dyDescent="0.15">
      <c r="B2515" s="29" t="s">
        <v>3215</v>
      </c>
      <c r="C2515" s="29" t="s">
        <v>285</v>
      </c>
      <c r="D2515" s="31">
        <f>SUMIFS(D2516:D3130,K2516:K3130,"0",B2516:B3130,"5 1 2 7 1 12 31111 6 M78 15000 171 00I*")-SUMIFS(E2516:E3130,K2516:K3130,"0",B2516:B3130,"5 1 2 7 1 12 31111 6 M78 15000 171 00I*")</f>
        <v>0</v>
      </c>
      <c r="E2515"/>
      <c r="F2515" s="31">
        <f>SUMIFS(F2516:F3130,K2516:K3130,"0",B2516:B3130,"5 1 2 7 1 12 31111 6 M78 15000 171 00I*")</f>
        <v>271517</v>
      </c>
      <c r="G2515" s="31">
        <f>SUMIFS(G2516:G3130,K2516:K3130,"0",B2516:B3130,"5 1 2 7 1 12 31111 6 M78 15000 171 00I*")</f>
        <v>0</v>
      </c>
      <c r="H2515" s="31">
        <f t="shared" si="40"/>
        <v>271517</v>
      </c>
      <c r="I2515" s="31"/>
      <c r="K2515" t="s">
        <v>13</v>
      </c>
    </row>
    <row r="2516" spans="2:11" ht="13" x14ac:dyDescent="0.15">
      <c r="B2516" s="29" t="s">
        <v>3216</v>
      </c>
      <c r="C2516" s="29" t="s">
        <v>32</v>
      </c>
      <c r="D2516" s="31">
        <f>SUMIFS(D2517:D3130,K2517:K3130,"0",B2517:B3130,"5 1 2 7 1 12 31111 6 M78 15000 171 00I 001*")-SUMIFS(E2517:E3130,K2517:K3130,"0",B2517:B3130,"5 1 2 7 1 12 31111 6 M78 15000 171 00I 001*")</f>
        <v>0</v>
      </c>
      <c r="E2516"/>
      <c r="F2516" s="31">
        <f>SUMIFS(F2517:F3130,K2517:K3130,"0",B2517:B3130,"5 1 2 7 1 12 31111 6 M78 15000 171 00I 001*")</f>
        <v>271517</v>
      </c>
      <c r="G2516" s="31">
        <f>SUMIFS(G2517:G3130,K2517:K3130,"0",B2517:B3130,"5 1 2 7 1 12 31111 6 M78 15000 171 00I 001*")</f>
        <v>0</v>
      </c>
      <c r="H2516" s="31">
        <f t="shared" si="40"/>
        <v>271517</v>
      </c>
      <c r="I2516" s="31"/>
      <c r="K2516" t="s">
        <v>13</v>
      </c>
    </row>
    <row r="2517" spans="2:11" ht="13" x14ac:dyDescent="0.15">
      <c r="B2517" s="29" t="s">
        <v>3217</v>
      </c>
      <c r="C2517" s="29" t="s">
        <v>3218</v>
      </c>
      <c r="D2517" s="31">
        <f>SUMIFS(D2518:D3130,K2518:K3130,"0",B2518:B3130,"5 1 2 7 1 12 31111 6 M78 15000 171 00I 001 27101*")-SUMIFS(E2518:E3130,K2518:K3130,"0",B2518:B3130,"5 1 2 7 1 12 31111 6 M78 15000 171 00I 001 27101*")</f>
        <v>0</v>
      </c>
      <c r="E2517"/>
      <c r="F2517" s="31">
        <f>SUMIFS(F2518:F3130,K2518:K3130,"0",B2518:B3130,"5 1 2 7 1 12 31111 6 M78 15000 171 00I 001 27101*")</f>
        <v>271517</v>
      </c>
      <c r="G2517" s="31">
        <f>SUMIFS(G2518:G3130,K2518:K3130,"0",B2518:B3130,"5 1 2 7 1 12 31111 6 M78 15000 171 00I 001 27101*")</f>
        <v>0</v>
      </c>
      <c r="H2517" s="31">
        <f t="shared" si="40"/>
        <v>271517</v>
      </c>
      <c r="I2517" s="31"/>
      <c r="K2517" t="s">
        <v>13</v>
      </c>
    </row>
    <row r="2518" spans="2:11" ht="22" x14ac:dyDescent="0.15">
      <c r="B2518" s="29" t="s">
        <v>3219</v>
      </c>
      <c r="C2518" s="29" t="s">
        <v>290</v>
      </c>
      <c r="D2518" s="31">
        <f>SUMIFS(D2519:D3130,K2519:K3130,"0",B2519:B3130,"5 1 2 7 1 12 31111 6 M78 15000 171 00I 001 27101 025*")-SUMIFS(E2519:E3130,K2519:K3130,"0",B2519:B3130,"5 1 2 7 1 12 31111 6 M78 15000 171 00I 001 27101 025*")</f>
        <v>0</v>
      </c>
      <c r="E2518"/>
      <c r="F2518" s="31">
        <f>SUMIFS(F2519:F3130,K2519:K3130,"0",B2519:B3130,"5 1 2 7 1 12 31111 6 M78 15000 171 00I 001 27101 025*")</f>
        <v>271517</v>
      </c>
      <c r="G2518" s="31">
        <f>SUMIFS(G2519:G3130,K2519:K3130,"0",B2519:B3130,"5 1 2 7 1 12 31111 6 M78 15000 171 00I 001 27101 025*")</f>
        <v>0</v>
      </c>
      <c r="H2518" s="31">
        <f t="shared" si="40"/>
        <v>271517</v>
      </c>
      <c r="I2518" s="31"/>
      <c r="K2518" t="s">
        <v>13</v>
      </c>
    </row>
    <row r="2519" spans="2:11" ht="22" x14ac:dyDescent="0.15">
      <c r="B2519" s="29" t="s">
        <v>3220</v>
      </c>
      <c r="C2519" s="29" t="s">
        <v>595</v>
      </c>
      <c r="D2519" s="31">
        <f>SUMIFS(D2520:D3130,K2520:K3130,"0",B2520:B3130,"5 1 2 7 1 12 31111 6 M78 15000 171 00I 001 27101 025 2112000*")-SUMIFS(E2520:E3130,K2520:K3130,"0",B2520:B3130,"5 1 2 7 1 12 31111 6 M78 15000 171 00I 001 27101 025 2112000*")</f>
        <v>0</v>
      </c>
      <c r="E2519"/>
      <c r="F2519" s="31">
        <f>SUMIFS(F2520:F3130,K2520:K3130,"0",B2520:B3130,"5 1 2 7 1 12 31111 6 M78 15000 171 00I 001 27101 025 2112000*")</f>
        <v>271517</v>
      </c>
      <c r="G2519" s="31">
        <f>SUMIFS(G2520:G3130,K2520:K3130,"0",B2520:B3130,"5 1 2 7 1 12 31111 6 M78 15000 171 00I 001 27101 025 2112000*")</f>
        <v>0</v>
      </c>
      <c r="H2519" s="31">
        <f t="shared" si="40"/>
        <v>271517</v>
      </c>
      <c r="I2519" s="31"/>
      <c r="K2519" t="s">
        <v>13</v>
      </c>
    </row>
    <row r="2520" spans="2:11" ht="22" x14ac:dyDescent="0.15">
      <c r="B2520" s="29" t="s">
        <v>3221</v>
      </c>
      <c r="C2520" s="29" t="s">
        <v>275</v>
      </c>
      <c r="D2520" s="31">
        <f>SUMIFS(D2521:D3130,K2521:K3130,"0",B2521:B3130,"5 1 2 7 1 12 31111 6 M78 15000 171 00I 001 27101 025 2112000 2024*")-SUMIFS(E2521:E3130,K2521:K3130,"0",B2521:B3130,"5 1 2 7 1 12 31111 6 M78 15000 171 00I 001 27101 025 2112000 2024*")</f>
        <v>0</v>
      </c>
      <c r="E2520"/>
      <c r="F2520" s="31">
        <f>SUMIFS(F2521:F3130,K2521:K3130,"0",B2521:B3130,"5 1 2 7 1 12 31111 6 M78 15000 171 00I 001 27101 025 2112000 2024*")</f>
        <v>271517</v>
      </c>
      <c r="G2520" s="31">
        <f>SUMIFS(G2521:G3130,K2521:K3130,"0",B2521:B3130,"5 1 2 7 1 12 31111 6 M78 15000 171 00I 001 27101 025 2112000 2024*")</f>
        <v>0</v>
      </c>
      <c r="H2520" s="31">
        <f t="shared" si="40"/>
        <v>271517</v>
      </c>
      <c r="I2520" s="31"/>
      <c r="K2520" t="s">
        <v>13</v>
      </c>
    </row>
    <row r="2521" spans="2:11" ht="22" x14ac:dyDescent="0.15">
      <c r="B2521" s="29" t="s">
        <v>3222</v>
      </c>
      <c r="C2521" s="29" t="s">
        <v>277</v>
      </c>
      <c r="D2521" s="31">
        <f>SUMIFS(D2522:D3130,K2522:K3130,"0",B2522:B3130,"5 1 2 7 1 12 31111 6 M78 15000 171 00I 001 27101 025 2112000 2024 00000000*")-SUMIFS(E2522:E3130,K2522:K3130,"0",B2522:B3130,"5 1 2 7 1 12 31111 6 M78 15000 171 00I 001 27101 025 2112000 2024 00000000*")</f>
        <v>0</v>
      </c>
      <c r="E2521"/>
      <c r="F2521" s="31">
        <f>SUMIFS(F2522:F3130,K2522:K3130,"0",B2522:B3130,"5 1 2 7 1 12 31111 6 M78 15000 171 00I 001 27101 025 2112000 2024 00000000*")</f>
        <v>271517</v>
      </c>
      <c r="G2521" s="31">
        <f>SUMIFS(G2522:G3130,K2522:K3130,"0",B2522:B3130,"5 1 2 7 1 12 31111 6 M78 15000 171 00I 001 27101 025 2112000 2024 00000000*")</f>
        <v>0</v>
      </c>
      <c r="H2521" s="31">
        <f t="shared" si="40"/>
        <v>271517</v>
      </c>
      <c r="I2521" s="31"/>
      <c r="K2521" t="s">
        <v>13</v>
      </c>
    </row>
    <row r="2522" spans="2:11" ht="22" x14ac:dyDescent="0.15">
      <c r="B2522" s="29" t="s">
        <v>3223</v>
      </c>
      <c r="C2522" s="29" t="s">
        <v>581</v>
      </c>
      <c r="D2522" s="31">
        <f>SUMIFS(D2523:D3130,K2523:K3130,"0",B2523:B3130,"5 1 2 7 1 12 31111 6 M78 15000 171 00I 001 27101 025 2112000 2024 00000000 003*")-SUMIFS(E2523:E3130,K2523:K3130,"0",B2523:B3130,"5 1 2 7 1 12 31111 6 M78 15000 171 00I 001 27101 025 2112000 2024 00000000 003*")</f>
        <v>0</v>
      </c>
      <c r="E2522"/>
      <c r="F2522" s="31">
        <f>SUMIFS(F2523:F3130,K2523:K3130,"0",B2523:B3130,"5 1 2 7 1 12 31111 6 M78 15000 171 00I 001 27101 025 2112000 2024 00000000 003*")</f>
        <v>271517</v>
      </c>
      <c r="G2522" s="31">
        <f>SUMIFS(G2523:G3130,K2523:K3130,"0",B2523:B3130,"5 1 2 7 1 12 31111 6 M78 15000 171 00I 001 27101 025 2112000 2024 00000000 003*")</f>
        <v>0</v>
      </c>
      <c r="H2522" s="31">
        <f t="shared" si="40"/>
        <v>271517</v>
      </c>
      <c r="I2522" s="31"/>
      <c r="K2522" t="s">
        <v>13</v>
      </c>
    </row>
    <row r="2523" spans="2:11" ht="22" x14ac:dyDescent="0.15">
      <c r="B2523" s="27" t="s">
        <v>3224</v>
      </c>
      <c r="C2523" s="27" t="s">
        <v>3208</v>
      </c>
      <c r="D2523" s="30">
        <v>0</v>
      </c>
      <c r="E2523" s="30"/>
      <c r="F2523" s="30">
        <v>271517</v>
      </c>
      <c r="G2523" s="30">
        <v>0</v>
      </c>
      <c r="H2523" s="30">
        <f t="shared" si="40"/>
        <v>271517</v>
      </c>
      <c r="I2523" s="30"/>
      <c r="K2523" t="s">
        <v>37</v>
      </c>
    </row>
    <row r="2524" spans="2:11" ht="13" x14ac:dyDescent="0.15">
      <c r="B2524" s="29" t="s">
        <v>3225</v>
      </c>
      <c r="C2524" s="29" t="s">
        <v>3226</v>
      </c>
      <c r="D2524" s="31">
        <f>SUMIFS(D2525:D3130,K2525:K3130,"0",B2525:B3130,"5 1 2 7 2*")-SUMIFS(E2525:E3130,K2525:K3130,"0",B2525:B3130,"5 1 2 7 2*")</f>
        <v>0</v>
      </c>
      <c r="E2524"/>
      <c r="F2524" s="31">
        <f>SUMIFS(F2525:F3130,K2525:K3130,"0",B2525:B3130,"5 1 2 7 2*")</f>
        <v>152559.4</v>
      </c>
      <c r="G2524" s="31">
        <f>SUMIFS(G2525:G3130,K2525:K3130,"0",B2525:B3130,"5 1 2 7 2*")</f>
        <v>0</v>
      </c>
      <c r="H2524" s="31">
        <f t="shared" si="40"/>
        <v>152559.4</v>
      </c>
      <c r="I2524" s="31"/>
      <c r="K2524" t="s">
        <v>13</v>
      </c>
    </row>
    <row r="2525" spans="2:11" ht="13" x14ac:dyDescent="0.15">
      <c r="B2525" s="29" t="s">
        <v>3227</v>
      </c>
      <c r="C2525" s="29" t="s">
        <v>24</v>
      </c>
      <c r="D2525" s="31">
        <f>SUMIFS(D2526:D3130,K2526:K3130,"0",B2526:B3130,"5 1 2 7 2 12*")-SUMIFS(E2526:E3130,K2526:K3130,"0",B2526:B3130,"5 1 2 7 2 12*")</f>
        <v>0</v>
      </c>
      <c r="E2525"/>
      <c r="F2525" s="31">
        <f>SUMIFS(F2526:F3130,K2526:K3130,"0",B2526:B3130,"5 1 2 7 2 12*")</f>
        <v>152559.4</v>
      </c>
      <c r="G2525" s="31">
        <f>SUMIFS(G2526:G3130,K2526:K3130,"0",B2526:B3130,"5 1 2 7 2 12*")</f>
        <v>0</v>
      </c>
      <c r="H2525" s="31">
        <f t="shared" si="40"/>
        <v>152559.4</v>
      </c>
      <c r="I2525" s="31"/>
      <c r="K2525" t="s">
        <v>13</v>
      </c>
    </row>
    <row r="2526" spans="2:11" ht="13" x14ac:dyDescent="0.15">
      <c r="B2526" s="29" t="s">
        <v>3228</v>
      </c>
      <c r="C2526" s="29" t="s">
        <v>26</v>
      </c>
      <c r="D2526" s="31">
        <f>SUMIFS(D2527:D3130,K2527:K3130,"0",B2527:B3130,"5 1 2 7 2 12 31111*")-SUMIFS(E2527:E3130,K2527:K3130,"0",B2527:B3130,"5 1 2 7 2 12 31111*")</f>
        <v>0</v>
      </c>
      <c r="E2526"/>
      <c r="F2526" s="31">
        <f>SUMIFS(F2527:F3130,K2527:K3130,"0",B2527:B3130,"5 1 2 7 2 12 31111*")</f>
        <v>152559.4</v>
      </c>
      <c r="G2526" s="31">
        <f>SUMIFS(G2527:G3130,K2527:K3130,"0",B2527:B3130,"5 1 2 7 2 12 31111*")</f>
        <v>0</v>
      </c>
      <c r="H2526" s="31">
        <f t="shared" si="40"/>
        <v>152559.4</v>
      </c>
      <c r="I2526" s="31"/>
      <c r="K2526" t="s">
        <v>13</v>
      </c>
    </row>
    <row r="2527" spans="2:11" ht="13" x14ac:dyDescent="0.15">
      <c r="B2527" s="29" t="s">
        <v>3229</v>
      </c>
      <c r="C2527" s="29" t="s">
        <v>28</v>
      </c>
      <c r="D2527" s="31">
        <f>SUMIFS(D2528:D3130,K2528:K3130,"0",B2528:B3130,"5 1 2 7 2 12 31111 6*")-SUMIFS(E2528:E3130,K2528:K3130,"0",B2528:B3130,"5 1 2 7 2 12 31111 6*")</f>
        <v>0</v>
      </c>
      <c r="E2527"/>
      <c r="F2527" s="31">
        <f>SUMIFS(F2528:F3130,K2528:K3130,"0",B2528:B3130,"5 1 2 7 2 12 31111 6*")</f>
        <v>152559.4</v>
      </c>
      <c r="G2527" s="31">
        <f>SUMIFS(G2528:G3130,K2528:K3130,"0",B2528:B3130,"5 1 2 7 2 12 31111 6*")</f>
        <v>0</v>
      </c>
      <c r="H2527" s="31">
        <f t="shared" si="40"/>
        <v>152559.4</v>
      </c>
      <c r="I2527" s="31"/>
      <c r="K2527" t="s">
        <v>13</v>
      </c>
    </row>
    <row r="2528" spans="2:11" ht="13" x14ac:dyDescent="0.15">
      <c r="B2528" s="29" t="s">
        <v>3230</v>
      </c>
      <c r="C2528" s="29" t="s">
        <v>1567</v>
      </c>
      <c r="D2528" s="31">
        <f>SUMIFS(D2529:D3130,K2529:K3130,"0",B2529:B3130,"5 1 2 7 2 12 31111 6 M78*")-SUMIFS(E2529:E3130,K2529:K3130,"0",B2529:B3130,"5 1 2 7 2 12 31111 6 M78*")</f>
        <v>0</v>
      </c>
      <c r="E2528"/>
      <c r="F2528" s="31">
        <f>SUMIFS(F2529:F3130,K2529:K3130,"0",B2529:B3130,"5 1 2 7 2 12 31111 6 M78*")</f>
        <v>152559.4</v>
      </c>
      <c r="G2528" s="31">
        <f>SUMIFS(G2529:G3130,K2529:K3130,"0",B2529:B3130,"5 1 2 7 2 12 31111 6 M78*")</f>
        <v>0</v>
      </c>
      <c r="H2528" s="31">
        <f t="shared" si="40"/>
        <v>152559.4</v>
      </c>
      <c r="I2528" s="31"/>
      <c r="K2528" t="s">
        <v>13</v>
      </c>
    </row>
    <row r="2529" spans="2:11" ht="13" x14ac:dyDescent="0.15">
      <c r="B2529" s="29" t="s">
        <v>3231</v>
      </c>
      <c r="C2529" s="29" t="s">
        <v>833</v>
      </c>
      <c r="D2529" s="31">
        <f>SUMIFS(D2530:D3130,K2530:K3130,"0",B2530:B3130,"5 1 2 7 2 12 31111 6 M78 15000*")-SUMIFS(E2530:E3130,K2530:K3130,"0",B2530:B3130,"5 1 2 7 2 12 31111 6 M78 15000*")</f>
        <v>0</v>
      </c>
      <c r="E2529"/>
      <c r="F2529" s="31">
        <f>SUMIFS(F2530:F3130,K2530:K3130,"0",B2530:B3130,"5 1 2 7 2 12 31111 6 M78 15000*")</f>
        <v>152559.4</v>
      </c>
      <c r="G2529" s="31">
        <f>SUMIFS(G2530:G3130,K2530:K3130,"0",B2530:B3130,"5 1 2 7 2 12 31111 6 M78 15000*")</f>
        <v>0</v>
      </c>
      <c r="H2529" s="31">
        <f t="shared" si="40"/>
        <v>152559.4</v>
      </c>
      <c r="I2529" s="31"/>
      <c r="K2529" t="s">
        <v>13</v>
      </c>
    </row>
    <row r="2530" spans="2:11" ht="13" x14ac:dyDescent="0.15">
      <c r="B2530" s="29" t="s">
        <v>3232</v>
      </c>
      <c r="C2530" s="29" t="s">
        <v>835</v>
      </c>
      <c r="D2530" s="31">
        <f>SUMIFS(D2531:D3130,K2531:K3130,"0",B2531:B3130,"5 1 2 7 2 12 31111 6 M78 15000 171*")-SUMIFS(E2531:E3130,K2531:K3130,"0",B2531:B3130,"5 1 2 7 2 12 31111 6 M78 15000 171*")</f>
        <v>0</v>
      </c>
      <c r="E2530"/>
      <c r="F2530" s="31">
        <f>SUMIFS(F2531:F3130,K2531:K3130,"0",B2531:B3130,"5 1 2 7 2 12 31111 6 M78 15000 171*")</f>
        <v>152559.4</v>
      </c>
      <c r="G2530" s="31">
        <f>SUMIFS(G2531:G3130,K2531:K3130,"0",B2531:B3130,"5 1 2 7 2 12 31111 6 M78 15000 171*")</f>
        <v>0</v>
      </c>
      <c r="H2530" s="31">
        <f t="shared" si="40"/>
        <v>152559.4</v>
      </c>
      <c r="I2530" s="31"/>
      <c r="K2530" t="s">
        <v>13</v>
      </c>
    </row>
    <row r="2531" spans="2:11" ht="13" x14ac:dyDescent="0.15">
      <c r="B2531" s="29" t="s">
        <v>3233</v>
      </c>
      <c r="C2531" s="29" t="s">
        <v>285</v>
      </c>
      <c r="D2531" s="31">
        <f>SUMIFS(D2532:D3130,K2532:K3130,"0",B2532:B3130,"5 1 2 7 2 12 31111 6 M78 15000 171 00I*")-SUMIFS(E2532:E3130,K2532:K3130,"0",B2532:B3130,"5 1 2 7 2 12 31111 6 M78 15000 171 00I*")</f>
        <v>0</v>
      </c>
      <c r="E2531"/>
      <c r="F2531" s="31">
        <f>SUMIFS(F2532:F3130,K2532:K3130,"0",B2532:B3130,"5 1 2 7 2 12 31111 6 M78 15000 171 00I*")</f>
        <v>152559.4</v>
      </c>
      <c r="G2531" s="31">
        <f>SUMIFS(G2532:G3130,K2532:K3130,"0",B2532:B3130,"5 1 2 7 2 12 31111 6 M78 15000 171 00I*")</f>
        <v>0</v>
      </c>
      <c r="H2531" s="31">
        <f t="shared" si="40"/>
        <v>152559.4</v>
      </c>
      <c r="I2531" s="31"/>
      <c r="K2531" t="s">
        <v>13</v>
      </c>
    </row>
    <row r="2532" spans="2:11" ht="13" x14ac:dyDescent="0.15">
      <c r="B2532" s="29" t="s">
        <v>3234</v>
      </c>
      <c r="C2532" s="29" t="s">
        <v>32</v>
      </c>
      <c r="D2532" s="31">
        <f>SUMIFS(D2533:D3130,K2533:K3130,"0",B2533:B3130,"5 1 2 7 2 12 31111 6 M78 15000 171 00I 001*")-SUMIFS(E2533:E3130,K2533:K3130,"0",B2533:B3130,"5 1 2 7 2 12 31111 6 M78 15000 171 00I 001*")</f>
        <v>0</v>
      </c>
      <c r="E2532"/>
      <c r="F2532" s="31">
        <f>SUMIFS(F2533:F3130,K2533:K3130,"0",B2533:B3130,"5 1 2 7 2 12 31111 6 M78 15000 171 00I 001*")</f>
        <v>152559.4</v>
      </c>
      <c r="G2532" s="31">
        <f>SUMIFS(G2533:G3130,K2533:K3130,"0",B2533:B3130,"5 1 2 7 2 12 31111 6 M78 15000 171 00I 001*")</f>
        <v>0</v>
      </c>
      <c r="H2532" s="31">
        <f t="shared" si="40"/>
        <v>152559.4</v>
      </c>
      <c r="I2532" s="31"/>
      <c r="K2532" t="s">
        <v>13</v>
      </c>
    </row>
    <row r="2533" spans="2:11" ht="13" x14ac:dyDescent="0.15">
      <c r="B2533" s="29" t="s">
        <v>3235</v>
      </c>
      <c r="C2533" s="29" t="s">
        <v>3236</v>
      </c>
      <c r="D2533" s="31">
        <f>SUMIFS(D2534:D3130,K2534:K3130,"0",B2534:B3130,"5 1 2 7 2 12 31111 6 M78 15000 171 00I 001 27201*")-SUMIFS(E2534:E3130,K2534:K3130,"0",B2534:B3130,"5 1 2 7 2 12 31111 6 M78 15000 171 00I 001 27201*")</f>
        <v>0</v>
      </c>
      <c r="E2533"/>
      <c r="F2533" s="31">
        <f>SUMIFS(F2534:F3130,K2534:K3130,"0",B2534:B3130,"5 1 2 7 2 12 31111 6 M78 15000 171 00I 001 27201*")</f>
        <v>152559.4</v>
      </c>
      <c r="G2533" s="31">
        <f>SUMIFS(G2534:G3130,K2534:K3130,"0",B2534:B3130,"5 1 2 7 2 12 31111 6 M78 15000 171 00I 001 27201*")</f>
        <v>0</v>
      </c>
      <c r="H2533" s="31">
        <f t="shared" si="40"/>
        <v>152559.4</v>
      </c>
      <c r="I2533" s="31"/>
      <c r="K2533" t="s">
        <v>13</v>
      </c>
    </row>
    <row r="2534" spans="2:11" ht="22" x14ac:dyDescent="0.15">
      <c r="B2534" s="29" t="s">
        <v>3237</v>
      </c>
      <c r="C2534" s="29" t="s">
        <v>290</v>
      </c>
      <c r="D2534" s="31">
        <f>SUMIFS(D2535:D3130,K2535:K3130,"0",B2535:B3130,"5 1 2 7 2 12 31111 6 M78 15000 171 00I 001 27201 025*")-SUMIFS(E2535:E3130,K2535:K3130,"0",B2535:B3130,"5 1 2 7 2 12 31111 6 M78 15000 171 00I 001 27201 025*")</f>
        <v>0</v>
      </c>
      <c r="E2534"/>
      <c r="F2534" s="31">
        <f>SUMIFS(F2535:F3130,K2535:K3130,"0",B2535:B3130,"5 1 2 7 2 12 31111 6 M78 15000 171 00I 001 27201 025*")</f>
        <v>152559.4</v>
      </c>
      <c r="G2534" s="31">
        <f>SUMIFS(G2535:G3130,K2535:K3130,"0",B2535:B3130,"5 1 2 7 2 12 31111 6 M78 15000 171 00I 001 27201 025*")</f>
        <v>0</v>
      </c>
      <c r="H2534" s="31">
        <f t="shared" si="40"/>
        <v>152559.4</v>
      </c>
      <c r="I2534" s="31"/>
      <c r="K2534" t="s">
        <v>13</v>
      </c>
    </row>
    <row r="2535" spans="2:11" ht="22" x14ac:dyDescent="0.15">
      <c r="B2535" s="29" t="s">
        <v>3238</v>
      </c>
      <c r="C2535" s="29" t="s">
        <v>595</v>
      </c>
      <c r="D2535" s="31">
        <f>SUMIFS(D2536:D3130,K2536:K3130,"0",B2536:B3130,"5 1 2 7 2 12 31111 6 M78 15000 171 00I 001 27201 025 2112000*")-SUMIFS(E2536:E3130,K2536:K3130,"0",B2536:B3130,"5 1 2 7 2 12 31111 6 M78 15000 171 00I 001 27201 025 2112000*")</f>
        <v>0</v>
      </c>
      <c r="E2535"/>
      <c r="F2535" s="31">
        <f>SUMIFS(F2536:F3130,K2536:K3130,"0",B2536:B3130,"5 1 2 7 2 12 31111 6 M78 15000 171 00I 001 27201 025 2112000*")</f>
        <v>152559.4</v>
      </c>
      <c r="G2535" s="31">
        <f>SUMIFS(G2536:G3130,K2536:K3130,"0",B2536:B3130,"5 1 2 7 2 12 31111 6 M78 15000 171 00I 001 27201 025 2112000*")</f>
        <v>0</v>
      </c>
      <c r="H2535" s="31">
        <f t="shared" si="40"/>
        <v>152559.4</v>
      </c>
      <c r="I2535" s="31"/>
      <c r="K2535" t="s">
        <v>13</v>
      </c>
    </row>
    <row r="2536" spans="2:11" ht="22" x14ac:dyDescent="0.15">
      <c r="B2536" s="29" t="s">
        <v>3239</v>
      </c>
      <c r="C2536" s="29" t="s">
        <v>275</v>
      </c>
      <c r="D2536" s="31">
        <f>SUMIFS(D2537:D3130,K2537:K3130,"0",B2537:B3130,"5 1 2 7 2 12 31111 6 M78 15000 171 00I 001 27201 025 2112000 2024*")-SUMIFS(E2537:E3130,K2537:K3130,"0",B2537:B3130,"5 1 2 7 2 12 31111 6 M78 15000 171 00I 001 27201 025 2112000 2024*")</f>
        <v>0</v>
      </c>
      <c r="E2536"/>
      <c r="F2536" s="31">
        <f>SUMIFS(F2537:F3130,K2537:K3130,"0",B2537:B3130,"5 1 2 7 2 12 31111 6 M78 15000 171 00I 001 27201 025 2112000 2024*")</f>
        <v>152559.4</v>
      </c>
      <c r="G2536" s="31">
        <f>SUMIFS(G2537:G3130,K2537:K3130,"0",B2537:B3130,"5 1 2 7 2 12 31111 6 M78 15000 171 00I 001 27201 025 2112000 2024*")</f>
        <v>0</v>
      </c>
      <c r="H2536" s="31">
        <f t="shared" si="40"/>
        <v>152559.4</v>
      </c>
      <c r="I2536" s="31"/>
      <c r="K2536" t="s">
        <v>13</v>
      </c>
    </row>
    <row r="2537" spans="2:11" ht="22" x14ac:dyDescent="0.15">
      <c r="B2537" s="29" t="s">
        <v>3240</v>
      </c>
      <c r="C2537" s="29" t="s">
        <v>277</v>
      </c>
      <c r="D2537" s="31">
        <f>SUMIFS(D2538:D3130,K2538:K3130,"0",B2538:B3130,"5 1 2 7 2 12 31111 6 M78 15000 171 00I 001 27201 025 2112000 2024 00000000*")-SUMIFS(E2538:E3130,K2538:K3130,"0",B2538:B3130,"5 1 2 7 2 12 31111 6 M78 15000 171 00I 001 27201 025 2112000 2024 00000000*")</f>
        <v>0</v>
      </c>
      <c r="E2537"/>
      <c r="F2537" s="31">
        <f>SUMIFS(F2538:F3130,K2538:K3130,"0",B2538:B3130,"5 1 2 7 2 12 31111 6 M78 15000 171 00I 001 27201 025 2112000 2024 00000000*")</f>
        <v>152559.4</v>
      </c>
      <c r="G2537" s="31">
        <f>SUMIFS(G2538:G3130,K2538:K3130,"0",B2538:B3130,"5 1 2 7 2 12 31111 6 M78 15000 171 00I 001 27201 025 2112000 2024 00000000*")</f>
        <v>0</v>
      </c>
      <c r="H2537" s="31">
        <f t="shared" si="40"/>
        <v>152559.4</v>
      </c>
      <c r="I2537" s="31"/>
      <c r="K2537" t="s">
        <v>13</v>
      </c>
    </row>
    <row r="2538" spans="2:11" ht="22" x14ac:dyDescent="0.15">
      <c r="B2538" s="29" t="s">
        <v>3241</v>
      </c>
      <c r="C2538" s="29" t="s">
        <v>581</v>
      </c>
      <c r="D2538" s="31">
        <f>SUMIFS(D2539:D3130,K2539:K3130,"0",B2539:B3130,"5 1 2 7 2 12 31111 6 M78 15000 171 00I 001 27201 025 2112000 2024 00000000 003*")-SUMIFS(E2539:E3130,K2539:K3130,"0",B2539:B3130,"5 1 2 7 2 12 31111 6 M78 15000 171 00I 001 27201 025 2112000 2024 00000000 003*")</f>
        <v>0</v>
      </c>
      <c r="E2538"/>
      <c r="F2538" s="31">
        <f>SUMIFS(F2539:F3130,K2539:K3130,"0",B2539:B3130,"5 1 2 7 2 12 31111 6 M78 15000 171 00I 001 27201 025 2112000 2024 00000000 003*")</f>
        <v>152559.4</v>
      </c>
      <c r="G2538" s="31">
        <f>SUMIFS(G2539:G3130,K2539:K3130,"0",B2539:B3130,"5 1 2 7 2 12 31111 6 M78 15000 171 00I 001 27201 025 2112000 2024 00000000 003*")</f>
        <v>0</v>
      </c>
      <c r="H2538" s="31">
        <f t="shared" si="40"/>
        <v>152559.4</v>
      </c>
      <c r="I2538" s="31"/>
      <c r="K2538" t="s">
        <v>13</v>
      </c>
    </row>
    <row r="2539" spans="2:11" ht="22" x14ac:dyDescent="0.15">
      <c r="B2539" s="27" t="s">
        <v>3242</v>
      </c>
      <c r="C2539" s="27" t="s">
        <v>3243</v>
      </c>
      <c r="D2539" s="30">
        <v>0</v>
      </c>
      <c r="E2539" s="30"/>
      <c r="F2539" s="30">
        <v>152559.4</v>
      </c>
      <c r="G2539" s="30">
        <v>0</v>
      </c>
      <c r="H2539" s="30">
        <f t="shared" si="40"/>
        <v>152559.4</v>
      </c>
      <c r="I2539" s="30"/>
      <c r="K2539" t="s">
        <v>37</v>
      </c>
    </row>
    <row r="2540" spans="2:11" ht="13" x14ac:dyDescent="0.15">
      <c r="B2540" s="29" t="s">
        <v>3244</v>
      </c>
      <c r="C2540" s="29" t="s">
        <v>3245</v>
      </c>
      <c r="D2540" s="31">
        <f>SUMIFS(D2541:D3130,K2541:K3130,"0",B2541:B3130,"5 1 3*")-SUMIFS(E2541:E3130,K2541:K3130,"0",B2541:B3130,"5 1 3*")</f>
        <v>0</v>
      </c>
      <c r="E2540"/>
      <c r="F2540" s="31">
        <f>SUMIFS(F2541:F3130,K2541:K3130,"0",B2541:B3130,"5 1 3*")</f>
        <v>9226345.0700000003</v>
      </c>
      <c r="G2540" s="31">
        <f>SUMIFS(G2541:G3130,K2541:K3130,"0",B2541:B3130,"5 1 3*")</f>
        <v>24747.5</v>
      </c>
      <c r="H2540" s="31">
        <f t="shared" si="40"/>
        <v>9201597.5700000003</v>
      </c>
      <c r="I2540" s="31"/>
      <c r="K2540" t="s">
        <v>13</v>
      </c>
    </row>
    <row r="2541" spans="2:11" ht="13" x14ac:dyDescent="0.15">
      <c r="B2541" s="29" t="s">
        <v>3246</v>
      </c>
      <c r="C2541" s="29" t="s">
        <v>3247</v>
      </c>
      <c r="D2541" s="31">
        <f>SUMIFS(D2542:D3130,K2542:K3130,"0",B2542:B3130,"5 1 3 1*")-SUMIFS(E2542:E3130,K2542:K3130,"0",B2542:B3130,"5 1 3 1*")</f>
        <v>0</v>
      </c>
      <c r="E2541"/>
      <c r="F2541" s="31">
        <f>SUMIFS(F2542:F3130,K2542:K3130,"0",B2542:B3130,"5 1 3 1*")</f>
        <v>1446376.28</v>
      </c>
      <c r="G2541" s="31">
        <f>SUMIFS(G2542:G3130,K2542:K3130,"0",B2542:B3130,"5 1 3 1*")</f>
        <v>0</v>
      </c>
      <c r="H2541" s="31">
        <f t="shared" si="40"/>
        <v>1446376.28</v>
      </c>
      <c r="I2541" s="31"/>
      <c r="K2541" t="s">
        <v>13</v>
      </c>
    </row>
    <row r="2542" spans="2:11" ht="13" x14ac:dyDescent="0.15">
      <c r="B2542" s="29" t="s">
        <v>3248</v>
      </c>
      <c r="C2542" s="29" t="s">
        <v>3249</v>
      </c>
      <c r="D2542" s="31">
        <f>SUMIFS(D2543:D3130,K2543:K3130,"0",B2543:B3130,"5 1 3 1 1*")-SUMIFS(E2543:E3130,K2543:K3130,"0",B2543:B3130,"5 1 3 1 1*")</f>
        <v>0</v>
      </c>
      <c r="E2542"/>
      <c r="F2542" s="31">
        <f>SUMIFS(F2543:F3130,K2543:K3130,"0",B2543:B3130,"5 1 3 1 1*")</f>
        <v>1257207.29</v>
      </c>
      <c r="G2542" s="31">
        <f>SUMIFS(G2543:G3130,K2543:K3130,"0",B2543:B3130,"5 1 3 1 1*")</f>
        <v>0</v>
      </c>
      <c r="H2542" s="31">
        <f t="shared" si="40"/>
        <v>1257207.29</v>
      </c>
      <c r="I2542" s="31"/>
      <c r="K2542" t="s">
        <v>13</v>
      </c>
    </row>
    <row r="2543" spans="2:11" ht="13" x14ac:dyDescent="0.15">
      <c r="B2543" s="29" t="s">
        <v>3250</v>
      </c>
      <c r="C2543" s="29" t="s">
        <v>24</v>
      </c>
      <c r="D2543" s="31">
        <f>SUMIFS(D2544:D3130,K2544:K3130,"0",B2544:B3130,"5 1 3 1 1 12*")-SUMIFS(E2544:E3130,K2544:K3130,"0",B2544:B3130,"5 1 3 1 1 12*")</f>
        <v>0</v>
      </c>
      <c r="E2543"/>
      <c r="F2543" s="31">
        <f>SUMIFS(F2544:F3130,K2544:K3130,"0",B2544:B3130,"5 1 3 1 1 12*")</f>
        <v>1257207.29</v>
      </c>
      <c r="G2543" s="31">
        <f>SUMIFS(G2544:G3130,K2544:K3130,"0",B2544:B3130,"5 1 3 1 1 12*")</f>
        <v>0</v>
      </c>
      <c r="H2543" s="31">
        <f t="shared" si="40"/>
        <v>1257207.29</v>
      </c>
      <c r="I2543" s="31"/>
      <c r="K2543" t="s">
        <v>13</v>
      </c>
    </row>
    <row r="2544" spans="2:11" ht="13" x14ac:dyDescent="0.15">
      <c r="B2544" s="29" t="s">
        <v>3251</v>
      </c>
      <c r="C2544" s="29" t="s">
        <v>26</v>
      </c>
      <c r="D2544" s="31">
        <f>SUMIFS(D2545:D3130,K2545:K3130,"0",B2545:B3130,"5 1 3 1 1 12 31111*")-SUMIFS(E2545:E3130,K2545:K3130,"0",B2545:B3130,"5 1 3 1 1 12 31111*")</f>
        <v>0</v>
      </c>
      <c r="E2544"/>
      <c r="F2544" s="31">
        <f>SUMIFS(F2545:F3130,K2545:K3130,"0",B2545:B3130,"5 1 3 1 1 12 31111*")</f>
        <v>1257207.29</v>
      </c>
      <c r="G2544" s="31">
        <f>SUMIFS(G2545:G3130,K2545:K3130,"0",B2545:B3130,"5 1 3 1 1 12 31111*")</f>
        <v>0</v>
      </c>
      <c r="H2544" s="31">
        <f t="shared" si="40"/>
        <v>1257207.29</v>
      </c>
      <c r="I2544" s="31"/>
      <c r="K2544" t="s">
        <v>13</v>
      </c>
    </row>
    <row r="2545" spans="2:11" ht="13" x14ac:dyDescent="0.15">
      <c r="B2545" s="29" t="s">
        <v>3252</v>
      </c>
      <c r="C2545" s="29" t="s">
        <v>28</v>
      </c>
      <c r="D2545" s="31">
        <f>SUMIFS(D2546:D3130,K2546:K3130,"0",B2546:B3130,"5 1 3 1 1 12 31111 6*")-SUMIFS(E2546:E3130,K2546:K3130,"0",B2546:B3130,"5 1 3 1 1 12 31111 6*")</f>
        <v>0</v>
      </c>
      <c r="E2545"/>
      <c r="F2545" s="31">
        <f>SUMIFS(F2546:F3130,K2546:K3130,"0",B2546:B3130,"5 1 3 1 1 12 31111 6*")</f>
        <v>1257207.29</v>
      </c>
      <c r="G2545" s="31">
        <f>SUMIFS(G2546:G3130,K2546:K3130,"0",B2546:B3130,"5 1 3 1 1 12 31111 6*")</f>
        <v>0</v>
      </c>
      <c r="H2545" s="31">
        <f t="shared" si="40"/>
        <v>1257207.29</v>
      </c>
      <c r="I2545" s="31"/>
      <c r="K2545" t="s">
        <v>13</v>
      </c>
    </row>
    <row r="2546" spans="2:11" ht="13" x14ac:dyDescent="0.15">
      <c r="B2546" s="29" t="s">
        <v>3253</v>
      </c>
      <c r="C2546" s="29" t="s">
        <v>1567</v>
      </c>
      <c r="D2546" s="31">
        <f>SUMIFS(D2547:D3130,K2547:K3130,"0",B2547:B3130,"5 1 3 1 1 12 31111 6 M78*")-SUMIFS(E2547:E3130,K2547:K3130,"0",B2547:B3130,"5 1 3 1 1 12 31111 6 M78*")</f>
        <v>0</v>
      </c>
      <c r="E2546"/>
      <c r="F2546" s="31">
        <f>SUMIFS(F2547:F3130,K2547:K3130,"0",B2547:B3130,"5 1 3 1 1 12 31111 6 M78*")</f>
        <v>1257207.29</v>
      </c>
      <c r="G2546" s="31">
        <f>SUMIFS(G2547:G3130,K2547:K3130,"0",B2547:B3130,"5 1 3 1 1 12 31111 6 M78*")</f>
        <v>0</v>
      </c>
      <c r="H2546" s="31">
        <f t="shared" si="40"/>
        <v>1257207.29</v>
      </c>
      <c r="I2546" s="31"/>
      <c r="K2546" t="s">
        <v>13</v>
      </c>
    </row>
    <row r="2547" spans="2:11" ht="13" x14ac:dyDescent="0.15">
      <c r="B2547" s="29" t="s">
        <v>3254</v>
      </c>
      <c r="C2547" s="29" t="s">
        <v>833</v>
      </c>
      <c r="D2547" s="31">
        <f>SUMIFS(D2548:D3130,K2548:K3130,"0",B2548:B3130,"5 1 3 1 1 12 31111 6 M78 15000*")-SUMIFS(E2548:E3130,K2548:K3130,"0",B2548:B3130,"5 1 3 1 1 12 31111 6 M78 15000*")</f>
        <v>0</v>
      </c>
      <c r="E2547"/>
      <c r="F2547" s="31">
        <f>SUMIFS(F2548:F3130,K2548:K3130,"0",B2548:B3130,"5 1 3 1 1 12 31111 6 M78 15000*")</f>
        <v>1257207.29</v>
      </c>
      <c r="G2547" s="31">
        <f>SUMIFS(G2548:G3130,K2548:K3130,"0",B2548:B3130,"5 1 3 1 1 12 31111 6 M78 15000*")</f>
        <v>0</v>
      </c>
      <c r="H2547" s="31">
        <f t="shared" si="40"/>
        <v>1257207.29</v>
      </c>
      <c r="I2547" s="31"/>
      <c r="K2547" t="s">
        <v>13</v>
      </c>
    </row>
    <row r="2548" spans="2:11" ht="13" x14ac:dyDescent="0.15">
      <c r="B2548" s="29" t="s">
        <v>3255</v>
      </c>
      <c r="C2548" s="29" t="s">
        <v>835</v>
      </c>
      <c r="D2548" s="31">
        <f>SUMIFS(D2549:D3130,K2549:K3130,"0",B2549:B3130,"5 1 3 1 1 12 31111 6 M78 15000 171*")-SUMIFS(E2549:E3130,K2549:K3130,"0",B2549:B3130,"5 1 3 1 1 12 31111 6 M78 15000 171*")</f>
        <v>0</v>
      </c>
      <c r="E2548"/>
      <c r="F2548" s="31">
        <f>SUMIFS(F2549:F3130,K2549:K3130,"0",B2549:B3130,"5 1 3 1 1 12 31111 6 M78 15000 171*")</f>
        <v>1257207.29</v>
      </c>
      <c r="G2548" s="31">
        <f>SUMIFS(G2549:G3130,K2549:K3130,"0",B2549:B3130,"5 1 3 1 1 12 31111 6 M78 15000 171*")</f>
        <v>0</v>
      </c>
      <c r="H2548" s="31">
        <f t="shared" si="40"/>
        <v>1257207.29</v>
      </c>
      <c r="I2548" s="31"/>
      <c r="K2548" t="s">
        <v>13</v>
      </c>
    </row>
    <row r="2549" spans="2:11" ht="13" x14ac:dyDescent="0.15">
      <c r="B2549" s="29" t="s">
        <v>3256</v>
      </c>
      <c r="C2549" s="29" t="s">
        <v>285</v>
      </c>
      <c r="D2549" s="31">
        <f>SUMIFS(D2550:D3130,K2550:K3130,"0",B2550:B3130,"5 1 3 1 1 12 31111 6 M78 15000 171 00I*")-SUMIFS(E2550:E3130,K2550:K3130,"0",B2550:B3130,"5 1 3 1 1 12 31111 6 M78 15000 171 00I*")</f>
        <v>0</v>
      </c>
      <c r="E2549"/>
      <c r="F2549" s="31">
        <f>SUMIFS(F2550:F3130,K2550:K3130,"0",B2550:B3130,"5 1 3 1 1 12 31111 6 M78 15000 171 00I*")</f>
        <v>1257207.29</v>
      </c>
      <c r="G2549" s="31">
        <f>SUMIFS(G2550:G3130,K2550:K3130,"0",B2550:B3130,"5 1 3 1 1 12 31111 6 M78 15000 171 00I*")</f>
        <v>0</v>
      </c>
      <c r="H2549" s="31">
        <f t="shared" si="40"/>
        <v>1257207.29</v>
      </c>
      <c r="I2549" s="31"/>
      <c r="K2549" t="s">
        <v>13</v>
      </c>
    </row>
    <row r="2550" spans="2:11" ht="13" x14ac:dyDescent="0.15">
      <c r="B2550" s="29" t="s">
        <v>3257</v>
      </c>
      <c r="C2550" s="29" t="s">
        <v>32</v>
      </c>
      <c r="D2550" s="31">
        <f>SUMIFS(D2551:D3130,K2551:K3130,"0",B2551:B3130,"5 1 3 1 1 12 31111 6 M78 15000 171 00I 001*")-SUMIFS(E2551:E3130,K2551:K3130,"0",B2551:B3130,"5 1 3 1 1 12 31111 6 M78 15000 171 00I 001*")</f>
        <v>0</v>
      </c>
      <c r="E2550"/>
      <c r="F2550" s="31">
        <f>SUMIFS(F2551:F3130,K2551:K3130,"0",B2551:B3130,"5 1 3 1 1 12 31111 6 M78 15000 171 00I 001*")</f>
        <v>1257207.29</v>
      </c>
      <c r="G2550" s="31">
        <f>SUMIFS(G2551:G3130,K2551:K3130,"0",B2551:B3130,"5 1 3 1 1 12 31111 6 M78 15000 171 00I 001*")</f>
        <v>0</v>
      </c>
      <c r="H2550" s="31">
        <f t="shared" si="40"/>
        <v>1257207.29</v>
      </c>
      <c r="I2550" s="31"/>
      <c r="K2550" t="s">
        <v>13</v>
      </c>
    </row>
    <row r="2551" spans="2:11" ht="13" x14ac:dyDescent="0.15">
      <c r="B2551" s="29" t="s">
        <v>3258</v>
      </c>
      <c r="C2551" s="29" t="s">
        <v>3259</v>
      </c>
      <c r="D2551" s="31">
        <f>SUMIFS(D2552:D3130,K2552:K3130,"0",B2552:B3130,"5 1 3 1 1 12 31111 6 M78 15000 171 00I 001 31101*")-SUMIFS(E2552:E3130,K2552:K3130,"0",B2552:B3130,"5 1 3 1 1 12 31111 6 M78 15000 171 00I 001 31101*")</f>
        <v>0</v>
      </c>
      <c r="E2551"/>
      <c r="F2551" s="31">
        <f>SUMIFS(F2552:F3130,K2552:K3130,"0",B2552:B3130,"5 1 3 1 1 12 31111 6 M78 15000 171 00I 001 31101*")</f>
        <v>1257207.29</v>
      </c>
      <c r="G2551" s="31">
        <f>SUMIFS(G2552:G3130,K2552:K3130,"0",B2552:B3130,"5 1 3 1 1 12 31111 6 M78 15000 171 00I 001 31101*")</f>
        <v>0</v>
      </c>
      <c r="H2551" s="31">
        <f t="shared" si="40"/>
        <v>1257207.29</v>
      </c>
      <c r="I2551" s="31"/>
      <c r="K2551" t="s">
        <v>13</v>
      </c>
    </row>
    <row r="2552" spans="2:11" ht="22" x14ac:dyDescent="0.15">
      <c r="B2552" s="29" t="s">
        <v>3260</v>
      </c>
      <c r="C2552" s="29" t="s">
        <v>290</v>
      </c>
      <c r="D2552" s="31">
        <f>SUMIFS(D2553:D3130,K2553:K3130,"0",B2553:B3130,"5 1 3 1 1 12 31111 6 M78 15000 171 00I 001 31101 025*")-SUMIFS(E2553:E3130,K2553:K3130,"0",B2553:B3130,"5 1 3 1 1 12 31111 6 M78 15000 171 00I 001 31101 025*")</f>
        <v>0</v>
      </c>
      <c r="E2552"/>
      <c r="F2552" s="31">
        <f>SUMIFS(F2553:F3130,K2553:K3130,"0",B2553:B3130,"5 1 3 1 1 12 31111 6 M78 15000 171 00I 001 31101 025*")</f>
        <v>1257207.29</v>
      </c>
      <c r="G2552" s="31">
        <f>SUMIFS(G2553:G3130,K2553:K3130,"0",B2553:B3130,"5 1 3 1 1 12 31111 6 M78 15000 171 00I 001 31101 025*")</f>
        <v>0</v>
      </c>
      <c r="H2552" s="31">
        <f t="shared" si="40"/>
        <v>1257207.29</v>
      </c>
      <c r="I2552" s="31"/>
      <c r="K2552" t="s">
        <v>13</v>
      </c>
    </row>
    <row r="2553" spans="2:11" ht="22" x14ac:dyDescent="0.15">
      <c r="B2553" s="29" t="s">
        <v>3261</v>
      </c>
      <c r="C2553" s="29" t="s">
        <v>595</v>
      </c>
      <c r="D2553" s="31">
        <f>SUMIFS(D2554:D3130,K2554:K3130,"0",B2554:B3130,"5 1 3 1 1 12 31111 6 M78 15000 171 00I 001 31101 025 2112000*")-SUMIFS(E2554:E3130,K2554:K3130,"0",B2554:B3130,"5 1 3 1 1 12 31111 6 M78 15000 171 00I 001 31101 025 2112000*")</f>
        <v>0</v>
      </c>
      <c r="E2553"/>
      <c r="F2553" s="31">
        <f>SUMIFS(F2554:F3130,K2554:K3130,"0",B2554:B3130,"5 1 3 1 1 12 31111 6 M78 15000 171 00I 001 31101 025 2112000*")</f>
        <v>1257207.29</v>
      </c>
      <c r="G2553" s="31">
        <f>SUMIFS(G2554:G3130,K2554:K3130,"0",B2554:B3130,"5 1 3 1 1 12 31111 6 M78 15000 171 00I 001 31101 025 2112000*")</f>
        <v>0</v>
      </c>
      <c r="H2553" s="31">
        <f t="shared" si="40"/>
        <v>1257207.29</v>
      </c>
      <c r="I2553" s="31"/>
      <c r="K2553" t="s">
        <v>13</v>
      </c>
    </row>
    <row r="2554" spans="2:11" ht="22" x14ac:dyDescent="0.15">
      <c r="B2554" s="29" t="s">
        <v>3262</v>
      </c>
      <c r="C2554" s="29" t="s">
        <v>275</v>
      </c>
      <c r="D2554" s="31">
        <f>SUMIFS(D2555:D3130,K2555:K3130,"0",B2555:B3130,"5 1 3 1 1 12 31111 6 M78 15000 171 00I 001 31101 025 2112000 2024*")-SUMIFS(E2555:E3130,K2555:K3130,"0",B2555:B3130,"5 1 3 1 1 12 31111 6 M78 15000 171 00I 001 31101 025 2112000 2024*")</f>
        <v>0</v>
      </c>
      <c r="E2554"/>
      <c r="F2554" s="31">
        <f>SUMIFS(F2555:F3130,K2555:K3130,"0",B2555:B3130,"5 1 3 1 1 12 31111 6 M78 15000 171 00I 001 31101 025 2112000 2024*")</f>
        <v>1257207.29</v>
      </c>
      <c r="G2554" s="31">
        <f>SUMIFS(G2555:G3130,K2555:K3130,"0",B2555:B3130,"5 1 3 1 1 12 31111 6 M78 15000 171 00I 001 31101 025 2112000 2024*")</f>
        <v>0</v>
      </c>
      <c r="H2554" s="31">
        <f t="shared" si="40"/>
        <v>1257207.29</v>
      </c>
      <c r="I2554" s="31"/>
      <c r="K2554" t="s">
        <v>13</v>
      </c>
    </row>
    <row r="2555" spans="2:11" ht="22" x14ac:dyDescent="0.15">
      <c r="B2555" s="29" t="s">
        <v>3263</v>
      </c>
      <c r="C2555" s="29" t="s">
        <v>277</v>
      </c>
      <c r="D2555" s="31">
        <f>SUMIFS(D2556:D3130,K2556:K3130,"0",B2556:B3130,"5 1 3 1 1 12 31111 6 M78 15000 171 00I 001 31101 025 2112000 2024 00000000*")-SUMIFS(E2556:E3130,K2556:K3130,"0",B2556:B3130,"5 1 3 1 1 12 31111 6 M78 15000 171 00I 001 31101 025 2112000 2024 00000000*")</f>
        <v>0</v>
      </c>
      <c r="E2555"/>
      <c r="F2555" s="31">
        <f>SUMIFS(F2556:F3130,K2556:K3130,"0",B2556:B3130,"5 1 3 1 1 12 31111 6 M78 15000 171 00I 001 31101 025 2112000 2024 00000000*")</f>
        <v>1257207.29</v>
      </c>
      <c r="G2555" s="31">
        <f>SUMIFS(G2556:G3130,K2556:K3130,"0",B2556:B3130,"5 1 3 1 1 12 31111 6 M78 15000 171 00I 001 31101 025 2112000 2024 00000000*")</f>
        <v>0</v>
      </c>
      <c r="H2555" s="31">
        <f t="shared" si="40"/>
        <v>1257207.29</v>
      </c>
      <c r="I2555" s="31"/>
      <c r="K2555" t="s">
        <v>13</v>
      </c>
    </row>
    <row r="2556" spans="2:11" ht="22" x14ac:dyDescent="0.15">
      <c r="B2556" s="29" t="s">
        <v>3264</v>
      </c>
      <c r="C2556" s="29" t="s">
        <v>581</v>
      </c>
      <c r="D2556" s="31">
        <f>SUMIFS(D2557:D3130,K2557:K3130,"0",B2557:B3130,"5 1 3 1 1 12 31111 6 M78 15000 171 00I 001 31101 025 2112000 2024 00000000 003*")-SUMIFS(E2557:E3130,K2557:K3130,"0",B2557:B3130,"5 1 3 1 1 12 31111 6 M78 15000 171 00I 001 31101 025 2112000 2024 00000000 003*")</f>
        <v>0</v>
      </c>
      <c r="E2556"/>
      <c r="F2556" s="31">
        <f>SUMIFS(F2557:F3130,K2557:K3130,"0",B2557:B3130,"5 1 3 1 1 12 31111 6 M78 15000 171 00I 001 31101 025 2112000 2024 00000000 003*")</f>
        <v>1257207.29</v>
      </c>
      <c r="G2556" s="31">
        <f>SUMIFS(G2557:G3130,K2557:K3130,"0",B2557:B3130,"5 1 3 1 1 12 31111 6 M78 15000 171 00I 001 31101 025 2112000 2024 00000000 003*")</f>
        <v>0</v>
      </c>
      <c r="H2556" s="31">
        <f t="shared" si="40"/>
        <v>1257207.29</v>
      </c>
      <c r="I2556" s="31"/>
      <c r="K2556" t="s">
        <v>13</v>
      </c>
    </row>
    <row r="2557" spans="2:11" ht="22" x14ac:dyDescent="0.15">
      <c r="B2557" s="27" t="s">
        <v>3265</v>
      </c>
      <c r="C2557" s="27" t="s">
        <v>3266</v>
      </c>
      <c r="D2557" s="30">
        <v>0</v>
      </c>
      <c r="E2557" s="30"/>
      <c r="F2557" s="30">
        <v>256969.91</v>
      </c>
      <c r="G2557" s="30">
        <v>0</v>
      </c>
      <c r="H2557" s="30">
        <f t="shared" si="40"/>
        <v>256969.91</v>
      </c>
      <c r="I2557" s="30"/>
      <c r="K2557" t="s">
        <v>37</v>
      </c>
    </row>
    <row r="2558" spans="2:11" ht="22" x14ac:dyDescent="0.15">
      <c r="B2558" s="27" t="s">
        <v>3267</v>
      </c>
      <c r="C2558" s="27" t="s">
        <v>3268</v>
      </c>
      <c r="D2558" s="30">
        <v>0</v>
      </c>
      <c r="E2558" s="30"/>
      <c r="F2558" s="30">
        <v>1000237.38</v>
      </c>
      <c r="G2558" s="30">
        <v>0</v>
      </c>
      <c r="H2558" s="30">
        <f t="shared" si="40"/>
        <v>1000237.38</v>
      </c>
      <c r="I2558" s="30"/>
      <c r="K2558" t="s">
        <v>37</v>
      </c>
    </row>
    <row r="2559" spans="2:11" ht="13" x14ac:dyDescent="0.15">
      <c r="B2559" s="29" t="s">
        <v>3269</v>
      </c>
      <c r="C2559" s="29" t="s">
        <v>3270</v>
      </c>
      <c r="D2559" s="31">
        <f>SUMIFS(D2560:D3130,K2560:K3130,"0",B2560:B3130,"5 1 3 1 5*")-SUMIFS(E2560:E3130,K2560:K3130,"0",B2560:B3130,"5 1 3 1 5*")</f>
        <v>0</v>
      </c>
      <c r="E2559"/>
      <c r="F2559" s="31">
        <f>SUMIFS(F2560:F3130,K2560:K3130,"0",B2560:B3130,"5 1 3 1 5*")</f>
        <v>1850</v>
      </c>
      <c r="G2559" s="31">
        <f>SUMIFS(G2560:G3130,K2560:K3130,"0",B2560:B3130,"5 1 3 1 5*")</f>
        <v>0</v>
      </c>
      <c r="H2559" s="31">
        <f t="shared" si="40"/>
        <v>1850</v>
      </c>
      <c r="I2559" s="31"/>
      <c r="K2559" t="s">
        <v>13</v>
      </c>
    </row>
    <row r="2560" spans="2:11" ht="13" x14ac:dyDescent="0.15">
      <c r="B2560" s="29" t="s">
        <v>3271</v>
      </c>
      <c r="C2560" s="29" t="s">
        <v>24</v>
      </c>
      <c r="D2560" s="31">
        <f>SUMIFS(D2561:D3130,K2561:K3130,"0",B2561:B3130,"5 1 3 1 5 12*")-SUMIFS(E2561:E3130,K2561:K3130,"0",B2561:B3130,"5 1 3 1 5 12*")</f>
        <v>0</v>
      </c>
      <c r="E2560"/>
      <c r="F2560" s="31">
        <f>SUMIFS(F2561:F3130,K2561:K3130,"0",B2561:B3130,"5 1 3 1 5 12*")</f>
        <v>1850</v>
      </c>
      <c r="G2560" s="31">
        <f>SUMIFS(G2561:G3130,K2561:K3130,"0",B2561:B3130,"5 1 3 1 5 12*")</f>
        <v>0</v>
      </c>
      <c r="H2560" s="31">
        <f t="shared" si="40"/>
        <v>1850</v>
      </c>
      <c r="I2560" s="31"/>
      <c r="K2560" t="s">
        <v>13</v>
      </c>
    </row>
    <row r="2561" spans="2:11" ht="13" x14ac:dyDescent="0.15">
      <c r="B2561" s="29" t="s">
        <v>3272</v>
      </c>
      <c r="C2561" s="29" t="s">
        <v>26</v>
      </c>
      <c r="D2561" s="31">
        <f>SUMIFS(D2562:D3130,K2562:K3130,"0",B2562:B3130,"5 1 3 1 5 12 31111*")-SUMIFS(E2562:E3130,K2562:K3130,"0",B2562:B3130,"5 1 3 1 5 12 31111*")</f>
        <v>0</v>
      </c>
      <c r="E2561"/>
      <c r="F2561" s="31">
        <f>SUMIFS(F2562:F3130,K2562:K3130,"0",B2562:B3130,"5 1 3 1 5 12 31111*")</f>
        <v>1850</v>
      </c>
      <c r="G2561" s="31">
        <f>SUMIFS(G2562:G3130,K2562:K3130,"0",B2562:B3130,"5 1 3 1 5 12 31111*")</f>
        <v>0</v>
      </c>
      <c r="H2561" s="31">
        <f t="shared" si="40"/>
        <v>1850</v>
      </c>
      <c r="I2561" s="31"/>
      <c r="K2561" t="s">
        <v>13</v>
      </c>
    </row>
    <row r="2562" spans="2:11" ht="13" x14ac:dyDescent="0.15">
      <c r="B2562" s="29" t="s">
        <v>3273</v>
      </c>
      <c r="C2562" s="29" t="s">
        <v>28</v>
      </c>
      <c r="D2562" s="31">
        <f>SUMIFS(D2563:D3130,K2563:K3130,"0",B2563:B3130,"5 1 3 1 5 12 31111 6*")-SUMIFS(E2563:E3130,K2563:K3130,"0",B2563:B3130,"5 1 3 1 5 12 31111 6*")</f>
        <v>0</v>
      </c>
      <c r="E2562"/>
      <c r="F2562" s="31">
        <f>SUMIFS(F2563:F3130,K2563:K3130,"0",B2563:B3130,"5 1 3 1 5 12 31111 6*")</f>
        <v>1850</v>
      </c>
      <c r="G2562" s="31">
        <f>SUMIFS(G2563:G3130,K2563:K3130,"0",B2563:B3130,"5 1 3 1 5 12 31111 6*")</f>
        <v>0</v>
      </c>
      <c r="H2562" s="31">
        <f t="shared" si="40"/>
        <v>1850</v>
      </c>
      <c r="I2562" s="31"/>
      <c r="K2562" t="s">
        <v>13</v>
      </c>
    </row>
    <row r="2563" spans="2:11" ht="13" x14ac:dyDescent="0.15">
      <c r="B2563" s="29" t="s">
        <v>3274</v>
      </c>
      <c r="C2563" s="29" t="s">
        <v>1567</v>
      </c>
      <c r="D2563" s="31">
        <f>SUMIFS(D2564:D3130,K2564:K3130,"0",B2564:B3130,"5 1 3 1 5 12 31111 6 M78*")-SUMIFS(E2564:E3130,K2564:K3130,"0",B2564:B3130,"5 1 3 1 5 12 31111 6 M78*")</f>
        <v>0</v>
      </c>
      <c r="E2563"/>
      <c r="F2563" s="31">
        <f>SUMIFS(F2564:F3130,K2564:K3130,"0",B2564:B3130,"5 1 3 1 5 12 31111 6 M78*")</f>
        <v>1850</v>
      </c>
      <c r="G2563" s="31">
        <f>SUMIFS(G2564:G3130,K2564:K3130,"0",B2564:B3130,"5 1 3 1 5 12 31111 6 M78*")</f>
        <v>0</v>
      </c>
      <c r="H2563" s="31">
        <f t="shared" si="40"/>
        <v>1850</v>
      </c>
      <c r="I2563" s="31"/>
      <c r="K2563" t="s">
        <v>13</v>
      </c>
    </row>
    <row r="2564" spans="2:11" ht="13" x14ac:dyDescent="0.15">
      <c r="B2564" s="29" t="s">
        <v>3275</v>
      </c>
      <c r="C2564" s="29" t="s">
        <v>8</v>
      </c>
      <c r="D2564" s="31">
        <f>SUMIFS(D2565:D3130,K2565:K3130,"0",B2565:B3130,"5 1 3 1 5 12 31111 6 M78 07000*")-SUMIFS(E2565:E3130,K2565:K3130,"0",B2565:B3130,"5 1 3 1 5 12 31111 6 M78 07000*")</f>
        <v>0</v>
      </c>
      <c r="E2564"/>
      <c r="F2564" s="31">
        <f>SUMIFS(F2565:F3130,K2565:K3130,"0",B2565:B3130,"5 1 3 1 5 12 31111 6 M78 07000*")</f>
        <v>1850</v>
      </c>
      <c r="G2564" s="31">
        <f>SUMIFS(G2565:G3130,K2565:K3130,"0",B2565:B3130,"5 1 3 1 5 12 31111 6 M78 07000*")</f>
        <v>0</v>
      </c>
      <c r="H2564" s="31">
        <f t="shared" si="40"/>
        <v>1850</v>
      </c>
      <c r="I2564" s="31"/>
      <c r="K2564" t="s">
        <v>13</v>
      </c>
    </row>
    <row r="2565" spans="2:11" ht="13" x14ac:dyDescent="0.15">
      <c r="B2565" s="29" t="s">
        <v>3276</v>
      </c>
      <c r="C2565" s="29" t="s">
        <v>588</v>
      </c>
      <c r="D2565" s="31">
        <f>SUMIFS(D2566:D3130,K2566:K3130,"0",B2566:B3130,"5 1 3 1 5 12 31111 6 M78 07000 151*")-SUMIFS(E2566:E3130,K2566:K3130,"0",B2566:B3130,"5 1 3 1 5 12 31111 6 M78 07000 151*")</f>
        <v>0</v>
      </c>
      <c r="E2565"/>
      <c r="F2565" s="31">
        <f>SUMIFS(F2566:F3130,K2566:K3130,"0",B2566:B3130,"5 1 3 1 5 12 31111 6 M78 07000 151*")</f>
        <v>1850</v>
      </c>
      <c r="G2565" s="31">
        <f>SUMIFS(G2566:G3130,K2566:K3130,"0",B2566:B3130,"5 1 3 1 5 12 31111 6 M78 07000 151*")</f>
        <v>0</v>
      </c>
      <c r="H2565" s="31">
        <f t="shared" si="40"/>
        <v>1850</v>
      </c>
      <c r="I2565" s="31"/>
      <c r="K2565" t="s">
        <v>13</v>
      </c>
    </row>
    <row r="2566" spans="2:11" ht="13" x14ac:dyDescent="0.15">
      <c r="B2566" s="29" t="s">
        <v>3277</v>
      </c>
      <c r="C2566" s="29" t="s">
        <v>265</v>
      </c>
      <c r="D2566" s="31">
        <f>SUMIFS(D2567:D3130,K2567:K3130,"0",B2567:B3130,"5 1 3 1 5 12 31111 6 M78 07000 151 00C*")-SUMIFS(E2567:E3130,K2567:K3130,"0",B2567:B3130,"5 1 3 1 5 12 31111 6 M78 07000 151 00C*")</f>
        <v>0</v>
      </c>
      <c r="E2566"/>
      <c r="F2566" s="31">
        <f>SUMIFS(F2567:F3130,K2567:K3130,"0",B2567:B3130,"5 1 3 1 5 12 31111 6 M78 07000 151 00C*")</f>
        <v>1850</v>
      </c>
      <c r="G2566" s="31">
        <f>SUMIFS(G2567:G3130,K2567:K3130,"0",B2567:B3130,"5 1 3 1 5 12 31111 6 M78 07000 151 00C*")</f>
        <v>0</v>
      </c>
      <c r="H2566" s="31">
        <f t="shared" si="40"/>
        <v>1850</v>
      </c>
      <c r="I2566" s="31"/>
      <c r="K2566" t="s">
        <v>13</v>
      </c>
    </row>
    <row r="2567" spans="2:11" ht="13" x14ac:dyDescent="0.15">
      <c r="B2567" s="29" t="s">
        <v>3278</v>
      </c>
      <c r="C2567" s="29" t="s">
        <v>32</v>
      </c>
      <c r="D2567" s="31">
        <f>SUMIFS(D2568:D3130,K2568:K3130,"0",B2568:B3130,"5 1 3 1 5 12 31111 6 M78 07000 151 00C 001*")-SUMIFS(E2568:E3130,K2568:K3130,"0",B2568:B3130,"5 1 3 1 5 12 31111 6 M78 07000 151 00C 001*")</f>
        <v>0</v>
      </c>
      <c r="E2567"/>
      <c r="F2567" s="31">
        <f>SUMIFS(F2568:F3130,K2568:K3130,"0",B2568:B3130,"5 1 3 1 5 12 31111 6 M78 07000 151 00C 001*")</f>
        <v>1850</v>
      </c>
      <c r="G2567" s="31">
        <f>SUMIFS(G2568:G3130,K2568:K3130,"0",B2568:B3130,"5 1 3 1 5 12 31111 6 M78 07000 151 00C 001*")</f>
        <v>0</v>
      </c>
      <c r="H2567" s="31">
        <f t="shared" si="40"/>
        <v>1850</v>
      </c>
      <c r="I2567" s="31"/>
      <c r="K2567" t="s">
        <v>13</v>
      </c>
    </row>
    <row r="2568" spans="2:11" ht="13" x14ac:dyDescent="0.15">
      <c r="B2568" s="29" t="s">
        <v>3279</v>
      </c>
      <c r="C2568" s="29" t="s">
        <v>3280</v>
      </c>
      <c r="D2568" s="31">
        <f>SUMIFS(D2569:D3130,K2569:K3130,"0",B2569:B3130,"5 1 3 1 5 12 31111 6 M78 07000 151 00C 001 31501*")-SUMIFS(E2569:E3130,K2569:K3130,"0",B2569:B3130,"5 1 3 1 5 12 31111 6 M78 07000 151 00C 001 31501*")</f>
        <v>0</v>
      </c>
      <c r="E2568"/>
      <c r="F2568" s="31">
        <f>SUMIFS(F2569:F3130,K2569:K3130,"0",B2569:B3130,"5 1 3 1 5 12 31111 6 M78 07000 151 00C 001 31501*")</f>
        <v>1850</v>
      </c>
      <c r="G2568" s="31">
        <f>SUMIFS(G2569:G3130,K2569:K3130,"0",B2569:B3130,"5 1 3 1 5 12 31111 6 M78 07000 151 00C 001 31501*")</f>
        <v>0</v>
      </c>
      <c r="H2568" s="31">
        <f t="shared" si="40"/>
        <v>1850</v>
      </c>
      <c r="I2568" s="31"/>
      <c r="K2568" t="s">
        <v>13</v>
      </c>
    </row>
    <row r="2569" spans="2:11" ht="22" x14ac:dyDescent="0.15">
      <c r="B2569" s="29" t="s">
        <v>3281</v>
      </c>
      <c r="C2569" s="29" t="s">
        <v>271</v>
      </c>
      <c r="D2569" s="31">
        <f>SUMIFS(D2570:D3130,K2570:K3130,"0",B2570:B3130,"5 1 3 1 5 12 31111 6 M78 07000 151 00C 001 31501 015*")-SUMIFS(E2570:E3130,K2570:K3130,"0",B2570:B3130,"5 1 3 1 5 12 31111 6 M78 07000 151 00C 001 31501 015*")</f>
        <v>0</v>
      </c>
      <c r="E2569"/>
      <c r="F2569" s="31">
        <f>SUMIFS(F2570:F3130,K2570:K3130,"0",B2570:B3130,"5 1 3 1 5 12 31111 6 M78 07000 151 00C 001 31501 015*")</f>
        <v>1850</v>
      </c>
      <c r="G2569" s="31">
        <f>SUMIFS(G2570:G3130,K2570:K3130,"0",B2570:B3130,"5 1 3 1 5 12 31111 6 M78 07000 151 00C 001 31501 015*")</f>
        <v>0</v>
      </c>
      <c r="H2569" s="31">
        <f t="shared" si="40"/>
        <v>1850</v>
      </c>
      <c r="I2569" s="31"/>
      <c r="K2569" t="s">
        <v>13</v>
      </c>
    </row>
    <row r="2570" spans="2:11" ht="22" x14ac:dyDescent="0.15">
      <c r="B2570" s="29" t="s">
        <v>3282</v>
      </c>
      <c r="C2570" s="29" t="s">
        <v>595</v>
      </c>
      <c r="D2570" s="31">
        <f>SUMIFS(D2571:D3130,K2571:K3130,"0",B2571:B3130,"5 1 3 1 5 12 31111 6 M78 07000 151 00C 001 31501 015 2112000*")-SUMIFS(E2571:E3130,K2571:K3130,"0",B2571:B3130,"5 1 3 1 5 12 31111 6 M78 07000 151 00C 001 31501 015 2112000*")</f>
        <v>0</v>
      </c>
      <c r="E2570"/>
      <c r="F2570" s="31">
        <f>SUMIFS(F2571:F3130,K2571:K3130,"0",B2571:B3130,"5 1 3 1 5 12 31111 6 M78 07000 151 00C 001 31501 015 2112000*")</f>
        <v>1850</v>
      </c>
      <c r="G2570" s="31">
        <f>SUMIFS(G2571:G3130,K2571:K3130,"0",B2571:B3130,"5 1 3 1 5 12 31111 6 M78 07000 151 00C 001 31501 015 2112000*")</f>
        <v>0</v>
      </c>
      <c r="H2570" s="31">
        <f t="shared" si="40"/>
        <v>1850</v>
      </c>
      <c r="I2570" s="31"/>
      <c r="K2570" t="s">
        <v>13</v>
      </c>
    </row>
    <row r="2571" spans="2:11" ht="22" x14ac:dyDescent="0.15">
      <c r="B2571" s="29" t="s">
        <v>3283</v>
      </c>
      <c r="C2571" s="29" t="s">
        <v>275</v>
      </c>
      <c r="D2571" s="31">
        <f>SUMIFS(D2572:D3130,K2572:K3130,"0",B2572:B3130,"5 1 3 1 5 12 31111 6 M78 07000 151 00C 001 31501 015 2112000 2024*")-SUMIFS(E2572:E3130,K2572:K3130,"0",B2572:B3130,"5 1 3 1 5 12 31111 6 M78 07000 151 00C 001 31501 015 2112000 2024*")</f>
        <v>0</v>
      </c>
      <c r="E2571"/>
      <c r="F2571" s="31">
        <f>SUMIFS(F2572:F3130,K2572:K3130,"0",B2572:B3130,"5 1 3 1 5 12 31111 6 M78 07000 151 00C 001 31501 015 2112000 2024*")</f>
        <v>1850</v>
      </c>
      <c r="G2571" s="31">
        <f>SUMIFS(G2572:G3130,K2572:K3130,"0",B2572:B3130,"5 1 3 1 5 12 31111 6 M78 07000 151 00C 001 31501 015 2112000 2024*")</f>
        <v>0</v>
      </c>
      <c r="H2571" s="31">
        <f t="shared" ref="H2571:H2634" si="41">D2571 + F2571 - G2571</f>
        <v>1850</v>
      </c>
      <c r="I2571" s="31"/>
      <c r="K2571" t="s">
        <v>13</v>
      </c>
    </row>
    <row r="2572" spans="2:11" ht="22" x14ac:dyDescent="0.15">
      <c r="B2572" s="29" t="s">
        <v>3284</v>
      </c>
      <c r="C2572" s="29" t="s">
        <v>277</v>
      </c>
      <c r="D2572" s="31">
        <f>SUMIFS(D2573:D3130,K2573:K3130,"0",B2573:B3130,"5 1 3 1 5 12 31111 6 M78 07000 151 00C 001 31501 015 2112000 2024 00000000*")-SUMIFS(E2573:E3130,K2573:K3130,"0",B2573:B3130,"5 1 3 1 5 12 31111 6 M78 07000 151 00C 001 31501 015 2112000 2024 00000000*")</f>
        <v>0</v>
      </c>
      <c r="E2572"/>
      <c r="F2572" s="31">
        <f>SUMIFS(F2573:F3130,K2573:K3130,"0",B2573:B3130,"5 1 3 1 5 12 31111 6 M78 07000 151 00C 001 31501 015 2112000 2024 00000000*")</f>
        <v>1850</v>
      </c>
      <c r="G2572" s="31">
        <f>SUMIFS(G2573:G3130,K2573:K3130,"0",B2573:B3130,"5 1 3 1 5 12 31111 6 M78 07000 151 00C 001 31501 015 2112000 2024 00000000*")</f>
        <v>0</v>
      </c>
      <c r="H2572" s="31">
        <f t="shared" si="41"/>
        <v>1850</v>
      </c>
      <c r="I2572" s="31"/>
      <c r="K2572" t="s">
        <v>13</v>
      </c>
    </row>
    <row r="2573" spans="2:11" ht="22" x14ac:dyDescent="0.15">
      <c r="B2573" s="29" t="s">
        <v>3285</v>
      </c>
      <c r="C2573" s="29" t="s">
        <v>32</v>
      </c>
      <c r="D2573" s="31">
        <f>SUMIFS(D2574:D3130,K2574:K3130,"0",B2574:B3130,"5 1 3 1 5 12 31111 6 M78 07000 151 00C 001 31501 015 2112000 2024 00000000 001*")-SUMIFS(E2574:E3130,K2574:K3130,"0",B2574:B3130,"5 1 3 1 5 12 31111 6 M78 07000 151 00C 001 31501 015 2112000 2024 00000000 001*")</f>
        <v>0</v>
      </c>
      <c r="E2573"/>
      <c r="F2573" s="31">
        <f>SUMIFS(F2574:F3130,K2574:K3130,"0",B2574:B3130,"5 1 3 1 5 12 31111 6 M78 07000 151 00C 001 31501 015 2112000 2024 00000000 001*")</f>
        <v>1850</v>
      </c>
      <c r="G2573" s="31">
        <f>SUMIFS(G2574:G3130,K2574:K3130,"0",B2574:B3130,"5 1 3 1 5 12 31111 6 M78 07000 151 00C 001 31501 015 2112000 2024 00000000 001*")</f>
        <v>0</v>
      </c>
      <c r="H2573" s="31">
        <f t="shared" si="41"/>
        <v>1850</v>
      </c>
      <c r="I2573" s="31"/>
      <c r="K2573" t="s">
        <v>13</v>
      </c>
    </row>
    <row r="2574" spans="2:11" ht="22" x14ac:dyDescent="0.15">
      <c r="B2574" s="27" t="s">
        <v>3286</v>
      </c>
      <c r="C2574" s="27" t="s">
        <v>3287</v>
      </c>
      <c r="D2574" s="30">
        <v>0</v>
      </c>
      <c r="E2574" s="30"/>
      <c r="F2574" s="30">
        <v>1850</v>
      </c>
      <c r="G2574" s="30">
        <v>0</v>
      </c>
      <c r="H2574" s="30">
        <f t="shared" si="41"/>
        <v>1850</v>
      </c>
      <c r="I2574" s="30"/>
      <c r="K2574" t="s">
        <v>37</v>
      </c>
    </row>
    <row r="2575" spans="2:11" ht="22" x14ac:dyDescent="0.15">
      <c r="B2575" s="29" t="s">
        <v>3288</v>
      </c>
      <c r="C2575" s="29" t="s">
        <v>3289</v>
      </c>
      <c r="D2575" s="31">
        <f>SUMIFS(D2576:D3130,K2576:K3130,"0",B2576:B3130,"5 1 3 1 7*")-SUMIFS(E2576:E3130,K2576:K3130,"0",B2576:B3130,"5 1 3 1 7*")</f>
        <v>0</v>
      </c>
      <c r="E2575"/>
      <c r="F2575" s="31">
        <f>SUMIFS(F2576:F3130,K2576:K3130,"0",B2576:B3130,"5 1 3 1 7*")</f>
        <v>187318.99</v>
      </c>
      <c r="G2575" s="31">
        <f>SUMIFS(G2576:G3130,K2576:K3130,"0",B2576:B3130,"5 1 3 1 7*")</f>
        <v>0</v>
      </c>
      <c r="H2575" s="31">
        <f t="shared" si="41"/>
        <v>187318.99</v>
      </c>
      <c r="I2575" s="31"/>
      <c r="K2575" t="s">
        <v>13</v>
      </c>
    </row>
    <row r="2576" spans="2:11" ht="13" x14ac:dyDescent="0.15">
      <c r="B2576" s="29" t="s">
        <v>3290</v>
      </c>
      <c r="C2576" s="29" t="s">
        <v>24</v>
      </c>
      <c r="D2576" s="31">
        <f>SUMIFS(D2577:D3130,K2577:K3130,"0",B2577:B3130,"5 1 3 1 7 12*")-SUMIFS(E2577:E3130,K2577:K3130,"0",B2577:B3130,"5 1 3 1 7 12*")</f>
        <v>0</v>
      </c>
      <c r="E2576"/>
      <c r="F2576" s="31">
        <f>SUMIFS(F2577:F3130,K2577:K3130,"0",B2577:B3130,"5 1 3 1 7 12*")</f>
        <v>187318.99</v>
      </c>
      <c r="G2576" s="31">
        <f>SUMIFS(G2577:G3130,K2577:K3130,"0",B2577:B3130,"5 1 3 1 7 12*")</f>
        <v>0</v>
      </c>
      <c r="H2576" s="31">
        <f t="shared" si="41"/>
        <v>187318.99</v>
      </c>
      <c r="I2576" s="31"/>
      <c r="K2576" t="s">
        <v>13</v>
      </c>
    </row>
    <row r="2577" spans="2:11" ht="13" x14ac:dyDescent="0.15">
      <c r="B2577" s="29" t="s">
        <v>3291</v>
      </c>
      <c r="C2577" s="29" t="s">
        <v>26</v>
      </c>
      <c r="D2577" s="31">
        <f>SUMIFS(D2578:D3130,K2578:K3130,"0",B2578:B3130,"5 1 3 1 7 12 31111*")-SUMIFS(E2578:E3130,K2578:K3130,"0",B2578:B3130,"5 1 3 1 7 12 31111*")</f>
        <v>0</v>
      </c>
      <c r="E2577"/>
      <c r="F2577" s="31">
        <f>SUMIFS(F2578:F3130,K2578:K3130,"0",B2578:B3130,"5 1 3 1 7 12 31111*")</f>
        <v>187318.99</v>
      </c>
      <c r="G2577" s="31">
        <f>SUMIFS(G2578:G3130,K2578:K3130,"0",B2578:B3130,"5 1 3 1 7 12 31111*")</f>
        <v>0</v>
      </c>
      <c r="H2577" s="31">
        <f t="shared" si="41"/>
        <v>187318.99</v>
      </c>
      <c r="I2577" s="31"/>
      <c r="K2577" t="s">
        <v>13</v>
      </c>
    </row>
    <row r="2578" spans="2:11" ht="13" x14ac:dyDescent="0.15">
      <c r="B2578" s="29" t="s">
        <v>3292</v>
      </c>
      <c r="C2578" s="29" t="s">
        <v>28</v>
      </c>
      <c r="D2578" s="31">
        <f>SUMIFS(D2579:D3130,K2579:K3130,"0",B2579:B3130,"5 1 3 1 7 12 31111 6*")-SUMIFS(E2579:E3130,K2579:K3130,"0",B2579:B3130,"5 1 3 1 7 12 31111 6*")</f>
        <v>0</v>
      </c>
      <c r="E2578"/>
      <c r="F2578" s="31">
        <f>SUMIFS(F2579:F3130,K2579:K3130,"0",B2579:B3130,"5 1 3 1 7 12 31111 6*")</f>
        <v>187318.99</v>
      </c>
      <c r="G2578" s="31">
        <f>SUMIFS(G2579:G3130,K2579:K3130,"0",B2579:B3130,"5 1 3 1 7 12 31111 6*")</f>
        <v>0</v>
      </c>
      <c r="H2578" s="31">
        <f t="shared" si="41"/>
        <v>187318.99</v>
      </c>
      <c r="I2578" s="31"/>
      <c r="K2578" t="s">
        <v>13</v>
      </c>
    </row>
    <row r="2579" spans="2:11" ht="13" x14ac:dyDescent="0.15">
      <c r="B2579" s="29" t="s">
        <v>3293</v>
      </c>
      <c r="C2579" s="29" t="s">
        <v>1567</v>
      </c>
      <c r="D2579" s="31">
        <f>SUMIFS(D2580:D3130,K2580:K3130,"0",B2580:B3130,"5 1 3 1 7 12 31111 6 M78*")-SUMIFS(E2580:E3130,K2580:K3130,"0",B2580:B3130,"5 1 3 1 7 12 31111 6 M78*")</f>
        <v>0</v>
      </c>
      <c r="E2579"/>
      <c r="F2579" s="31">
        <f>SUMIFS(F2580:F3130,K2580:K3130,"0",B2580:B3130,"5 1 3 1 7 12 31111 6 M78*")</f>
        <v>187318.99</v>
      </c>
      <c r="G2579" s="31">
        <f>SUMIFS(G2580:G3130,K2580:K3130,"0",B2580:B3130,"5 1 3 1 7 12 31111 6 M78*")</f>
        <v>0</v>
      </c>
      <c r="H2579" s="31">
        <f t="shared" si="41"/>
        <v>187318.99</v>
      </c>
      <c r="I2579" s="31"/>
      <c r="K2579" t="s">
        <v>13</v>
      </c>
    </row>
    <row r="2580" spans="2:11" ht="13" x14ac:dyDescent="0.15">
      <c r="B2580" s="29" t="s">
        <v>3294</v>
      </c>
      <c r="C2580" s="29" t="s">
        <v>8</v>
      </c>
      <c r="D2580" s="31">
        <f>SUMIFS(D2581:D3130,K2581:K3130,"0",B2581:B3130,"5 1 3 1 7 12 31111 6 M78 07000*")-SUMIFS(E2581:E3130,K2581:K3130,"0",B2581:B3130,"5 1 3 1 7 12 31111 6 M78 07000*")</f>
        <v>0</v>
      </c>
      <c r="E2580"/>
      <c r="F2580" s="31">
        <f>SUMIFS(F2581:F3130,K2581:K3130,"0",B2581:B3130,"5 1 3 1 7 12 31111 6 M78 07000*")</f>
        <v>107318.99</v>
      </c>
      <c r="G2580" s="31">
        <f>SUMIFS(G2581:G3130,K2581:K3130,"0",B2581:B3130,"5 1 3 1 7 12 31111 6 M78 07000*")</f>
        <v>0</v>
      </c>
      <c r="H2580" s="31">
        <f t="shared" si="41"/>
        <v>107318.99</v>
      </c>
      <c r="I2580" s="31"/>
      <c r="K2580" t="s">
        <v>13</v>
      </c>
    </row>
    <row r="2581" spans="2:11" ht="13" x14ac:dyDescent="0.15">
      <c r="B2581" s="29" t="s">
        <v>3295</v>
      </c>
      <c r="C2581" s="29" t="s">
        <v>588</v>
      </c>
      <c r="D2581" s="31">
        <f>SUMIFS(D2582:D3130,K2582:K3130,"0",B2582:B3130,"5 1 3 1 7 12 31111 6 M78 07000 151*")-SUMIFS(E2582:E3130,K2582:K3130,"0",B2582:B3130,"5 1 3 1 7 12 31111 6 M78 07000 151*")</f>
        <v>0</v>
      </c>
      <c r="E2581"/>
      <c r="F2581" s="31">
        <f>SUMIFS(F2582:F3130,K2582:K3130,"0",B2582:B3130,"5 1 3 1 7 12 31111 6 M78 07000 151*")</f>
        <v>107318.99</v>
      </c>
      <c r="G2581" s="31">
        <f>SUMIFS(G2582:G3130,K2582:K3130,"0",B2582:B3130,"5 1 3 1 7 12 31111 6 M78 07000 151*")</f>
        <v>0</v>
      </c>
      <c r="H2581" s="31">
        <f t="shared" si="41"/>
        <v>107318.99</v>
      </c>
      <c r="I2581" s="31"/>
      <c r="K2581" t="s">
        <v>13</v>
      </c>
    </row>
    <row r="2582" spans="2:11" ht="13" x14ac:dyDescent="0.15">
      <c r="B2582" s="29" t="s">
        <v>3296</v>
      </c>
      <c r="C2582" s="29" t="s">
        <v>265</v>
      </c>
      <c r="D2582" s="31">
        <f>SUMIFS(D2583:D3130,K2583:K3130,"0",B2583:B3130,"5 1 3 1 7 12 31111 6 M78 07000 151 00C*")-SUMIFS(E2583:E3130,K2583:K3130,"0",B2583:B3130,"5 1 3 1 7 12 31111 6 M78 07000 151 00C*")</f>
        <v>0</v>
      </c>
      <c r="E2582"/>
      <c r="F2582" s="31">
        <f>SUMIFS(F2583:F3130,K2583:K3130,"0",B2583:B3130,"5 1 3 1 7 12 31111 6 M78 07000 151 00C*")</f>
        <v>107318.99</v>
      </c>
      <c r="G2582" s="31">
        <f>SUMIFS(G2583:G3130,K2583:K3130,"0",B2583:B3130,"5 1 3 1 7 12 31111 6 M78 07000 151 00C*")</f>
        <v>0</v>
      </c>
      <c r="H2582" s="31">
        <f t="shared" si="41"/>
        <v>107318.99</v>
      </c>
      <c r="I2582" s="31"/>
      <c r="K2582" t="s">
        <v>13</v>
      </c>
    </row>
    <row r="2583" spans="2:11" ht="13" x14ac:dyDescent="0.15">
      <c r="B2583" s="29" t="s">
        <v>3297</v>
      </c>
      <c r="C2583" s="29" t="s">
        <v>32</v>
      </c>
      <c r="D2583" s="31">
        <f>SUMIFS(D2584:D3130,K2584:K3130,"0",B2584:B3130,"5 1 3 1 7 12 31111 6 M78 07000 151 00C 001*")-SUMIFS(E2584:E3130,K2584:K3130,"0",B2584:B3130,"5 1 3 1 7 12 31111 6 M78 07000 151 00C 001*")</f>
        <v>0</v>
      </c>
      <c r="E2583"/>
      <c r="F2583" s="31">
        <f>SUMIFS(F2584:F3130,K2584:K3130,"0",B2584:B3130,"5 1 3 1 7 12 31111 6 M78 07000 151 00C 001*")</f>
        <v>107318.99</v>
      </c>
      <c r="G2583" s="31">
        <f>SUMIFS(G2584:G3130,K2584:K3130,"0",B2584:B3130,"5 1 3 1 7 12 31111 6 M78 07000 151 00C 001*")</f>
        <v>0</v>
      </c>
      <c r="H2583" s="31">
        <f t="shared" si="41"/>
        <v>107318.99</v>
      </c>
      <c r="I2583" s="31"/>
      <c r="K2583" t="s">
        <v>13</v>
      </c>
    </row>
    <row r="2584" spans="2:11" ht="13" x14ac:dyDescent="0.15">
      <c r="B2584" s="29" t="s">
        <v>3298</v>
      </c>
      <c r="C2584" s="29" t="s">
        <v>3299</v>
      </c>
      <c r="D2584" s="31">
        <f>SUMIFS(D2585:D3130,K2585:K3130,"0",B2585:B3130,"5 1 3 1 7 12 31111 6 M78 07000 151 00C 001 31701*")-SUMIFS(E2585:E3130,K2585:K3130,"0",B2585:B3130,"5 1 3 1 7 12 31111 6 M78 07000 151 00C 001 31701*")</f>
        <v>0</v>
      </c>
      <c r="E2584"/>
      <c r="F2584" s="31">
        <f>SUMIFS(F2585:F3130,K2585:K3130,"0",B2585:B3130,"5 1 3 1 7 12 31111 6 M78 07000 151 00C 001 31701*")</f>
        <v>107318.99</v>
      </c>
      <c r="G2584" s="31">
        <f>SUMIFS(G2585:G3130,K2585:K3130,"0",B2585:B3130,"5 1 3 1 7 12 31111 6 M78 07000 151 00C 001 31701*")</f>
        <v>0</v>
      </c>
      <c r="H2584" s="31">
        <f t="shared" si="41"/>
        <v>107318.99</v>
      </c>
      <c r="I2584" s="31"/>
      <c r="K2584" t="s">
        <v>13</v>
      </c>
    </row>
    <row r="2585" spans="2:11" ht="22" x14ac:dyDescent="0.15">
      <c r="B2585" s="29" t="s">
        <v>3300</v>
      </c>
      <c r="C2585" s="29" t="s">
        <v>271</v>
      </c>
      <c r="D2585" s="31">
        <f>SUMIFS(D2586:D3130,K2586:K3130,"0",B2586:B3130,"5 1 3 1 7 12 31111 6 M78 07000 151 00C 001 31701 015*")-SUMIFS(E2586:E3130,K2586:K3130,"0",B2586:B3130,"5 1 3 1 7 12 31111 6 M78 07000 151 00C 001 31701 015*")</f>
        <v>0</v>
      </c>
      <c r="E2585"/>
      <c r="F2585" s="31">
        <f>SUMIFS(F2586:F3130,K2586:K3130,"0",B2586:B3130,"5 1 3 1 7 12 31111 6 M78 07000 151 00C 001 31701 015*")</f>
        <v>107318.99</v>
      </c>
      <c r="G2585" s="31">
        <f>SUMIFS(G2586:G3130,K2586:K3130,"0",B2586:B3130,"5 1 3 1 7 12 31111 6 M78 07000 151 00C 001 31701 015*")</f>
        <v>0</v>
      </c>
      <c r="H2585" s="31">
        <f t="shared" si="41"/>
        <v>107318.99</v>
      </c>
      <c r="I2585" s="31"/>
      <c r="K2585" t="s">
        <v>13</v>
      </c>
    </row>
    <row r="2586" spans="2:11" ht="22" x14ac:dyDescent="0.15">
      <c r="B2586" s="29" t="s">
        <v>3301</v>
      </c>
      <c r="C2586" s="29" t="s">
        <v>595</v>
      </c>
      <c r="D2586" s="31">
        <f>SUMIFS(D2587:D3130,K2587:K3130,"0",B2587:B3130,"5 1 3 1 7 12 31111 6 M78 07000 151 00C 001 31701 015 2112000*")-SUMIFS(E2587:E3130,K2587:K3130,"0",B2587:B3130,"5 1 3 1 7 12 31111 6 M78 07000 151 00C 001 31701 015 2112000*")</f>
        <v>0</v>
      </c>
      <c r="E2586"/>
      <c r="F2586" s="31">
        <f>SUMIFS(F2587:F3130,K2587:K3130,"0",B2587:B3130,"5 1 3 1 7 12 31111 6 M78 07000 151 00C 001 31701 015 2112000*")</f>
        <v>107318.99</v>
      </c>
      <c r="G2586" s="31">
        <f>SUMIFS(G2587:G3130,K2587:K3130,"0",B2587:B3130,"5 1 3 1 7 12 31111 6 M78 07000 151 00C 001 31701 015 2112000*")</f>
        <v>0</v>
      </c>
      <c r="H2586" s="31">
        <f t="shared" si="41"/>
        <v>107318.99</v>
      </c>
      <c r="I2586" s="31"/>
      <c r="K2586" t="s">
        <v>13</v>
      </c>
    </row>
    <row r="2587" spans="2:11" ht="22" x14ac:dyDescent="0.15">
      <c r="B2587" s="29" t="s">
        <v>3302</v>
      </c>
      <c r="C2587" s="29" t="s">
        <v>275</v>
      </c>
      <c r="D2587" s="31">
        <f>SUMIFS(D2588:D3130,K2588:K3130,"0",B2588:B3130,"5 1 3 1 7 12 31111 6 M78 07000 151 00C 001 31701 015 2112000 2024*")-SUMIFS(E2588:E3130,K2588:K3130,"0",B2588:B3130,"5 1 3 1 7 12 31111 6 M78 07000 151 00C 001 31701 015 2112000 2024*")</f>
        <v>0</v>
      </c>
      <c r="E2587"/>
      <c r="F2587" s="31">
        <f>SUMIFS(F2588:F3130,K2588:K3130,"0",B2588:B3130,"5 1 3 1 7 12 31111 6 M78 07000 151 00C 001 31701 015 2112000 2024*")</f>
        <v>107318.99</v>
      </c>
      <c r="G2587" s="31">
        <f>SUMIFS(G2588:G3130,K2588:K3130,"0",B2588:B3130,"5 1 3 1 7 12 31111 6 M78 07000 151 00C 001 31701 015 2112000 2024*")</f>
        <v>0</v>
      </c>
      <c r="H2587" s="31">
        <f t="shared" si="41"/>
        <v>107318.99</v>
      </c>
      <c r="I2587" s="31"/>
      <c r="K2587" t="s">
        <v>13</v>
      </c>
    </row>
    <row r="2588" spans="2:11" ht="22" x14ac:dyDescent="0.15">
      <c r="B2588" s="29" t="s">
        <v>3303</v>
      </c>
      <c r="C2588" s="29" t="s">
        <v>277</v>
      </c>
      <c r="D2588" s="31">
        <f>SUMIFS(D2589:D3130,K2589:K3130,"0",B2589:B3130,"5 1 3 1 7 12 31111 6 M78 07000 151 00C 001 31701 015 2112000 2024 00000000*")-SUMIFS(E2589:E3130,K2589:K3130,"0",B2589:B3130,"5 1 3 1 7 12 31111 6 M78 07000 151 00C 001 31701 015 2112000 2024 00000000*")</f>
        <v>0</v>
      </c>
      <c r="E2588"/>
      <c r="F2588" s="31">
        <f>SUMIFS(F2589:F3130,K2589:K3130,"0",B2589:B3130,"5 1 3 1 7 12 31111 6 M78 07000 151 00C 001 31701 015 2112000 2024 00000000*")</f>
        <v>107318.99</v>
      </c>
      <c r="G2588" s="31">
        <f>SUMIFS(G2589:G3130,K2589:K3130,"0",B2589:B3130,"5 1 3 1 7 12 31111 6 M78 07000 151 00C 001 31701 015 2112000 2024 00000000*")</f>
        <v>0</v>
      </c>
      <c r="H2588" s="31">
        <f t="shared" si="41"/>
        <v>107318.99</v>
      </c>
      <c r="I2588" s="31"/>
      <c r="K2588" t="s">
        <v>13</v>
      </c>
    </row>
    <row r="2589" spans="2:11" ht="22" x14ac:dyDescent="0.15">
      <c r="B2589" s="29" t="s">
        <v>3304</v>
      </c>
      <c r="C2589" s="29" t="s">
        <v>32</v>
      </c>
      <c r="D2589" s="31">
        <f>SUMIFS(D2590:D3130,K2590:K3130,"0",B2590:B3130,"5 1 3 1 7 12 31111 6 M78 07000 151 00C 001 31701 015 2112000 2024 00000000 001*")-SUMIFS(E2590:E3130,K2590:K3130,"0",B2590:B3130,"5 1 3 1 7 12 31111 6 M78 07000 151 00C 001 31701 015 2112000 2024 00000000 001*")</f>
        <v>0</v>
      </c>
      <c r="E2589"/>
      <c r="F2589" s="31">
        <f>SUMIFS(F2590:F3130,K2590:K3130,"0",B2590:B3130,"5 1 3 1 7 12 31111 6 M78 07000 151 00C 001 31701 015 2112000 2024 00000000 001*")</f>
        <v>107318.99</v>
      </c>
      <c r="G2589" s="31">
        <f>SUMIFS(G2590:G3130,K2590:K3130,"0",B2590:B3130,"5 1 3 1 7 12 31111 6 M78 07000 151 00C 001 31701 015 2112000 2024 00000000 001*")</f>
        <v>0</v>
      </c>
      <c r="H2589" s="31">
        <f t="shared" si="41"/>
        <v>107318.99</v>
      </c>
      <c r="I2589" s="31"/>
      <c r="K2589" t="s">
        <v>13</v>
      </c>
    </row>
    <row r="2590" spans="2:11" ht="22" x14ac:dyDescent="0.15">
      <c r="B2590" s="27" t="s">
        <v>3305</v>
      </c>
      <c r="C2590" s="27" t="s">
        <v>3306</v>
      </c>
      <c r="D2590" s="30">
        <v>0</v>
      </c>
      <c r="E2590" s="30"/>
      <c r="F2590" s="30">
        <v>107318.99</v>
      </c>
      <c r="G2590" s="30">
        <v>0</v>
      </c>
      <c r="H2590" s="30">
        <f t="shared" si="41"/>
        <v>107318.99</v>
      </c>
      <c r="I2590" s="30"/>
      <c r="K2590" t="s">
        <v>37</v>
      </c>
    </row>
    <row r="2591" spans="2:11" ht="13" x14ac:dyDescent="0.15">
      <c r="B2591" s="29" t="s">
        <v>3307</v>
      </c>
      <c r="C2591" s="29" t="s">
        <v>833</v>
      </c>
      <c r="D2591" s="31">
        <f>SUMIFS(D2592:D3130,K2592:K3130,"0",B2592:B3130,"5 1 3 1 7 12 31111 6 M78 15000*")-SUMIFS(E2592:E3130,K2592:K3130,"0",B2592:B3130,"5 1 3 1 7 12 31111 6 M78 15000*")</f>
        <v>0</v>
      </c>
      <c r="E2591"/>
      <c r="F2591" s="31">
        <f>SUMIFS(F2592:F3130,K2592:K3130,"0",B2592:B3130,"5 1 3 1 7 12 31111 6 M78 15000*")</f>
        <v>80000</v>
      </c>
      <c r="G2591" s="31">
        <f>SUMIFS(G2592:G3130,K2592:K3130,"0",B2592:B3130,"5 1 3 1 7 12 31111 6 M78 15000*")</f>
        <v>0</v>
      </c>
      <c r="H2591" s="31">
        <f t="shared" si="41"/>
        <v>80000</v>
      </c>
      <c r="I2591" s="31"/>
      <c r="K2591" t="s">
        <v>13</v>
      </c>
    </row>
    <row r="2592" spans="2:11" ht="13" x14ac:dyDescent="0.15">
      <c r="B2592" s="29" t="s">
        <v>3308</v>
      </c>
      <c r="C2592" s="29" t="s">
        <v>835</v>
      </c>
      <c r="D2592" s="31">
        <f>SUMIFS(D2593:D3130,K2593:K3130,"0",B2593:B3130,"5 1 3 1 7 12 31111 6 M78 15000 171*")-SUMIFS(E2593:E3130,K2593:K3130,"0",B2593:B3130,"5 1 3 1 7 12 31111 6 M78 15000 171*")</f>
        <v>0</v>
      </c>
      <c r="E2592"/>
      <c r="F2592" s="31">
        <f>SUMIFS(F2593:F3130,K2593:K3130,"0",B2593:B3130,"5 1 3 1 7 12 31111 6 M78 15000 171*")</f>
        <v>80000</v>
      </c>
      <c r="G2592" s="31">
        <f>SUMIFS(G2593:G3130,K2593:K3130,"0",B2593:B3130,"5 1 3 1 7 12 31111 6 M78 15000 171*")</f>
        <v>0</v>
      </c>
      <c r="H2592" s="31">
        <f t="shared" si="41"/>
        <v>80000</v>
      </c>
      <c r="I2592" s="31"/>
      <c r="K2592" t="s">
        <v>13</v>
      </c>
    </row>
    <row r="2593" spans="2:11" ht="13" x14ac:dyDescent="0.15">
      <c r="B2593" s="29" t="s">
        <v>3309</v>
      </c>
      <c r="C2593" s="29" t="s">
        <v>285</v>
      </c>
      <c r="D2593" s="31">
        <f>SUMIFS(D2594:D3130,K2594:K3130,"0",B2594:B3130,"5 1 3 1 7 12 31111 6 M78 15000 171 00I*")-SUMIFS(E2594:E3130,K2594:K3130,"0",B2594:B3130,"5 1 3 1 7 12 31111 6 M78 15000 171 00I*")</f>
        <v>0</v>
      </c>
      <c r="E2593"/>
      <c r="F2593" s="31">
        <f>SUMIFS(F2594:F3130,K2594:K3130,"0",B2594:B3130,"5 1 3 1 7 12 31111 6 M78 15000 171 00I*")</f>
        <v>80000</v>
      </c>
      <c r="G2593" s="31">
        <f>SUMIFS(G2594:G3130,K2594:K3130,"0",B2594:B3130,"5 1 3 1 7 12 31111 6 M78 15000 171 00I*")</f>
        <v>0</v>
      </c>
      <c r="H2593" s="31">
        <f t="shared" si="41"/>
        <v>80000</v>
      </c>
      <c r="I2593" s="31"/>
      <c r="K2593" t="s">
        <v>13</v>
      </c>
    </row>
    <row r="2594" spans="2:11" ht="13" x14ac:dyDescent="0.15">
      <c r="B2594" s="29" t="s">
        <v>3310</v>
      </c>
      <c r="C2594" s="29" t="s">
        <v>32</v>
      </c>
      <c r="D2594" s="31">
        <f>SUMIFS(D2595:D3130,K2595:K3130,"0",B2595:B3130,"5 1 3 1 7 12 31111 6 M78 15000 171 00I 001*")-SUMIFS(E2595:E3130,K2595:K3130,"0",B2595:B3130,"5 1 3 1 7 12 31111 6 M78 15000 171 00I 001*")</f>
        <v>0</v>
      </c>
      <c r="E2594"/>
      <c r="F2594" s="31">
        <f>SUMIFS(F2595:F3130,K2595:K3130,"0",B2595:B3130,"5 1 3 1 7 12 31111 6 M78 15000 171 00I 001*")</f>
        <v>80000</v>
      </c>
      <c r="G2594" s="31">
        <f>SUMIFS(G2595:G3130,K2595:K3130,"0",B2595:B3130,"5 1 3 1 7 12 31111 6 M78 15000 171 00I 001*")</f>
        <v>0</v>
      </c>
      <c r="H2594" s="31">
        <f t="shared" si="41"/>
        <v>80000</v>
      </c>
      <c r="I2594" s="31"/>
      <c r="K2594" t="s">
        <v>13</v>
      </c>
    </row>
    <row r="2595" spans="2:11" ht="13" x14ac:dyDescent="0.15">
      <c r="B2595" s="29" t="s">
        <v>3311</v>
      </c>
      <c r="C2595" s="29" t="s">
        <v>3299</v>
      </c>
      <c r="D2595" s="31">
        <f>SUMIFS(D2596:D3130,K2596:K3130,"0",B2596:B3130,"5 1 3 1 7 12 31111 6 M78 15000 171 00I 001 31701*")-SUMIFS(E2596:E3130,K2596:K3130,"0",B2596:B3130,"5 1 3 1 7 12 31111 6 M78 15000 171 00I 001 31701*")</f>
        <v>0</v>
      </c>
      <c r="E2595"/>
      <c r="F2595" s="31">
        <f>SUMIFS(F2596:F3130,K2596:K3130,"0",B2596:B3130,"5 1 3 1 7 12 31111 6 M78 15000 171 00I 001 31701*")</f>
        <v>80000</v>
      </c>
      <c r="G2595" s="31">
        <f>SUMIFS(G2596:G3130,K2596:K3130,"0",B2596:B3130,"5 1 3 1 7 12 31111 6 M78 15000 171 00I 001 31701*")</f>
        <v>0</v>
      </c>
      <c r="H2595" s="31">
        <f t="shared" si="41"/>
        <v>80000</v>
      </c>
      <c r="I2595" s="31"/>
      <c r="K2595" t="s">
        <v>13</v>
      </c>
    </row>
    <row r="2596" spans="2:11" ht="22" x14ac:dyDescent="0.15">
      <c r="B2596" s="29" t="s">
        <v>3312</v>
      </c>
      <c r="C2596" s="29" t="s">
        <v>290</v>
      </c>
      <c r="D2596" s="31">
        <f>SUMIFS(D2597:D3130,K2597:K3130,"0",B2597:B3130,"5 1 3 1 7 12 31111 6 M78 15000 171 00I 001 31701 025*")-SUMIFS(E2597:E3130,K2597:K3130,"0",B2597:B3130,"5 1 3 1 7 12 31111 6 M78 15000 171 00I 001 31701 025*")</f>
        <v>0</v>
      </c>
      <c r="E2596"/>
      <c r="F2596" s="31">
        <f>SUMIFS(F2597:F3130,K2597:K3130,"0",B2597:B3130,"5 1 3 1 7 12 31111 6 M78 15000 171 00I 001 31701 025*")</f>
        <v>80000</v>
      </c>
      <c r="G2596" s="31">
        <f>SUMIFS(G2597:G3130,K2597:K3130,"0",B2597:B3130,"5 1 3 1 7 12 31111 6 M78 15000 171 00I 001 31701 025*")</f>
        <v>0</v>
      </c>
      <c r="H2596" s="31">
        <f t="shared" si="41"/>
        <v>80000</v>
      </c>
      <c r="I2596" s="31"/>
      <c r="K2596" t="s">
        <v>13</v>
      </c>
    </row>
    <row r="2597" spans="2:11" ht="22" x14ac:dyDescent="0.15">
      <c r="B2597" s="29" t="s">
        <v>3313</v>
      </c>
      <c r="C2597" s="29" t="s">
        <v>595</v>
      </c>
      <c r="D2597" s="31">
        <f>SUMIFS(D2598:D3130,K2598:K3130,"0",B2598:B3130,"5 1 3 1 7 12 31111 6 M78 15000 171 00I 001 31701 025 2112000*")-SUMIFS(E2598:E3130,K2598:K3130,"0",B2598:B3130,"5 1 3 1 7 12 31111 6 M78 15000 171 00I 001 31701 025 2112000*")</f>
        <v>0</v>
      </c>
      <c r="E2597"/>
      <c r="F2597" s="31">
        <f>SUMIFS(F2598:F3130,K2598:K3130,"0",B2598:B3130,"5 1 3 1 7 12 31111 6 M78 15000 171 00I 001 31701 025 2112000*")</f>
        <v>80000</v>
      </c>
      <c r="G2597" s="31">
        <f>SUMIFS(G2598:G3130,K2598:K3130,"0",B2598:B3130,"5 1 3 1 7 12 31111 6 M78 15000 171 00I 001 31701 025 2112000*")</f>
        <v>0</v>
      </c>
      <c r="H2597" s="31">
        <f t="shared" si="41"/>
        <v>80000</v>
      </c>
      <c r="I2597" s="31"/>
      <c r="K2597" t="s">
        <v>13</v>
      </c>
    </row>
    <row r="2598" spans="2:11" ht="22" x14ac:dyDescent="0.15">
      <c r="B2598" s="29" t="s">
        <v>3314</v>
      </c>
      <c r="C2598" s="29" t="s">
        <v>275</v>
      </c>
      <c r="D2598" s="31">
        <f>SUMIFS(D2599:D3130,K2599:K3130,"0",B2599:B3130,"5 1 3 1 7 12 31111 6 M78 15000 171 00I 001 31701 025 2112000 2024*")-SUMIFS(E2599:E3130,K2599:K3130,"0",B2599:B3130,"5 1 3 1 7 12 31111 6 M78 15000 171 00I 001 31701 025 2112000 2024*")</f>
        <v>0</v>
      </c>
      <c r="E2598"/>
      <c r="F2598" s="31">
        <f>SUMIFS(F2599:F3130,K2599:K3130,"0",B2599:B3130,"5 1 3 1 7 12 31111 6 M78 15000 171 00I 001 31701 025 2112000 2024*")</f>
        <v>80000</v>
      </c>
      <c r="G2598" s="31">
        <f>SUMIFS(G2599:G3130,K2599:K3130,"0",B2599:B3130,"5 1 3 1 7 12 31111 6 M78 15000 171 00I 001 31701 025 2112000 2024*")</f>
        <v>0</v>
      </c>
      <c r="H2598" s="31">
        <f t="shared" si="41"/>
        <v>80000</v>
      </c>
      <c r="I2598" s="31"/>
      <c r="K2598" t="s">
        <v>13</v>
      </c>
    </row>
    <row r="2599" spans="2:11" ht="22" x14ac:dyDescent="0.15">
      <c r="B2599" s="29" t="s">
        <v>3315</v>
      </c>
      <c r="C2599" s="29" t="s">
        <v>277</v>
      </c>
      <c r="D2599" s="31">
        <f>SUMIFS(D2600:D3130,K2600:K3130,"0",B2600:B3130,"5 1 3 1 7 12 31111 6 M78 15000 171 00I 001 31701 025 2112000 2024 00000000*")-SUMIFS(E2600:E3130,K2600:K3130,"0",B2600:B3130,"5 1 3 1 7 12 31111 6 M78 15000 171 00I 001 31701 025 2112000 2024 00000000*")</f>
        <v>0</v>
      </c>
      <c r="E2599"/>
      <c r="F2599" s="31">
        <f>SUMIFS(F2600:F3130,K2600:K3130,"0",B2600:B3130,"5 1 3 1 7 12 31111 6 M78 15000 171 00I 001 31701 025 2112000 2024 00000000*")</f>
        <v>80000</v>
      </c>
      <c r="G2599" s="31">
        <f>SUMIFS(G2600:G3130,K2600:K3130,"0",B2600:B3130,"5 1 3 1 7 12 31111 6 M78 15000 171 00I 001 31701 025 2112000 2024 00000000*")</f>
        <v>0</v>
      </c>
      <c r="H2599" s="31">
        <f t="shared" si="41"/>
        <v>80000</v>
      </c>
      <c r="I2599" s="31"/>
      <c r="K2599" t="s">
        <v>13</v>
      </c>
    </row>
    <row r="2600" spans="2:11" ht="22" x14ac:dyDescent="0.15">
      <c r="B2600" s="29" t="s">
        <v>3316</v>
      </c>
      <c r="C2600" s="29" t="s">
        <v>581</v>
      </c>
      <c r="D2600" s="31">
        <f>SUMIFS(D2601:D3130,K2601:K3130,"0",B2601:B3130,"5 1 3 1 7 12 31111 6 M78 15000 171 00I 001 31701 025 2112000 2024 00000000 003*")-SUMIFS(E2601:E3130,K2601:K3130,"0",B2601:B3130,"5 1 3 1 7 12 31111 6 M78 15000 171 00I 001 31701 025 2112000 2024 00000000 003*")</f>
        <v>0</v>
      </c>
      <c r="E2600"/>
      <c r="F2600" s="31">
        <f>SUMIFS(F2601:F3130,K2601:K3130,"0",B2601:B3130,"5 1 3 1 7 12 31111 6 M78 15000 171 00I 001 31701 025 2112000 2024 00000000 003*")</f>
        <v>80000</v>
      </c>
      <c r="G2600" s="31">
        <f>SUMIFS(G2601:G3130,K2601:K3130,"0",B2601:B3130,"5 1 3 1 7 12 31111 6 M78 15000 171 00I 001 31701 025 2112000 2024 00000000 003*")</f>
        <v>0</v>
      </c>
      <c r="H2600" s="31">
        <f t="shared" si="41"/>
        <v>80000</v>
      </c>
      <c r="I2600" s="31"/>
      <c r="K2600" t="s">
        <v>13</v>
      </c>
    </row>
    <row r="2601" spans="2:11" ht="22" x14ac:dyDescent="0.15">
      <c r="B2601" s="27" t="s">
        <v>3317</v>
      </c>
      <c r="C2601" s="27" t="s">
        <v>3318</v>
      </c>
      <c r="D2601" s="30">
        <v>0</v>
      </c>
      <c r="E2601" s="30"/>
      <c r="F2601" s="30">
        <v>80000</v>
      </c>
      <c r="G2601" s="30">
        <v>0</v>
      </c>
      <c r="H2601" s="30">
        <f t="shared" si="41"/>
        <v>80000</v>
      </c>
      <c r="I2601" s="30"/>
      <c r="K2601" t="s">
        <v>37</v>
      </c>
    </row>
    <row r="2602" spans="2:11" ht="13" x14ac:dyDescent="0.15">
      <c r="B2602" s="29" t="s">
        <v>3319</v>
      </c>
      <c r="C2602" s="29" t="s">
        <v>3320</v>
      </c>
      <c r="D2602" s="31">
        <f>SUMIFS(D2603:D3130,K2603:K3130,"0",B2603:B3130,"5 1 3 2*")-SUMIFS(E2603:E3130,K2603:K3130,"0",B2603:B3130,"5 1 3 2*")</f>
        <v>0</v>
      </c>
      <c r="E2602"/>
      <c r="F2602" s="31">
        <f>SUMIFS(F2603:F3130,K2603:K3130,"0",B2603:B3130,"5 1 3 2*")</f>
        <v>1433661.71</v>
      </c>
      <c r="G2602" s="31">
        <f>SUMIFS(G2603:G3130,K2603:K3130,"0",B2603:B3130,"5 1 3 2*")</f>
        <v>0</v>
      </c>
      <c r="H2602" s="31">
        <f t="shared" si="41"/>
        <v>1433661.71</v>
      </c>
      <c r="I2602" s="31"/>
      <c r="K2602" t="s">
        <v>13</v>
      </c>
    </row>
    <row r="2603" spans="2:11" ht="13" x14ac:dyDescent="0.15">
      <c r="B2603" s="29" t="s">
        <v>3321</v>
      </c>
      <c r="C2603" s="29" t="s">
        <v>3322</v>
      </c>
      <c r="D2603" s="31">
        <f>SUMIFS(D2604:D3130,K2604:K3130,"0",B2604:B3130,"5 1 3 2 5*")-SUMIFS(E2604:E3130,K2604:K3130,"0",B2604:B3130,"5 1 3 2 5*")</f>
        <v>0</v>
      </c>
      <c r="E2603"/>
      <c r="F2603" s="31">
        <f>SUMIFS(F2604:F3130,K2604:K3130,"0",B2604:B3130,"5 1 3 2 5*")</f>
        <v>634497.25</v>
      </c>
      <c r="G2603" s="31">
        <f>SUMIFS(G2604:G3130,K2604:K3130,"0",B2604:B3130,"5 1 3 2 5*")</f>
        <v>0</v>
      </c>
      <c r="H2603" s="31">
        <f t="shared" si="41"/>
        <v>634497.25</v>
      </c>
      <c r="I2603" s="31"/>
      <c r="K2603" t="s">
        <v>13</v>
      </c>
    </row>
    <row r="2604" spans="2:11" ht="13" x14ac:dyDescent="0.15">
      <c r="B2604" s="29" t="s">
        <v>3323</v>
      </c>
      <c r="C2604" s="29" t="s">
        <v>24</v>
      </c>
      <c r="D2604" s="31">
        <f>SUMIFS(D2605:D3130,K2605:K3130,"0",B2605:B3130,"5 1 3 2 5 12*")-SUMIFS(E2605:E3130,K2605:K3130,"0",B2605:B3130,"5 1 3 2 5 12*")</f>
        <v>0</v>
      </c>
      <c r="E2604"/>
      <c r="F2604" s="31">
        <f>SUMIFS(F2605:F3130,K2605:K3130,"0",B2605:B3130,"5 1 3 2 5 12*")</f>
        <v>634497.25</v>
      </c>
      <c r="G2604" s="31">
        <f>SUMIFS(G2605:G3130,K2605:K3130,"0",B2605:B3130,"5 1 3 2 5 12*")</f>
        <v>0</v>
      </c>
      <c r="H2604" s="31">
        <f t="shared" si="41"/>
        <v>634497.25</v>
      </c>
      <c r="I2604" s="31"/>
      <c r="K2604" t="s">
        <v>13</v>
      </c>
    </row>
    <row r="2605" spans="2:11" ht="13" x14ac:dyDescent="0.15">
      <c r="B2605" s="29" t="s">
        <v>3324</v>
      </c>
      <c r="C2605" s="29" t="s">
        <v>26</v>
      </c>
      <c r="D2605" s="31">
        <f>SUMIFS(D2606:D3130,K2606:K3130,"0",B2606:B3130,"5 1 3 2 5 12 31111*")-SUMIFS(E2606:E3130,K2606:K3130,"0",B2606:B3130,"5 1 3 2 5 12 31111*")</f>
        <v>0</v>
      </c>
      <c r="E2605"/>
      <c r="F2605" s="31">
        <f>SUMIFS(F2606:F3130,K2606:K3130,"0",B2606:B3130,"5 1 3 2 5 12 31111*")</f>
        <v>634497.25</v>
      </c>
      <c r="G2605" s="31">
        <f>SUMIFS(G2606:G3130,K2606:K3130,"0",B2606:B3130,"5 1 3 2 5 12 31111*")</f>
        <v>0</v>
      </c>
      <c r="H2605" s="31">
        <f t="shared" si="41"/>
        <v>634497.25</v>
      </c>
      <c r="I2605" s="31"/>
      <c r="K2605" t="s">
        <v>13</v>
      </c>
    </row>
    <row r="2606" spans="2:11" ht="13" x14ac:dyDescent="0.15">
      <c r="B2606" s="29" t="s">
        <v>3325</v>
      </c>
      <c r="C2606" s="29" t="s">
        <v>28</v>
      </c>
      <c r="D2606" s="31">
        <f>SUMIFS(D2607:D3130,K2607:K3130,"0",B2607:B3130,"5 1 3 2 5 12 31111 6*")-SUMIFS(E2607:E3130,K2607:K3130,"0",B2607:B3130,"5 1 3 2 5 12 31111 6*")</f>
        <v>0</v>
      </c>
      <c r="E2606"/>
      <c r="F2606" s="31">
        <f>SUMIFS(F2607:F3130,K2607:K3130,"0",B2607:B3130,"5 1 3 2 5 12 31111 6*")</f>
        <v>634497.25</v>
      </c>
      <c r="G2606" s="31">
        <f>SUMIFS(G2607:G3130,K2607:K3130,"0",B2607:B3130,"5 1 3 2 5 12 31111 6*")</f>
        <v>0</v>
      </c>
      <c r="H2606" s="31">
        <f t="shared" si="41"/>
        <v>634497.25</v>
      </c>
      <c r="I2606" s="31"/>
      <c r="K2606" t="s">
        <v>13</v>
      </c>
    </row>
    <row r="2607" spans="2:11" ht="13" x14ac:dyDescent="0.15">
      <c r="B2607" s="29" t="s">
        <v>3326</v>
      </c>
      <c r="C2607" s="29" t="s">
        <v>1567</v>
      </c>
      <c r="D2607" s="31">
        <f>SUMIFS(D2608:D3130,K2608:K3130,"0",B2608:B3130,"5 1 3 2 5 12 31111 6 M78*")-SUMIFS(E2608:E3130,K2608:K3130,"0",B2608:B3130,"5 1 3 2 5 12 31111 6 M78*")</f>
        <v>0</v>
      </c>
      <c r="E2607"/>
      <c r="F2607" s="31">
        <f>SUMIFS(F2608:F3130,K2608:K3130,"0",B2608:B3130,"5 1 3 2 5 12 31111 6 M78*")</f>
        <v>634497.25</v>
      </c>
      <c r="G2607" s="31">
        <f>SUMIFS(G2608:G3130,K2608:K3130,"0",B2608:B3130,"5 1 3 2 5 12 31111 6 M78*")</f>
        <v>0</v>
      </c>
      <c r="H2607" s="31">
        <f t="shared" si="41"/>
        <v>634497.25</v>
      </c>
      <c r="I2607" s="31"/>
      <c r="K2607" t="s">
        <v>13</v>
      </c>
    </row>
    <row r="2608" spans="2:11" ht="13" x14ac:dyDescent="0.15">
      <c r="B2608" s="29" t="s">
        <v>3327</v>
      </c>
      <c r="C2608" s="29" t="s">
        <v>261</v>
      </c>
      <c r="D2608" s="31">
        <f>SUMIFS(D2609:D3130,K2609:K3130,"0",B2609:B3130,"5 1 3 2 5 12 31111 6 M78 10000*")-SUMIFS(E2609:E3130,K2609:K3130,"0",B2609:B3130,"5 1 3 2 5 12 31111 6 M78 10000*")</f>
        <v>0</v>
      </c>
      <c r="E2608"/>
      <c r="F2608" s="31">
        <f>SUMIFS(F2609:F3130,K2609:K3130,"0",B2609:B3130,"5 1 3 2 5 12 31111 6 M78 10000*")</f>
        <v>634497.25</v>
      </c>
      <c r="G2608" s="31">
        <f>SUMIFS(G2609:G3130,K2609:K3130,"0",B2609:B3130,"5 1 3 2 5 12 31111 6 M78 10000*")</f>
        <v>0</v>
      </c>
      <c r="H2608" s="31">
        <f t="shared" si="41"/>
        <v>634497.25</v>
      </c>
      <c r="I2608" s="31"/>
      <c r="K2608" t="s">
        <v>13</v>
      </c>
    </row>
    <row r="2609" spans="2:11" ht="13" x14ac:dyDescent="0.15">
      <c r="B2609" s="29" t="s">
        <v>3328</v>
      </c>
      <c r="C2609" s="29" t="s">
        <v>588</v>
      </c>
      <c r="D2609" s="31">
        <f>SUMIFS(D2610:D3130,K2610:K3130,"0",B2610:B3130,"5 1 3 2 5 12 31111 6 M78 10000 151*")-SUMIFS(E2610:E3130,K2610:K3130,"0",B2610:B3130,"5 1 3 2 5 12 31111 6 M78 10000 151*")</f>
        <v>0</v>
      </c>
      <c r="E2609"/>
      <c r="F2609" s="31">
        <f>SUMIFS(F2610:F3130,K2610:K3130,"0",B2610:B3130,"5 1 3 2 5 12 31111 6 M78 10000 151*")</f>
        <v>634497.25</v>
      </c>
      <c r="G2609" s="31">
        <f>SUMIFS(G2610:G3130,K2610:K3130,"0",B2610:B3130,"5 1 3 2 5 12 31111 6 M78 10000 151*")</f>
        <v>0</v>
      </c>
      <c r="H2609" s="31">
        <f t="shared" si="41"/>
        <v>634497.25</v>
      </c>
      <c r="I2609" s="31"/>
      <c r="K2609" t="s">
        <v>13</v>
      </c>
    </row>
    <row r="2610" spans="2:11" ht="13" x14ac:dyDescent="0.15">
      <c r="B2610" s="29" t="s">
        <v>3329</v>
      </c>
      <c r="C2610" s="29" t="s">
        <v>285</v>
      </c>
      <c r="D2610" s="31">
        <f>SUMIFS(D2611:D3130,K2611:K3130,"0",B2611:B3130,"5 1 3 2 5 12 31111 6 M78 10000 151 00I*")-SUMIFS(E2611:E3130,K2611:K3130,"0",B2611:B3130,"5 1 3 2 5 12 31111 6 M78 10000 151 00I*")</f>
        <v>0</v>
      </c>
      <c r="E2610"/>
      <c r="F2610" s="31">
        <f>SUMIFS(F2611:F3130,K2611:K3130,"0",B2611:B3130,"5 1 3 2 5 12 31111 6 M78 10000 151 00I*")</f>
        <v>634497.25</v>
      </c>
      <c r="G2610" s="31">
        <f>SUMIFS(G2611:G3130,K2611:K3130,"0",B2611:B3130,"5 1 3 2 5 12 31111 6 M78 10000 151 00I*")</f>
        <v>0</v>
      </c>
      <c r="H2610" s="31">
        <f t="shared" si="41"/>
        <v>634497.25</v>
      </c>
      <c r="I2610" s="31"/>
      <c r="K2610" t="s">
        <v>13</v>
      </c>
    </row>
    <row r="2611" spans="2:11" ht="13" x14ac:dyDescent="0.15">
      <c r="B2611" s="29" t="s">
        <v>3330</v>
      </c>
      <c r="C2611" s="29" t="s">
        <v>32</v>
      </c>
      <c r="D2611" s="31">
        <f>SUMIFS(D2612:D3130,K2612:K3130,"0",B2612:B3130,"5 1 3 2 5 12 31111 6 M78 10000 151 00I 001*")-SUMIFS(E2612:E3130,K2612:K3130,"0",B2612:B3130,"5 1 3 2 5 12 31111 6 M78 10000 151 00I 001*")</f>
        <v>0</v>
      </c>
      <c r="E2611"/>
      <c r="F2611" s="31">
        <f>SUMIFS(F2612:F3130,K2612:K3130,"0",B2612:B3130,"5 1 3 2 5 12 31111 6 M78 10000 151 00I 001*")</f>
        <v>634497.25</v>
      </c>
      <c r="G2611" s="31">
        <f>SUMIFS(G2612:G3130,K2612:K3130,"0",B2612:B3130,"5 1 3 2 5 12 31111 6 M78 10000 151 00I 001*")</f>
        <v>0</v>
      </c>
      <c r="H2611" s="31">
        <f t="shared" si="41"/>
        <v>634497.25</v>
      </c>
      <c r="I2611" s="31"/>
      <c r="K2611" t="s">
        <v>13</v>
      </c>
    </row>
    <row r="2612" spans="2:11" ht="22" x14ac:dyDescent="0.15">
      <c r="B2612" s="29" t="s">
        <v>3331</v>
      </c>
      <c r="C2612" s="29" t="s">
        <v>3332</v>
      </c>
      <c r="D2612" s="31">
        <f>SUMIFS(D2613:D3130,K2613:K3130,"0",B2613:B3130,"5 1 3 2 5 12 31111 6 M78 10000 151 00I 001 32503*")-SUMIFS(E2613:E3130,K2613:K3130,"0",B2613:B3130,"5 1 3 2 5 12 31111 6 M78 10000 151 00I 001 32503*")</f>
        <v>0</v>
      </c>
      <c r="E2612"/>
      <c r="F2612" s="31">
        <f>SUMIFS(F2613:F3130,K2613:K3130,"0",B2613:B3130,"5 1 3 2 5 12 31111 6 M78 10000 151 00I 001 32503*")</f>
        <v>634497.25</v>
      </c>
      <c r="G2612" s="31">
        <f>SUMIFS(G2613:G3130,K2613:K3130,"0",B2613:B3130,"5 1 3 2 5 12 31111 6 M78 10000 151 00I 001 32503*")</f>
        <v>0</v>
      </c>
      <c r="H2612" s="31">
        <f t="shared" si="41"/>
        <v>634497.25</v>
      </c>
      <c r="I2612" s="31"/>
      <c r="K2612" t="s">
        <v>13</v>
      </c>
    </row>
    <row r="2613" spans="2:11" ht="22" x14ac:dyDescent="0.15">
      <c r="B2613" s="29" t="s">
        <v>3333</v>
      </c>
      <c r="C2613" s="29" t="s">
        <v>290</v>
      </c>
      <c r="D2613" s="31">
        <f>SUMIFS(D2614:D3130,K2614:K3130,"0",B2614:B3130,"5 1 3 2 5 12 31111 6 M78 10000 151 00I 001 32503 025*")-SUMIFS(E2614:E3130,K2614:K3130,"0",B2614:B3130,"5 1 3 2 5 12 31111 6 M78 10000 151 00I 001 32503 025*")</f>
        <v>0</v>
      </c>
      <c r="E2613"/>
      <c r="F2613" s="31">
        <f>SUMIFS(F2614:F3130,K2614:K3130,"0",B2614:B3130,"5 1 3 2 5 12 31111 6 M78 10000 151 00I 001 32503 025*")</f>
        <v>634497.25</v>
      </c>
      <c r="G2613" s="31">
        <f>SUMIFS(G2614:G3130,K2614:K3130,"0",B2614:B3130,"5 1 3 2 5 12 31111 6 M78 10000 151 00I 001 32503 025*")</f>
        <v>0</v>
      </c>
      <c r="H2613" s="31">
        <f t="shared" si="41"/>
        <v>634497.25</v>
      </c>
      <c r="I2613" s="31"/>
      <c r="K2613" t="s">
        <v>13</v>
      </c>
    </row>
    <row r="2614" spans="2:11" ht="22" x14ac:dyDescent="0.15">
      <c r="B2614" s="29" t="s">
        <v>3334</v>
      </c>
      <c r="C2614" s="29" t="s">
        <v>595</v>
      </c>
      <c r="D2614" s="31">
        <f>SUMIFS(D2615:D3130,K2615:K3130,"0",B2615:B3130,"5 1 3 2 5 12 31111 6 M78 10000 151 00I 001 32503 025 2112000*")-SUMIFS(E2615:E3130,K2615:K3130,"0",B2615:B3130,"5 1 3 2 5 12 31111 6 M78 10000 151 00I 001 32503 025 2112000*")</f>
        <v>0</v>
      </c>
      <c r="E2614"/>
      <c r="F2614" s="31">
        <f>SUMIFS(F2615:F3130,K2615:K3130,"0",B2615:B3130,"5 1 3 2 5 12 31111 6 M78 10000 151 00I 001 32503 025 2112000*")</f>
        <v>634497.25</v>
      </c>
      <c r="G2614" s="31">
        <f>SUMIFS(G2615:G3130,K2615:K3130,"0",B2615:B3130,"5 1 3 2 5 12 31111 6 M78 10000 151 00I 001 32503 025 2112000*")</f>
        <v>0</v>
      </c>
      <c r="H2614" s="31">
        <f t="shared" si="41"/>
        <v>634497.25</v>
      </c>
      <c r="I2614" s="31"/>
      <c r="K2614" t="s">
        <v>13</v>
      </c>
    </row>
    <row r="2615" spans="2:11" ht="22" x14ac:dyDescent="0.15">
      <c r="B2615" s="29" t="s">
        <v>3335</v>
      </c>
      <c r="C2615" s="29" t="s">
        <v>275</v>
      </c>
      <c r="D2615" s="31">
        <f>SUMIFS(D2616:D3130,K2616:K3130,"0",B2616:B3130,"5 1 3 2 5 12 31111 6 M78 10000 151 00I 001 32503 025 2112000 2024*")-SUMIFS(E2616:E3130,K2616:K3130,"0",B2616:B3130,"5 1 3 2 5 12 31111 6 M78 10000 151 00I 001 32503 025 2112000 2024*")</f>
        <v>0</v>
      </c>
      <c r="E2615"/>
      <c r="F2615" s="31">
        <f>SUMIFS(F2616:F3130,K2616:K3130,"0",B2616:B3130,"5 1 3 2 5 12 31111 6 M78 10000 151 00I 001 32503 025 2112000 2024*")</f>
        <v>634497.25</v>
      </c>
      <c r="G2615" s="31">
        <f>SUMIFS(G2616:G3130,K2616:K3130,"0",B2616:B3130,"5 1 3 2 5 12 31111 6 M78 10000 151 00I 001 32503 025 2112000 2024*")</f>
        <v>0</v>
      </c>
      <c r="H2615" s="31">
        <f t="shared" si="41"/>
        <v>634497.25</v>
      </c>
      <c r="I2615" s="31"/>
      <c r="K2615" t="s">
        <v>13</v>
      </c>
    </row>
    <row r="2616" spans="2:11" ht="22" x14ac:dyDescent="0.15">
      <c r="B2616" s="29" t="s">
        <v>3336</v>
      </c>
      <c r="C2616" s="29" t="s">
        <v>277</v>
      </c>
      <c r="D2616" s="31">
        <f>SUMIFS(D2617:D3130,K2617:K3130,"0",B2617:B3130,"5 1 3 2 5 12 31111 6 M78 10000 151 00I 001 32503 025 2112000 2024 00000000*")-SUMIFS(E2617:E3130,K2617:K3130,"0",B2617:B3130,"5 1 3 2 5 12 31111 6 M78 10000 151 00I 001 32503 025 2112000 2024 00000000*")</f>
        <v>0</v>
      </c>
      <c r="E2616"/>
      <c r="F2616" s="31">
        <f>SUMIFS(F2617:F3130,K2617:K3130,"0",B2617:B3130,"5 1 3 2 5 12 31111 6 M78 10000 151 00I 001 32503 025 2112000 2024 00000000*")</f>
        <v>634497.25</v>
      </c>
      <c r="G2616" s="31">
        <f>SUMIFS(G2617:G3130,K2617:K3130,"0",B2617:B3130,"5 1 3 2 5 12 31111 6 M78 10000 151 00I 001 32503 025 2112000 2024 00000000*")</f>
        <v>0</v>
      </c>
      <c r="H2616" s="31">
        <f t="shared" si="41"/>
        <v>634497.25</v>
      </c>
      <c r="I2616" s="31"/>
      <c r="K2616" t="s">
        <v>13</v>
      </c>
    </row>
    <row r="2617" spans="2:11" ht="22" x14ac:dyDescent="0.15">
      <c r="B2617" s="29" t="s">
        <v>3337</v>
      </c>
      <c r="C2617" s="29" t="s">
        <v>1567</v>
      </c>
      <c r="D2617" s="31">
        <f>SUMIFS(D2618:D3130,K2618:K3130,"0",B2618:B3130,"5 1 3 2 5 12 31111 6 M78 10000 151 00I 001 32503 025 2112000 2024 00000000 003*")-SUMIFS(E2618:E3130,K2618:K3130,"0",B2618:B3130,"5 1 3 2 5 12 31111 6 M78 10000 151 00I 001 32503 025 2112000 2024 00000000 003*")</f>
        <v>0</v>
      </c>
      <c r="E2617"/>
      <c r="F2617" s="31">
        <f>SUMIFS(F2618:F3130,K2618:K3130,"0",B2618:B3130,"5 1 3 2 5 12 31111 6 M78 10000 151 00I 001 32503 025 2112000 2024 00000000 003*")</f>
        <v>634497.25</v>
      </c>
      <c r="G2617" s="31">
        <f>SUMIFS(G2618:G3130,K2618:K3130,"0",B2618:B3130,"5 1 3 2 5 12 31111 6 M78 10000 151 00I 001 32503 025 2112000 2024 00000000 003*")</f>
        <v>0</v>
      </c>
      <c r="H2617" s="31">
        <f t="shared" si="41"/>
        <v>634497.25</v>
      </c>
      <c r="I2617" s="31"/>
      <c r="K2617" t="s">
        <v>13</v>
      </c>
    </row>
    <row r="2618" spans="2:11" ht="22" x14ac:dyDescent="0.15">
      <c r="B2618" s="27" t="s">
        <v>3338</v>
      </c>
      <c r="C2618" s="27" t="s">
        <v>3339</v>
      </c>
      <c r="D2618" s="30">
        <v>0</v>
      </c>
      <c r="E2618" s="30"/>
      <c r="F2618" s="30">
        <v>634497.25</v>
      </c>
      <c r="G2618" s="30">
        <v>0</v>
      </c>
      <c r="H2618" s="30">
        <f t="shared" si="41"/>
        <v>634497.25</v>
      </c>
      <c r="I2618" s="30"/>
      <c r="K2618" t="s">
        <v>37</v>
      </c>
    </row>
    <row r="2619" spans="2:11" ht="13" x14ac:dyDescent="0.15">
      <c r="B2619" s="29" t="s">
        <v>3340</v>
      </c>
      <c r="C2619" s="29" t="s">
        <v>3341</v>
      </c>
      <c r="D2619" s="31">
        <f>SUMIFS(D2620:D3130,K2620:K3130,"0",B2620:B3130,"5 1 3 2 9*")-SUMIFS(E2620:E3130,K2620:K3130,"0",B2620:B3130,"5 1 3 2 9*")</f>
        <v>0</v>
      </c>
      <c r="E2619"/>
      <c r="F2619" s="31">
        <f>SUMIFS(F2620:F3130,K2620:K3130,"0",B2620:B3130,"5 1 3 2 9*")</f>
        <v>799164.46</v>
      </c>
      <c r="G2619" s="31">
        <f>SUMIFS(G2620:G3130,K2620:K3130,"0",B2620:B3130,"5 1 3 2 9*")</f>
        <v>0</v>
      </c>
      <c r="H2619" s="31">
        <f t="shared" si="41"/>
        <v>799164.46</v>
      </c>
      <c r="I2619" s="31"/>
      <c r="K2619" t="s">
        <v>13</v>
      </c>
    </row>
    <row r="2620" spans="2:11" ht="13" x14ac:dyDescent="0.15">
      <c r="B2620" s="29" t="s">
        <v>3342</v>
      </c>
      <c r="C2620" s="29" t="s">
        <v>24</v>
      </c>
      <c r="D2620" s="31">
        <f>SUMIFS(D2621:D3130,K2621:K3130,"0",B2621:B3130,"5 1 3 2 9 12*")-SUMIFS(E2621:E3130,K2621:K3130,"0",B2621:B3130,"5 1 3 2 9 12*")</f>
        <v>0</v>
      </c>
      <c r="E2620"/>
      <c r="F2620" s="31">
        <f>SUMIFS(F2621:F3130,K2621:K3130,"0",B2621:B3130,"5 1 3 2 9 12*")</f>
        <v>799164.46</v>
      </c>
      <c r="G2620" s="31">
        <f>SUMIFS(G2621:G3130,K2621:K3130,"0",B2621:B3130,"5 1 3 2 9 12*")</f>
        <v>0</v>
      </c>
      <c r="H2620" s="31">
        <f t="shared" si="41"/>
        <v>799164.46</v>
      </c>
      <c r="I2620" s="31"/>
      <c r="K2620" t="s">
        <v>13</v>
      </c>
    </row>
    <row r="2621" spans="2:11" ht="13" x14ac:dyDescent="0.15">
      <c r="B2621" s="29" t="s">
        <v>3343</v>
      </c>
      <c r="C2621" s="29" t="s">
        <v>26</v>
      </c>
      <c r="D2621" s="31">
        <f>SUMIFS(D2622:D3130,K2622:K3130,"0",B2622:B3130,"5 1 3 2 9 12 31111*")-SUMIFS(E2622:E3130,K2622:K3130,"0",B2622:B3130,"5 1 3 2 9 12 31111*")</f>
        <v>0</v>
      </c>
      <c r="E2621"/>
      <c r="F2621" s="31">
        <f>SUMIFS(F2622:F3130,K2622:K3130,"0",B2622:B3130,"5 1 3 2 9 12 31111*")</f>
        <v>799164.46</v>
      </c>
      <c r="G2621" s="31">
        <f>SUMIFS(G2622:G3130,K2622:K3130,"0",B2622:B3130,"5 1 3 2 9 12 31111*")</f>
        <v>0</v>
      </c>
      <c r="H2621" s="31">
        <f t="shared" si="41"/>
        <v>799164.46</v>
      </c>
      <c r="I2621" s="31"/>
      <c r="K2621" t="s">
        <v>13</v>
      </c>
    </row>
    <row r="2622" spans="2:11" ht="13" x14ac:dyDescent="0.15">
      <c r="B2622" s="29" t="s">
        <v>3344</v>
      </c>
      <c r="C2622" s="29" t="s">
        <v>28</v>
      </c>
      <c r="D2622" s="31">
        <f>SUMIFS(D2623:D3130,K2623:K3130,"0",B2623:B3130,"5 1 3 2 9 12 31111 6*")-SUMIFS(E2623:E3130,K2623:K3130,"0",B2623:B3130,"5 1 3 2 9 12 31111 6*")</f>
        <v>0</v>
      </c>
      <c r="E2622"/>
      <c r="F2622" s="31">
        <f>SUMIFS(F2623:F3130,K2623:K3130,"0",B2623:B3130,"5 1 3 2 9 12 31111 6*")</f>
        <v>799164.46</v>
      </c>
      <c r="G2622" s="31">
        <f>SUMIFS(G2623:G3130,K2623:K3130,"0",B2623:B3130,"5 1 3 2 9 12 31111 6*")</f>
        <v>0</v>
      </c>
      <c r="H2622" s="31">
        <f t="shared" si="41"/>
        <v>799164.46</v>
      </c>
      <c r="I2622" s="31"/>
      <c r="K2622" t="s">
        <v>13</v>
      </c>
    </row>
    <row r="2623" spans="2:11" ht="13" x14ac:dyDescent="0.15">
      <c r="B2623" s="29" t="s">
        <v>3345</v>
      </c>
      <c r="C2623" s="29" t="s">
        <v>1567</v>
      </c>
      <c r="D2623" s="31">
        <f>SUMIFS(D2624:D3130,K2624:K3130,"0",B2624:B3130,"5 1 3 2 9 12 31111 6 M78*")-SUMIFS(E2624:E3130,K2624:K3130,"0",B2624:B3130,"5 1 3 2 9 12 31111 6 M78*")</f>
        <v>0</v>
      </c>
      <c r="E2623"/>
      <c r="F2623" s="31">
        <f>SUMIFS(F2624:F3130,K2624:K3130,"0",B2624:B3130,"5 1 3 2 9 12 31111 6 M78*")</f>
        <v>799164.46</v>
      </c>
      <c r="G2623" s="31">
        <f>SUMIFS(G2624:G3130,K2624:K3130,"0",B2624:B3130,"5 1 3 2 9 12 31111 6 M78*")</f>
        <v>0</v>
      </c>
      <c r="H2623" s="31">
        <f t="shared" si="41"/>
        <v>799164.46</v>
      </c>
      <c r="I2623" s="31"/>
      <c r="K2623" t="s">
        <v>13</v>
      </c>
    </row>
    <row r="2624" spans="2:11" ht="13" x14ac:dyDescent="0.15">
      <c r="B2624" s="29" t="s">
        <v>3346</v>
      </c>
      <c r="C2624" s="29" t="s">
        <v>8</v>
      </c>
      <c r="D2624" s="31">
        <f>SUMIFS(D2625:D3130,K2625:K3130,"0",B2625:B3130,"5 1 3 2 9 12 31111 6 M78 07000*")-SUMIFS(E2625:E3130,K2625:K3130,"0",B2625:B3130,"5 1 3 2 9 12 31111 6 M78 07000*")</f>
        <v>0</v>
      </c>
      <c r="E2624"/>
      <c r="F2624" s="31">
        <f>SUMIFS(F2625:F3130,K2625:K3130,"0",B2625:B3130,"5 1 3 2 9 12 31111 6 M78 07000*")</f>
        <v>799164.46</v>
      </c>
      <c r="G2624" s="31">
        <f>SUMIFS(G2625:G3130,K2625:K3130,"0",B2625:B3130,"5 1 3 2 9 12 31111 6 M78 07000*")</f>
        <v>0</v>
      </c>
      <c r="H2624" s="31">
        <f t="shared" si="41"/>
        <v>799164.46</v>
      </c>
      <c r="I2624" s="31"/>
      <c r="K2624" t="s">
        <v>13</v>
      </c>
    </row>
    <row r="2625" spans="2:11" ht="13" x14ac:dyDescent="0.15">
      <c r="B2625" s="29" t="s">
        <v>3347</v>
      </c>
      <c r="C2625" s="29" t="s">
        <v>588</v>
      </c>
      <c r="D2625" s="31">
        <f>SUMIFS(D2626:D3130,K2626:K3130,"0",B2626:B3130,"5 1 3 2 9 12 31111 6 M78 07000 151*")-SUMIFS(E2626:E3130,K2626:K3130,"0",B2626:B3130,"5 1 3 2 9 12 31111 6 M78 07000 151*")</f>
        <v>0</v>
      </c>
      <c r="E2625"/>
      <c r="F2625" s="31">
        <f>SUMIFS(F2626:F3130,K2626:K3130,"0",B2626:B3130,"5 1 3 2 9 12 31111 6 M78 07000 151*")</f>
        <v>799164.46</v>
      </c>
      <c r="G2625" s="31">
        <f>SUMIFS(G2626:G3130,K2626:K3130,"0",B2626:B3130,"5 1 3 2 9 12 31111 6 M78 07000 151*")</f>
        <v>0</v>
      </c>
      <c r="H2625" s="31">
        <f t="shared" si="41"/>
        <v>799164.46</v>
      </c>
      <c r="I2625" s="31"/>
      <c r="K2625" t="s">
        <v>13</v>
      </c>
    </row>
    <row r="2626" spans="2:11" ht="13" x14ac:dyDescent="0.15">
      <c r="B2626" s="29" t="s">
        <v>3348</v>
      </c>
      <c r="C2626" s="29" t="s">
        <v>265</v>
      </c>
      <c r="D2626" s="31">
        <f>SUMIFS(D2627:D3130,K2627:K3130,"0",B2627:B3130,"5 1 3 2 9 12 31111 6 M78 07000 151 00C*")-SUMIFS(E2627:E3130,K2627:K3130,"0",B2627:B3130,"5 1 3 2 9 12 31111 6 M78 07000 151 00C*")</f>
        <v>0</v>
      </c>
      <c r="E2626"/>
      <c r="F2626" s="31">
        <f>SUMIFS(F2627:F3130,K2627:K3130,"0",B2627:B3130,"5 1 3 2 9 12 31111 6 M78 07000 151 00C*")</f>
        <v>799164.46</v>
      </c>
      <c r="G2626" s="31">
        <f>SUMIFS(G2627:G3130,K2627:K3130,"0",B2627:B3130,"5 1 3 2 9 12 31111 6 M78 07000 151 00C*")</f>
        <v>0</v>
      </c>
      <c r="H2626" s="31">
        <f t="shared" si="41"/>
        <v>799164.46</v>
      </c>
      <c r="I2626" s="31"/>
      <c r="K2626" t="s">
        <v>13</v>
      </c>
    </row>
    <row r="2627" spans="2:11" ht="13" x14ac:dyDescent="0.15">
      <c r="B2627" s="29" t="s">
        <v>3349</v>
      </c>
      <c r="C2627" s="29" t="s">
        <v>32</v>
      </c>
      <c r="D2627" s="31">
        <f>SUMIFS(D2628:D3130,K2628:K3130,"0",B2628:B3130,"5 1 3 2 9 12 31111 6 M78 07000 151 00C 001*")-SUMIFS(E2628:E3130,K2628:K3130,"0",B2628:B3130,"5 1 3 2 9 12 31111 6 M78 07000 151 00C 001*")</f>
        <v>0</v>
      </c>
      <c r="E2627"/>
      <c r="F2627" s="31">
        <f>SUMIFS(F2628:F3130,K2628:K3130,"0",B2628:B3130,"5 1 3 2 9 12 31111 6 M78 07000 151 00C 001*")</f>
        <v>799164.46</v>
      </c>
      <c r="G2627" s="31">
        <f>SUMIFS(G2628:G3130,K2628:K3130,"0",B2628:B3130,"5 1 3 2 9 12 31111 6 M78 07000 151 00C 001*")</f>
        <v>0</v>
      </c>
      <c r="H2627" s="31">
        <f t="shared" si="41"/>
        <v>799164.46</v>
      </c>
      <c r="I2627" s="31"/>
      <c r="K2627" t="s">
        <v>13</v>
      </c>
    </row>
    <row r="2628" spans="2:11" ht="13" x14ac:dyDescent="0.15">
      <c r="B2628" s="29" t="s">
        <v>3350</v>
      </c>
      <c r="C2628" s="29" t="s">
        <v>3351</v>
      </c>
      <c r="D2628" s="31">
        <f>SUMIFS(D2629:D3130,K2629:K3130,"0",B2629:B3130,"5 1 3 2 9 12 31111 6 M78 07000 151 00C 001 32903*")-SUMIFS(E2629:E3130,K2629:K3130,"0",B2629:B3130,"5 1 3 2 9 12 31111 6 M78 07000 151 00C 001 32903*")</f>
        <v>0</v>
      </c>
      <c r="E2628"/>
      <c r="F2628" s="31">
        <f>SUMIFS(F2629:F3130,K2629:K3130,"0",B2629:B3130,"5 1 3 2 9 12 31111 6 M78 07000 151 00C 001 32903*")</f>
        <v>799164.46</v>
      </c>
      <c r="G2628" s="31">
        <f>SUMIFS(G2629:G3130,K2629:K3130,"0",B2629:B3130,"5 1 3 2 9 12 31111 6 M78 07000 151 00C 001 32903*")</f>
        <v>0</v>
      </c>
      <c r="H2628" s="31">
        <f t="shared" si="41"/>
        <v>799164.46</v>
      </c>
      <c r="I2628" s="31"/>
      <c r="K2628" t="s">
        <v>13</v>
      </c>
    </row>
    <row r="2629" spans="2:11" ht="22" x14ac:dyDescent="0.15">
      <c r="B2629" s="29" t="s">
        <v>3352</v>
      </c>
      <c r="C2629" s="29" t="s">
        <v>271</v>
      </c>
      <c r="D2629" s="31">
        <f>SUMIFS(D2630:D3130,K2630:K3130,"0",B2630:B3130,"5 1 3 2 9 12 31111 6 M78 07000 151 00C 001 32903 015*")-SUMIFS(E2630:E3130,K2630:K3130,"0",B2630:B3130,"5 1 3 2 9 12 31111 6 M78 07000 151 00C 001 32903 015*")</f>
        <v>0</v>
      </c>
      <c r="E2629"/>
      <c r="F2629" s="31">
        <f>SUMIFS(F2630:F3130,K2630:K3130,"0",B2630:B3130,"5 1 3 2 9 12 31111 6 M78 07000 151 00C 001 32903 015*")</f>
        <v>799164.46</v>
      </c>
      <c r="G2629" s="31">
        <f>SUMIFS(G2630:G3130,K2630:K3130,"0",B2630:B3130,"5 1 3 2 9 12 31111 6 M78 07000 151 00C 001 32903 015*")</f>
        <v>0</v>
      </c>
      <c r="H2629" s="31">
        <f t="shared" si="41"/>
        <v>799164.46</v>
      </c>
      <c r="I2629" s="31"/>
      <c r="K2629" t="s">
        <v>13</v>
      </c>
    </row>
    <row r="2630" spans="2:11" ht="22" x14ac:dyDescent="0.15">
      <c r="B2630" s="29" t="s">
        <v>3353</v>
      </c>
      <c r="C2630" s="29" t="s">
        <v>595</v>
      </c>
      <c r="D2630" s="31">
        <f>SUMIFS(D2631:D3130,K2631:K3130,"0",B2631:B3130,"5 1 3 2 9 12 31111 6 M78 07000 151 00C 001 32903 015 2112000*")-SUMIFS(E2631:E3130,K2631:K3130,"0",B2631:B3130,"5 1 3 2 9 12 31111 6 M78 07000 151 00C 001 32903 015 2112000*")</f>
        <v>0</v>
      </c>
      <c r="E2630"/>
      <c r="F2630" s="31">
        <f>SUMIFS(F2631:F3130,K2631:K3130,"0",B2631:B3130,"5 1 3 2 9 12 31111 6 M78 07000 151 00C 001 32903 015 2112000*")</f>
        <v>799164.46</v>
      </c>
      <c r="G2630" s="31">
        <f>SUMIFS(G2631:G3130,K2631:K3130,"0",B2631:B3130,"5 1 3 2 9 12 31111 6 M78 07000 151 00C 001 32903 015 2112000*")</f>
        <v>0</v>
      </c>
      <c r="H2630" s="31">
        <f t="shared" si="41"/>
        <v>799164.46</v>
      </c>
      <c r="I2630" s="31"/>
      <c r="K2630" t="s">
        <v>13</v>
      </c>
    </row>
    <row r="2631" spans="2:11" ht="22" x14ac:dyDescent="0.15">
      <c r="B2631" s="29" t="s">
        <v>3354</v>
      </c>
      <c r="C2631" s="29" t="s">
        <v>275</v>
      </c>
      <c r="D2631" s="31">
        <f>SUMIFS(D2632:D3130,K2632:K3130,"0",B2632:B3130,"5 1 3 2 9 12 31111 6 M78 07000 151 00C 001 32903 015 2112000 2024*")-SUMIFS(E2632:E3130,K2632:K3130,"0",B2632:B3130,"5 1 3 2 9 12 31111 6 M78 07000 151 00C 001 32903 015 2112000 2024*")</f>
        <v>0</v>
      </c>
      <c r="E2631"/>
      <c r="F2631" s="31">
        <f>SUMIFS(F2632:F3130,K2632:K3130,"0",B2632:B3130,"5 1 3 2 9 12 31111 6 M78 07000 151 00C 001 32903 015 2112000 2024*")</f>
        <v>799164.46</v>
      </c>
      <c r="G2631" s="31">
        <f>SUMIFS(G2632:G3130,K2632:K3130,"0",B2632:B3130,"5 1 3 2 9 12 31111 6 M78 07000 151 00C 001 32903 015 2112000 2024*")</f>
        <v>0</v>
      </c>
      <c r="H2631" s="31">
        <f t="shared" si="41"/>
        <v>799164.46</v>
      </c>
      <c r="I2631" s="31"/>
      <c r="K2631" t="s">
        <v>13</v>
      </c>
    </row>
    <row r="2632" spans="2:11" ht="22" x14ac:dyDescent="0.15">
      <c r="B2632" s="29" t="s">
        <v>3355</v>
      </c>
      <c r="C2632" s="29" t="s">
        <v>277</v>
      </c>
      <c r="D2632" s="31">
        <f>SUMIFS(D2633:D3130,K2633:K3130,"0",B2633:B3130,"5 1 3 2 9 12 31111 6 M78 07000 151 00C 001 32903 015 2112000 2024 00000000*")-SUMIFS(E2633:E3130,K2633:K3130,"0",B2633:B3130,"5 1 3 2 9 12 31111 6 M78 07000 151 00C 001 32903 015 2112000 2024 00000000*")</f>
        <v>0</v>
      </c>
      <c r="E2632"/>
      <c r="F2632" s="31">
        <f>SUMIFS(F2633:F3130,K2633:K3130,"0",B2633:B3130,"5 1 3 2 9 12 31111 6 M78 07000 151 00C 001 32903 015 2112000 2024 00000000*")</f>
        <v>799164.46</v>
      </c>
      <c r="G2632" s="31">
        <f>SUMIFS(G2633:G3130,K2633:K3130,"0",B2633:B3130,"5 1 3 2 9 12 31111 6 M78 07000 151 00C 001 32903 015 2112000 2024 00000000*")</f>
        <v>0</v>
      </c>
      <c r="H2632" s="31">
        <f t="shared" si="41"/>
        <v>799164.46</v>
      </c>
      <c r="I2632" s="31"/>
      <c r="K2632" t="s">
        <v>13</v>
      </c>
    </row>
    <row r="2633" spans="2:11" ht="22" x14ac:dyDescent="0.15">
      <c r="B2633" s="29" t="s">
        <v>3356</v>
      </c>
      <c r="C2633" s="29" t="s">
        <v>32</v>
      </c>
      <c r="D2633" s="31">
        <f>SUMIFS(D2634:D3130,K2634:K3130,"0",B2634:B3130,"5 1 3 2 9 12 31111 6 M78 07000 151 00C 001 32903 015 2112000 2024 00000000 001*")-SUMIFS(E2634:E3130,K2634:K3130,"0",B2634:B3130,"5 1 3 2 9 12 31111 6 M78 07000 151 00C 001 32903 015 2112000 2024 00000000 001*")</f>
        <v>0</v>
      </c>
      <c r="E2633"/>
      <c r="F2633" s="31">
        <f>SUMIFS(F2634:F3130,K2634:K3130,"0",B2634:B3130,"5 1 3 2 9 12 31111 6 M78 07000 151 00C 001 32903 015 2112000 2024 00000000 001*")</f>
        <v>799164.46</v>
      </c>
      <c r="G2633" s="31">
        <f>SUMIFS(G2634:G3130,K2634:K3130,"0",B2634:B3130,"5 1 3 2 9 12 31111 6 M78 07000 151 00C 001 32903 015 2112000 2024 00000000 001*")</f>
        <v>0</v>
      </c>
      <c r="H2633" s="31">
        <f t="shared" si="41"/>
        <v>799164.46</v>
      </c>
      <c r="I2633" s="31"/>
      <c r="K2633" t="s">
        <v>13</v>
      </c>
    </row>
    <row r="2634" spans="2:11" ht="22" x14ac:dyDescent="0.15">
      <c r="B2634" s="27" t="s">
        <v>3357</v>
      </c>
      <c r="C2634" s="27" t="s">
        <v>3341</v>
      </c>
      <c r="D2634" s="30">
        <v>0</v>
      </c>
      <c r="E2634" s="30"/>
      <c r="F2634" s="30">
        <v>799164.46</v>
      </c>
      <c r="G2634" s="30">
        <v>0</v>
      </c>
      <c r="H2634" s="30">
        <f t="shared" si="41"/>
        <v>799164.46</v>
      </c>
      <c r="I2634" s="30"/>
      <c r="K2634" t="s">
        <v>37</v>
      </c>
    </row>
    <row r="2635" spans="2:11" ht="13" x14ac:dyDescent="0.15">
      <c r="B2635" s="29" t="s">
        <v>3358</v>
      </c>
      <c r="C2635" s="29" t="s">
        <v>3359</v>
      </c>
      <c r="D2635" s="31">
        <f>SUMIFS(D2636:D3130,K2636:K3130,"0",B2636:B3130,"5 1 3 3*")-SUMIFS(E2636:E3130,K2636:K3130,"0",B2636:B3130,"5 1 3 3*")</f>
        <v>0</v>
      </c>
      <c r="E2635"/>
      <c r="F2635" s="31">
        <f>SUMIFS(F2636:F3130,K2636:K3130,"0",B2636:B3130,"5 1 3 3*")</f>
        <v>1276796.72</v>
      </c>
      <c r="G2635" s="31">
        <f>SUMIFS(G2636:G3130,K2636:K3130,"0",B2636:B3130,"5 1 3 3*")</f>
        <v>0</v>
      </c>
      <c r="H2635" s="31">
        <f t="shared" ref="H2635:H2698" si="42">D2635 + F2635 - G2635</f>
        <v>1276796.72</v>
      </c>
      <c r="I2635" s="31"/>
      <c r="K2635" t="s">
        <v>13</v>
      </c>
    </row>
    <row r="2636" spans="2:11" ht="13" x14ac:dyDescent="0.15">
      <c r="B2636" s="29" t="s">
        <v>3360</v>
      </c>
      <c r="C2636" s="29" t="s">
        <v>3361</v>
      </c>
      <c r="D2636" s="31">
        <f>SUMIFS(D2637:D3130,K2637:K3130,"0",B2637:B3130,"5 1 3 3 1*")-SUMIFS(E2637:E3130,K2637:K3130,"0",B2637:B3130,"5 1 3 3 1*")</f>
        <v>0</v>
      </c>
      <c r="E2636"/>
      <c r="F2636" s="31">
        <f>SUMIFS(F2637:F3130,K2637:K3130,"0",B2637:B3130,"5 1 3 3 1*")</f>
        <v>464819.20000000001</v>
      </c>
      <c r="G2636" s="31">
        <f>SUMIFS(G2637:G3130,K2637:K3130,"0",B2637:B3130,"5 1 3 3 1*")</f>
        <v>0</v>
      </c>
      <c r="H2636" s="31">
        <f t="shared" si="42"/>
        <v>464819.20000000001</v>
      </c>
      <c r="I2636" s="31"/>
      <c r="K2636" t="s">
        <v>13</v>
      </c>
    </row>
    <row r="2637" spans="2:11" ht="13" x14ac:dyDescent="0.15">
      <c r="B2637" s="29" t="s">
        <v>3362</v>
      </c>
      <c r="C2637" s="29" t="s">
        <v>24</v>
      </c>
      <c r="D2637" s="31">
        <f>SUMIFS(D2638:D3130,K2638:K3130,"0",B2638:B3130,"5 1 3 3 1 12*")-SUMIFS(E2638:E3130,K2638:K3130,"0",B2638:B3130,"5 1 3 3 1 12*")</f>
        <v>0</v>
      </c>
      <c r="E2637"/>
      <c r="F2637" s="31">
        <f>SUMIFS(F2638:F3130,K2638:K3130,"0",B2638:B3130,"5 1 3 3 1 12*")</f>
        <v>464819.20000000001</v>
      </c>
      <c r="G2637" s="31">
        <f>SUMIFS(G2638:G3130,K2638:K3130,"0",B2638:B3130,"5 1 3 3 1 12*")</f>
        <v>0</v>
      </c>
      <c r="H2637" s="31">
        <f t="shared" si="42"/>
        <v>464819.20000000001</v>
      </c>
      <c r="I2637" s="31"/>
      <c r="K2637" t="s">
        <v>13</v>
      </c>
    </row>
    <row r="2638" spans="2:11" ht="13" x14ac:dyDescent="0.15">
      <c r="B2638" s="29" t="s">
        <v>3363</v>
      </c>
      <c r="C2638" s="29" t="s">
        <v>26</v>
      </c>
      <c r="D2638" s="31">
        <f>SUMIFS(D2639:D3130,K2639:K3130,"0",B2639:B3130,"5 1 3 3 1 12 31111*")-SUMIFS(E2639:E3130,K2639:K3130,"0",B2639:B3130,"5 1 3 3 1 12 31111*")</f>
        <v>0</v>
      </c>
      <c r="E2638"/>
      <c r="F2638" s="31">
        <f>SUMIFS(F2639:F3130,K2639:K3130,"0",B2639:B3130,"5 1 3 3 1 12 31111*")</f>
        <v>464819.20000000001</v>
      </c>
      <c r="G2638" s="31">
        <f>SUMIFS(G2639:G3130,K2639:K3130,"0",B2639:B3130,"5 1 3 3 1 12 31111*")</f>
        <v>0</v>
      </c>
      <c r="H2638" s="31">
        <f t="shared" si="42"/>
        <v>464819.20000000001</v>
      </c>
      <c r="I2638" s="31"/>
      <c r="K2638" t="s">
        <v>13</v>
      </c>
    </row>
    <row r="2639" spans="2:11" ht="13" x14ac:dyDescent="0.15">
      <c r="B2639" s="29" t="s">
        <v>3364</v>
      </c>
      <c r="C2639" s="29" t="s">
        <v>28</v>
      </c>
      <c r="D2639" s="31">
        <f>SUMIFS(D2640:D3130,K2640:K3130,"0",B2640:B3130,"5 1 3 3 1 12 31111 6*")-SUMIFS(E2640:E3130,K2640:K3130,"0",B2640:B3130,"5 1 3 3 1 12 31111 6*")</f>
        <v>0</v>
      </c>
      <c r="E2639"/>
      <c r="F2639" s="31">
        <f>SUMIFS(F2640:F3130,K2640:K3130,"0",B2640:B3130,"5 1 3 3 1 12 31111 6*")</f>
        <v>464819.20000000001</v>
      </c>
      <c r="G2639" s="31">
        <f>SUMIFS(G2640:G3130,K2640:K3130,"0",B2640:B3130,"5 1 3 3 1 12 31111 6*")</f>
        <v>0</v>
      </c>
      <c r="H2639" s="31">
        <f t="shared" si="42"/>
        <v>464819.20000000001</v>
      </c>
      <c r="I2639" s="31"/>
      <c r="K2639" t="s">
        <v>13</v>
      </c>
    </row>
    <row r="2640" spans="2:11" ht="13" x14ac:dyDescent="0.15">
      <c r="B2640" s="29" t="s">
        <v>3365</v>
      </c>
      <c r="C2640" s="29" t="s">
        <v>1567</v>
      </c>
      <c r="D2640" s="31">
        <f>SUMIFS(D2641:D3130,K2641:K3130,"0",B2641:B3130,"5 1 3 3 1 12 31111 6 M78*")-SUMIFS(E2641:E3130,K2641:K3130,"0",B2641:B3130,"5 1 3 3 1 12 31111 6 M78*")</f>
        <v>0</v>
      </c>
      <c r="E2640"/>
      <c r="F2640" s="31">
        <f>SUMIFS(F2641:F3130,K2641:K3130,"0",B2641:B3130,"5 1 3 3 1 12 31111 6 M78*")</f>
        <v>464819.20000000001</v>
      </c>
      <c r="G2640" s="31">
        <f>SUMIFS(G2641:G3130,K2641:K3130,"0",B2641:B3130,"5 1 3 3 1 12 31111 6 M78*")</f>
        <v>0</v>
      </c>
      <c r="H2640" s="31">
        <f t="shared" si="42"/>
        <v>464819.20000000001</v>
      </c>
      <c r="I2640" s="31"/>
      <c r="K2640" t="s">
        <v>13</v>
      </c>
    </row>
    <row r="2641" spans="2:11" ht="13" x14ac:dyDescent="0.15">
      <c r="B2641" s="29" t="s">
        <v>3366</v>
      </c>
      <c r="C2641" s="29" t="s">
        <v>8</v>
      </c>
      <c r="D2641" s="31">
        <f>SUMIFS(D2642:D3130,K2642:K3130,"0",B2642:B3130,"5 1 3 3 1 12 31111 6 M78 07000*")-SUMIFS(E2642:E3130,K2642:K3130,"0",B2642:B3130,"5 1 3 3 1 12 31111 6 M78 07000*")</f>
        <v>0</v>
      </c>
      <c r="E2641"/>
      <c r="F2641" s="31">
        <f>SUMIFS(F2642:F3130,K2642:K3130,"0",B2642:B3130,"5 1 3 3 1 12 31111 6 M78 07000*")</f>
        <v>464819.20000000001</v>
      </c>
      <c r="G2641" s="31">
        <f>SUMIFS(G2642:G3130,K2642:K3130,"0",B2642:B3130,"5 1 3 3 1 12 31111 6 M78 07000*")</f>
        <v>0</v>
      </c>
      <c r="H2641" s="31">
        <f t="shared" si="42"/>
        <v>464819.20000000001</v>
      </c>
      <c r="I2641" s="31"/>
      <c r="K2641" t="s">
        <v>13</v>
      </c>
    </row>
    <row r="2642" spans="2:11" ht="13" x14ac:dyDescent="0.15">
      <c r="B2642" s="29" t="s">
        <v>3367</v>
      </c>
      <c r="C2642" s="29" t="s">
        <v>588</v>
      </c>
      <c r="D2642" s="31">
        <f>SUMIFS(D2643:D3130,K2643:K3130,"0",B2643:B3130,"5 1 3 3 1 12 31111 6 M78 07000 151*")-SUMIFS(E2643:E3130,K2643:K3130,"0",B2643:B3130,"5 1 3 3 1 12 31111 6 M78 07000 151*")</f>
        <v>0</v>
      </c>
      <c r="E2642"/>
      <c r="F2642" s="31">
        <f>SUMIFS(F2643:F3130,K2643:K3130,"0",B2643:B3130,"5 1 3 3 1 12 31111 6 M78 07000 151*")</f>
        <v>464819.20000000001</v>
      </c>
      <c r="G2642" s="31">
        <f>SUMIFS(G2643:G3130,K2643:K3130,"0",B2643:B3130,"5 1 3 3 1 12 31111 6 M78 07000 151*")</f>
        <v>0</v>
      </c>
      <c r="H2642" s="31">
        <f t="shared" si="42"/>
        <v>464819.20000000001</v>
      </c>
      <c r="I2642" s="31"/>
      <c r="K2642" t="s">
        <v>13</v>
      </c>
    </row>
    <row r="2643" spans="2:11" ht="13" x14ac:dyDescent="0.15">
      <c r="B2643" s="29" t="s">
        <v>3368</v>
      </c>
      <c r="C2643" s="29" t="s">
        <v>265</v>
      </c>
      <c r="D2643" s="31">
        <f>SUMIFS(D2644:D3130,K2644:K3130,"0",B2644:B3130,"5 1 3 3 1 12 31111 6 M78 07000 151 00C*")-SUMIFS(E2644:E3130,K2644:K3130,"0",B2644:B3130,"5 1 3 3 1 12 31111 6 M78 07000 151 00C*")</f>
        <v>0</v>
      </c>
      <c r="E2643"/>
      <c r="F2643" s="31">
        <f>SUMIFS(F2644:F3130,K2644:K3130,"0",B2644:B3130,"5 1 3 3 1 12 31111 6 M78 07000 151 00C*")</f>
        <v>450899.20000000001</v>
      </c>
      <c r="G2643" s="31">
        <f>SUMIFS(G2644:G3130,K2644:K3130,"0",B2644:B3130,"5 1 3 3 1 12 31111 6 M78 07000 151 00C*")</f>
        <v>0</v>
      </c>
      <c r="H2643" s="31">
        <f t="shared" si="42"/>
        <v>450899.20000000001</v>
      </c>
      <c r="I2643" s="31"/>
      <c r="K2643" t="s">
        <v>13</v>
      </c>
    </row>
    <row r="2644" spans="2:11" ht="13" x14ac:dyDescent="0.15">
      <c r="B2644" s="29" t="s">
        <v>3369</v>
      </c>
      <c r="C2644" s="29" t="s">
        <v>32</v>
      </c>
      <c r="D2644" s="31">
        <f>SUMIFS(D2645:D3130,K2645:K3130,"0",B2645:B3130,"5 1 3 3 1 12 31111 6 M78 07000 151 00C 001*")-SUMIFS(E2645:E3130,K2645:K3130,"0",B2645:B3130,"5 1 3 3 1 12 31111 6 M78 07000 151 00C 001*")</f>
        <v>0</v>
      </c>
      <c r="E2644"/>
      <c r="F2644" s="31">
        <f>SUMIFS(F2645:F3130,K2645:K3130,"0",B2645:B3130,"5 1 3 3 1 12 31111 6 M78 07000 151 00C 001*")</f>
        <v>450899.20000000001</v>
      </c>
      <c r="G2644" s="31">
        <f>SUMIFS(G2645:G3130,K2645:K3130,"0",B2645:B3130,"5 1 3 3 1 12 31111 6 M78 07000 151 00C 001*")</f>
        <v>0</v>
      </c>
      <c r="H2644" s="31">
        <f t="shared" si="42"/>
        <v>450899.20000000001</v>
      </c>
      <c r="I2644" s="31"/>
      <c r="K2644" t="s">
        <v>13</v>
      </c>
    </row>
    <row r="2645" spans="2:11" ht="13" x14ac:dyDescent="0.15">
      <c r="B2645" s="29" t="s">
        <v>3370</v>
      </c>
      <c r="C2645" s="29" t="s">
        <v>3361</v>
      </c>
      <c r="D2645" s="31">
        <f>SUMIFS(D2646:D3130,K2646:K3130,"0",B2646:B3130,"5 1 3 3 1 12 31111 6 M78 07000 151 00C 001 33101*")-SUMIFS(E2646:E3130,K2646:K3130,"0",B2646:B3130,"5 1 3 3 1 12 31111 6 M78 07000 151 00C 001 33101*")</f>
        <v>0</v>
      </c>
      <c r="E2645"/>
      <c r="F2645" s="31">
        <f>SUMIFS(F2646:F3130,K2646:K3130,"0",B2646:B3130,"5 1 3 3 1 12 31111 6 M78 07000 151 00C 001 33101*")</f>
        <v>450899.20000000001</v>
      </c>
      <c r="G2645" s="31">
        <f>SUMIFS(G2646:G3130,K2646:K3130,"0",B2646:B3130,"5 1 3 3 1 12 31111 6 M78 07000 151 00C 001 33101*")</f>
        <v>0</v>
      </c>
      <c r="H2645" s="31">
        <f t="shared" si="42"/>
        <v>450899.20000000001</v>
      </c>
      <c r="I2645" s="31"/>
      <c r="K2645" t="s">
        <v>13</v>
      </c>
    </row>
    <row r="2646" spans="2:11" ht="22" x14ac:dyDescent="0.15">
      <c r="B2646" s="29" t="s">
        <v>3371</v>
      </c>
      <c r="C2646" s="29" t="s">
        <v>271</v>
      </c>
      <c r="D2646" s="31">
        <f>SUMIFS(D2647:D3130,K2647:K3130,"0",B2647:B3130,"5 1 3 3 1 12 31111 6 M78 07000 151 00C 001 33101 015*")-SUMIFS(E2647:E3130,K2647:K3130,"0",B2647:B3130,"5 1 3 3 1 12 31111 6 M78 07000 151 00C 001 33101 015*")</f>
        <v>0</v>
      </c>
      <c r="E2646"/>
      <c r="F2646" s="31">
        <f>SUMIFS(F2647:F3130,K2647:K3130,"0",B2647:B3130,"5 1 3 3 1 12 31111 6 M78 07000 151 00C 001 33101 015*")</f>
        <v>450899.20000000001</v>
      </c>
      <c r="G2646" s="31">
        <f>SUMIFS(G2647:G3130,K2647:K3130,"0",B2647:B3130,"5 1 3 3 1 12 31111 6 M78 07000 151 00C 001 33101 015*")</f>
        <v>0</v>
      </c>
      <c r="H2646" s="31">
        <f t="shared" si="42"/>
        <v>450899.20000000001</v>
      </c>
      <c r="I2646" s="31"/>
      <c r="K2646" t="s">
        <v>13</v>
      </c>
    </row>
    <row r="2647" spans="2:11" ht="22" x14ac:dyDescent="0.15">
      <c r="B2647" s="29" t="s">
        <v>3372</v>
      </c>
      <c r="C2647" s="29" t="s">
        <v>595</v>
      </c>
      <c r="D2647" s="31">
        <f>SUMIFS(D2648:D3130,K2648:K3130,"0",B2648:B3130,"5 1 3 3 1 12 31111 6 M78 07000 151 00C 001 33101 015 2112000*")-SUMIFS(E2648:E3130,K2648:K3130,"0",B2648:B3130,"5 1 3 3 1 12 31111 6 M78 07000 151 00C 001 33101 015 2112000*")</f>
        <v>0</v>
      </c>
      <c r="E2647"/>
      <c r="F2647" s="31">
        <f>SUMIFS(F2648:F3130,K2648:K3130,"0",B2648:B3130,"5 1 3 3 1 12 31111 6 M78 07000 151 00C 001 33101 015 2112000*")</f>
        <v>450899.20000000001</v>
      </c>
      <c r="G2647" s="31">
        <f>SUMIFS(G2648:G3130,K2648:K3130,"0",B2648:B3130,"5 1 3 3 1 12 31111 6 M78 07000 151 00C 001 33101 015 2112000*")</f>
        <v>0</v>
      </c>
      <c r="H2647" s="31">
        <f t="shared" si="42"/>
        <v>450899.20000000001</v>
      </c>
      <c r="I2647" s="31"/>
      <c r="K2647" t="s">
        <v>13</v>
      </c>
    </row>
    <row r="2648" spans="2:11" ht="22" x14ac:dyDescent="0.15">
      <c r="B2648" s="29" t="s">
        <v>3373</v>
      </c>
      <c r="C2648" s="29" t="s">
        <v>275</v>
      </c>
      <c r="D2648" s="31">
        <f>SUMIFS(D2649:D3130,K2649:K3130,"0",B2649:B3130,"5 1 3 3 1 12 31111 6 M78 07000 151 00C 001 33101 015 2112000 2024*")-SUMIFS(E2649:E3130,K2649:K3130,"0",B2649:B3130,"5 1 3 3 1 12 31111 6 M78 07000 151 00C 001 33101 015 2112000 2024*")</f>
        <v>0</v>
      </c>
      <c r="E2648"/>
      <c r="F2648" s="31">
        <f>SUMIFS(F2649:F3130,K2649:K3130,"0",B2649:B3130,"5 1 3 3 1 12 31111 6 M78 07000 151 00C 001 33101 015 2112000 2024*")</f>
        <v>450899.20000000001</v>
      </c>
      <c r="G2648" s="31">
        <f>SUMIFS(G2649:G3130,K2649:K3130,"0",B2649:B3130,"5 1 3 3 1 12 31111 6 M78 07000 151 00C 001 33101 015 2112000 2024*")</f>
        <v>0</v>
      </c>
      <c r="H2648" s="31">
        <f t="shared" si="42"/>
        <v>450899.20000000001</v>
      </c>
      <c r="I2648" s="31"/>
      <c r="K2648" t="s">
        <v>13</v>
      </c>
    </row>
    <row r="2649" spans="2:11" ht="22" x14ac:dyDescent="0.15">
      <c r="B2649" s="29" t="s">
        <v>3374</v>
      </c>
      <c r="C2649" s="29" t="s">
        <v>277</v>
      </c>
      <c r="D2649" s="31">
        <f>SUMIFS(D2650:D3130,K2650:K3130,"0",B2650:B3130,"5 1 3 3 1 12 31111 6 M78 07000 151 00C 001 33101 015 2112000 2024 00000000*")-SUMIFS(E2650:E3130,K2650:K3130,"0",B2650:B3130,"5 1 3 3 1 12 31111 6 M78 07000 151 00C 001 33101 015 2112000 2024 00000000*")</f>
        <v>0</v>
      </c>
      <c r="E2649"/>
      <c r="F2649" s="31">
        <f>SUMIFS(F2650:F3130,K2650:K3130,"0",B2650:B3130,"5 1 3 3 1 12 31111 6 M78 07000 151 00C 001 33101 015 2112000 2024 00000000*")</f>
        <v>450899.20000000001</v>
      </c>
      <c r="G2649" s="31">
        <f>SUMIFS(G2650:G3130,K2650:K3130,"0",B2650:B3130,"5 1 3 3 1 12 31111 6 M78 07000 151 00C 001 33101 015 2112000 2024 00000000*")</f>
        <v>0</v>
      </c>
      <c r="H2649" s="31">
        <f t="shared" si="42"/>
        <v>450899.20000000001</v>
      </c>
      <c r="I2649" s="31"/>
      <c r="K2649" t="s">
        <v>13</v>
      </c>
    </row>
    <row r="2650" spans="2:11" ht="22" x14ac:dyDescent="0.15">
      <c r="B2650" s="29" t="s">
        <v>3375</v>
      </c>
      <c r="C2650" s="29" t="s">
        <v>32</v>
      </c>
      <c r="D2650" s="31">
        <f>SUMIFS(D2651:D3130,K2651:K3130,"0",B2651:B3130,"5 1 3 3 1 12 31111 6 M78 07000 151 00C 001 33101 015 2112000 2024 00000000 001*")-SUMIFS(E2651:E3130,K2651:K3130,"0",B2651:B3130,"5 1 3 3 1 12 31111 6 M78 07000 151 00C 001 33101 015 2112000 2024 00000000 001*")</f>
        <v>0</v>
      </c>
      <c r="E2650"/>
      <c r="F2650" s="31">
        <f>SUMIFS(F2651:F3130,K2651:K3130,"0",B2651:B3130,"5 1 3 3 1 12 31111 6 M78 07000 151 00C 001 33101 015 2112000 2024 00000000 001*")</f>
        <v>450899.20000000001</v>
      </c>
      <c r="G2650" s="31">
        <f>SUMIFS(G2651:G3130,K2651:K3130,"0",B2651:B3130,"5 1 3 3 1 12 31111 6 M78 07000 151 00C 001 33101 015 2112000 2024 00000000 001*")</f>
        <v>0</v>
      </c>
      <c r="H2650" s="31">
        <f t="shared" si="42"/>
        <v>450899.20000000001</v>
      </c>
      <c r="I2650" s="31"/>
      <c r="K2650" t="s">
        <v>13</v>
      </c>
    </row>
    <row r="2651" spans="2:11" ht="22" x14ac:dyDescent="0.15">
      <c r="B2651" s="27" t="s">
        <v>3376</v>
      </c>
      <c r="C2651" s="27" t="s">
        <v>3361</v>
      </c>
      <c r="D2651" s="30">
        <v>0</v>
      </c>
      <c r="E2651" s="30"/>
      <c r="F2651" s="30">
        <v>450899.20000000001</v>
      </c>
      <c r="G2651" s="30">
        <v>0</v>
      </c>
      <c r="H2651" s="30">
        <f t="shared" si="42"/>
        <v>450899.20000000001</v>
      </c>
      <c r="I2651" s="30"/>
      <c r="K2651" t="s">
        <v>37</v>
      </c>
    </row>
    <row r="2652" spans="2:11" ht="13" x14ac:dyDescent="0.15">
      <c r="B2652" s="29" t="s">
        <v>3377</v>
      </c>
      <c r="C2652" s="29" t="s">
        <v>812</v>
      </c>
      <c r="D2652" s="31">
        <f>SUMIFS(D2653:D3130,K2653:K3130,"0",B2653:B3130,"5 1 3 3 1 12 31111 6 M78 07000 151 00E*")-SUMIFS(E2653:E3130,K2653:K3130,"0",B2653:B3130,"5 1 3 3 1 12 31111 6 M78 07000 151 00E*")</f>
        <v>0</v>
      </c>
      <c r="E2652"/>
      <c r="F2652" s="31">
        <f>SUMIFS(F2653:F3130,K2653:K3130,"0",B2653:B3130,"5 1 3 3 1 12 31111 6 M78 07000 151 00E*")</f>
        <v>13920</v>
      </c>
      <c r="G2652" s="31">
        <f>SUMIFS(G2653:G3130,K2653:K3130,"0",B2653:B3130,"5 1 3 3 1 12 31111 6 M78 07000 151 00E*")</f>
        <v>0</v>
      </c>
      <c r="H2652" s="31">
        <f t="shared" si="42"/>
        <v>13920</v>
      </c>
      <c r="I2652" s="31"/>
      <c r="K2652" t="s">
        <v>13</v>
      </c>
    </row>
    <row r="2653" spans="2:11" ht="13" x14ac:dyDescent="0.15">
      <c r="B2653" s="29" t="s">
        <v>3378</v>
      </c>
      <c r="C2653" s="29" t="s">
        <v>32</v>
      </c>
      <c r="D2653" s="31">
        <f>SUMIFS(D2654:D3130,K2654:K3130,"0",B2654:B3130,"5 1 3 3 1 12 31111 6 M78 07000 151 00E 001*")-SUMIFS(E2654:E3130,K2654:K3130,"0",B2654:B3130,"5 1 3 3 1 12 31111 6 M78 07000 151 00E 001*")</f>
        <v>0</v>
      </c>
      <c r="E2653"/>
      <c r="F2653" s="31">
        <f>SUMIFS(F2654:F3130,K2654:K3130,"0",B2654:B3130,"5 1 3 3 1 12 31111 6 M78 07000 151 00E 001*")</f>
        <v>13920</v>
      </c>
      <c r="G2653" s="31">
        <f>SUMIFS(G2654:G3130,K2654:K3130,"0",B2654:B3130,"5 1 3 3 1 12 31111 6 M78 07000 151 00E 001*")</f>
        <v>0</v>
      </c>
      <c r="H2653" s="31">
        <f t="shared" si="42"/>
        <v>13920</v>
      </c>
      <c r="I2653" s="31"/>
      <c r="K2653" t="s">
        <v>13</v>
      </c>
    </row>
    <row r="2654" spans="2:11" ht="13" x14ac:dyDescent="0.15">
      <c r="B2654" s="29" t="s">
        <v>3379</v>
      </c>
      <c r="C2654" s="29" t="s">
        <v>3380</v>
      </c>
      <c r="D2654" s="31">
        <f>SUMIFS(D2655:D3130,K2655:K3130,"0",B2655:B3130,"5 1 3 3 1 12 31111 6 M78 07000 151 00E 001 33101*")-SUMIFS(E2655:E3130,K2655:K3130,"0",B2655:B3130,"5 1 3 3 1 12 31111 6 M78 07000 151 00E 001 33101*")</f>
        <v>0</v>
      </c>
      <c r="E2654"/>
      <c r="F2654" s="31">
        <f>SUMIFS(F2655:F3130,K2655:K3130,"0",B2655:B3130,"5 1 3 3 1 12 31111 6 M78 07000 151 00E 001 33101*")</f>
        <v>13920</v>
      </c>
      <c r="G2654" s="31">
        <f>SUMIFS(G2655:G3130,K2655:K3130,"0",B2655:B3130,"5 1 3 3 1 12 31111 6 M78 07000 151 00E 001 33101*")</f>
        <v>0</v>
      </c>
      <c r="H2654" s="31">
        <f t="shared" si="42"/>
        <v>13920</v>
      </c>
      <c r="I2654" s="31"/>
      <c r="K2654" t="s">
        <v>13</v>
      </c>
    </row>
    <row r="2655" spans="2:11" ht="22" x14ac:dyDescent="0.15">
      <c r="B2655" s="29" t="s">
        <v>3381</v>
      </c>
      <c r="C2655" s="29" t="s">
        <v>1567</v>
      </c>
      <c r="D2655" s="31">
        <f>SUMIFS(D2656:D3130,K2656:K3130,"0",B2656:B3130,"5 1 3 3 1 12 31111 6 M78 07000 151 00E 001 33101 011*")-SUMIFS(E2656:E3130,K2656:K3130,"0",B2656:B3130,"5 1 3 3 1 12 31111 6 M78 07000 151 00E 001 33101 011*")</f>
        <v>0</v>
      </c>
      <c r="E2655"/>
      <c r="F2655" s="31">
        <f>SUMIFS(F2656:F3130,K2656:K3130,"0",B2656:B3130,"5 1 3 3 1 12 31111 6 M78 07000 151 00E 001 33101 011*")</f>
        <v>13920</v>
      </c>
      <c r="G2655" s="31">
        <f>SUMIFS(G2656:G3130,K2656:K3130,"0",B2656:B3130,"5 1 3 3 1 12 31111 6 M78 07000 151 00E 001 33101 011*")</f>
        <v>0</v>
      </c>
      <c r="H2655" s="31">
        <f t="shared" si="42"/>
        <v>13920</v>
      </c>
      <c r="I2655" s="31"/>
      <c r="K2655" t="s">
        <v>13</v>
      </c>
    </row>
    <row r="2656" spans="2:11" ht="22" x14ac:dyDescent="0.15">
      <c r="B2656" s="29" t="s">
        <v>3382</v>
      </c>
      <c r="C2656" s="29" t="s">
        <v>595</v>
      </c>
      <c r="D2656" s="31">
        <f>SUMIFS(D2657:D3130,K2657:K3130,"0",B2657:B3130,"5 1 3 3 1 12 31111 6 M78 07000 151 00E 001 33101 011 2112000*")-SUMIFS(E2657:E3130,K2657:K3130,"0",B2657:B3130,"5 1 3 3 1 12 31111 6 M78 07000 151 00E 001 33101 011 2112000*")</f>
        <v>0</v>
      </c>
      <c r="E2656"/>
      <c r="F2656" s="31">
        <f>SUMIFS(F2657:F3130,K2657:K3130,"0",B2657:B3130,"5 1 3 3 1 12 31111 6 M78 07000 151 00E 001 33101 011 2112000*")</f>
        <v>13920</v>
      </c>
      <c r="G2656" s="31">
        <f>SUMIFS(G2657:G3130,K2657:K3130,"0",B2657:B3130,"5 1 3 3 1 12 31111 6 M78 07000 151 00E 001 33101 011 2112000*")</f>
        <v>0</v>
      </c>
      <c r="H2656" s="31">
        <f t="shared" si="42"/>
        <v>13920</v>
      </c>
      <c r="I2656" s="31"/>
      <c r="K2656" t="s">
        <v>13</v>
      </c>
    </row>
    <row r="2657" spans="2:11" ht="22" x14ac:dyDescent="0.15">
      <c r="B2657" s="29" t="s">
        <v>3383</v>
      </c>
      <c r="C2657" s="29" t="s">
        <v>275</v>
      </c>
      <c r="D2657" s="31">
        <f>SUMIFS(D2658:D3130,K2658:K3130,"0",B2658:B3130,"5 1 3 3 1 12 31111 6 M78 07000 151 00E 001 33101 011 2112000 2024*")-SUMIFS(E2658:E3130,K2658:K3130,"0",B2658:B3130,"5 1 3 3 1 12 31111 6 M78 07000 151 00E 001 33101 011 2112000 2024*")</f>
        <v>0</v>
      </c>
      <c r="E2657"/>
      <c r="F2657" s="31">
        <f>SUMIFS(F2658:F3130,K2658:K3130,"0",B2658:B3130,"5 1 3 3 1 12 31111 6 M78 07000 151 00E 001 33101 011 2112000 2024*")</f>
        <v>13920</v>
      </c>
      <c r="G2657" s="31">
        <f>SUMIFS(G2658:G3130,K2658:K3130,"0",B2658:B3130,"5 1 3 3 1 12 31111 6 M78 07000 151 00E 001 33101 011 2112000 2024*")</f>
        <v>0</v>
      </c>
      <c r="H2657" s="31">
        <f t="shared" si="42"/>
        <v>13920</v>
      </c>
      <c r="I2657" s="31"/>
      <c r="K2657" t="s">
        <v>13</v>
      </c>
    </row>
    <row r="2658" spans="2:11" ht="22" x14ac:dyDescent="0.15">
      <c r="B2658" s="29" t="s">
        <v>3384</v>
      </c>
      <c r="C2658" s="29" t="s">
        <v>277</v>
      </c>
      <c r="D2658" s="31">
        <f>SUMIFS(D2659:D3130,K2659:K3130,"0",B2659:B3130,"5 1 3 3 1 12 31111 6 M78 07000 151 00E 001 33101 011 2112000 2024 00000000*")-SUMIFS(E2659:E3130,K2659:K3130,"0",B2659:B3130,"5 1 3 3 1 12 31111 6 M78 07000 151 00E 001 33101 011 2112000 2024 00000000*")</f>
        <v>0</v>
      </c>
      <c r="E2658"/>
      <c r="F2658" s="31">
        <f>SUMIFS(F2659:F3130,K2659:K3130,"0",B2659:B3130,"5 1 3 3 1 12 31111 6 M78 07000 151 00E 001 33101 011 2112000 2024 00000000*")</f>
        <v>13920</v>
      </c>
      <c r="G2658" s="31">
        <f>SUMIFS(G2659:G3130,K2659:K3130,"0",B2659:B3130,"5 1 3 3 1 12 31111 6 M78 07000 151 00E 001 33101 011 2112000 2024 00000000*")</f>
        <v>0</v>
      </c>
      <c r="H2658" s="31">
        <f t="shared" si="42"/>
        <v>13920</v>
      </c>
      <c r="I2658" s="31"/>
      <c r="K2658" t="s">
        <v>13</v>
      </c>
    </row>
    <row r="2659" spans="2:11" ht="22" x14ac:dyDescent="0.15">
      <c r="B2659" s="29" t="s">
        <v>3385</v>
      </c>
      <c r="C2659" s="29" t="s">
        <v>1567</v>
      </c>
      <c r="D2659" s="31">
        <f>SUMIFS(D2660:D3130,K2660:K3130,"0",B2660:B3130,"5 1 3 3 1 12 31111 6 M78 07000 151 00E 001 33101 011 2112000 2024 00000000 005*")-SUMIFS(E2660:E3130,K2660:K3130,"0",B2660:B3130,"5 1 3 3 1 12 31111 6 M78 07000 151 00E 001 33101 011 2112000 2024 00000000 005*")</f>
        <v>0</v>
      </c>
      <c r="E2659"/>
      <c r="F2659" s="31">
        <f>SUMIFS(F2660:F3130,K2660:K3130,"0",B2660:B3130,"5 1 3 3 1 12 31111 6 M78 07000 151 00E 001 33101 011 2112000 2024 00000000 005*")</f>
        <v>13920</v>
      </c>
      <c r="G2659" s="31">
        <f>SUMIFS(G2660:G3130,K2660:K3130,"0",B2660:B3130,"5 1 3 3 1 12 31111 6 M78 07000 151 00E 001 33101 011 2112000 2024 00000000 005*")</f>
        <v>0</v>
      </c>
      <c r="H2659" s="31">
        <f t="shared" si="42"/>
        <v>13920</v>
      </c>
      <c r="I2659" s="31"/>
      <c r="K2659" t="s">
        <v>13</v>
      </c>
    </row>
    <row r="2660" spans="2:11" ht="22" x14ac:dyDescent="0.15">
      <c r="B2660" s="27" t="s">
        <v>3386</v>
      </c>
      <c r="C2660" s="27" t="s">
        <v>1567</v>
      </c>
      <c r="D2660" s="30">
        <v>0</v>
      </c>
      <c r="E2660" s="30"/>
      <c r="F2660" s="30">
        <v>13920</v>
      </c>
      <c r="G2660" s="30">
        <v>0</v>
      </c>
      <c r="H2660" s="30">
        <f t="shared" si="42"/>
        <v>13920</v>
      </c>
      <c r="I2660" s="30"/>
      <c r="K2660" t="s">
        <v>37</v>
      </c>
    </row>
    <row r="2661" spans="2:11" ht="22" x14ac:dyDescent="0.15">
      <c r="B2661" s="29" t="s">
        <v>3387</v>
      </c>
      <c r="C2661" s="29" t="s">
        <v>3388</v>
      </c>
      <c r="D2661" s="31">
        <f>SUMIFS(D2662:D3130,K2662:K3130,"0",B2662:B3130,"5 1 3 3 2*")-SUMIFS(E2662:E3130,K2662:K3130,"0",B2662:B3130,"5 1 3 3 2*")</f>
        <v>0</v>
      </c>
      <c r="E2661"/>
      <c r="F2661" s="31">
        <f>SUMIFS(F2662:F3130,K2662:K3130,"0",B2662:B3130,"5 1 3 3 2*")</f>
        <v>406000</v>
      </c>
      <c r="G2661" s="31">
        <f>SUMIFS(G2662:G3130,K2662:K3130,"0",B2662:B3130,"5 1 3 3 2*")</f>
        <v>0</v>
      </c>
      <c r="H2661" s="31">
        <f t="shared" si="42"/>
        <v>406000</v>
      </c>
      <c r="I2661" s="31"/>
      <c r="K2661" t="s">
        <v>13</v>
      </c>
    </row>
    <row r="2662" spans="2:11" ht="13" x14ac:dyDescent="0.15">
      <c r="B2662" s="29" t="s">
        <v>3389</v>
      </c>
      <c r="C2662" s="29" t="s">
        <v>24</v>
      </c>
      <c r="D2662" s="31">
        <f>SUMIFS(D2663:D3130,K2663:K3130,"0",B2663:B3130,"5 1 3 3 2 12*")-SUMIFS(E2663:E3130,K2663:K3130,"0",B2663:B3130,"5 1 3 3 2 12*")</f>
        <v>0</v>
      </c>
      <c r="E2662"/>
      <c r="F2662" s="31">
        <f>SUMIFS(F2663:F3130,K2663:K3130,"0",B2663:B3130,"5 1 3 3 2 12*")</f>
        <v>406000</v>
      </c>
      <c r="G2662" s="31">
        <f>SUMIFS(G2663:G3130,K2663:K3130,"0",B2663:B3130,"5 1 3 3 2 12*")</f>
        <v>0</v>
      </c>
      <c r="H2662" s="31">
        <f t="shared" si="42"/>
        <v>406000</v>
      </c>
      <c r="I2662" s="31"/>
      <c r="K2662" t="s">
        <v>13</v>
      </c>
    </row>
    <row r="2663" spans="2:11" ht="13" x14ac:dyDescent="0.15">
      <c r="B2663" s="29" t="s">
        <v>3390</v>
      </c>
      <c r="C2663" s="29" t="s">
        <v>26</v>
      </c>
      <c r="D2663" s="31">
        <f>SUMIFS(D2664:D3130,K2664:K3130,"0",B2664:B3130,"5 1 3 3 2 12 31111*")-SUMIFS(E2664:E3130,K2664:K3130,"0",B2664:B3130,"5 1 3 3 2 12 31111*")</f>
        <v>0</v>
      </c>
      <c r="E2663"/>
      <c r="F2663" s="31">
        <f>SUMIFS(F2664:F3130,K2664:K3130,"0",B2664:B3130,"5 1 3 3 2 12 31111*")</f>
        <v>406000</v>
      </c>
      <c r="G2663" s="31">
        <f>SUMIFS(G2664:G3130,K2664:K3130,"0",B2664:B3130,"5 1 3 3 2 12 31111*")</f>
        <v>0</v>
      </c>
      <c r="H2663" s="31">
        <f t="shared" si="42"/>
        <v>406000</v>
      </c>
      <c r="I2663" s="31"/>
      <c r="K2663" t="s">
        <v>13</v>
      </c>
    </row>
    <row r="2664" spans="2:11" ht="13" x14ac:dyDescent="0.15">
      <c r="B2664" s="29" t="s">
        <v>3391</v>
      </c>
      <c r="C2664" s="29" t="s">
        <v>28</v>
      </c>
      <c r="D2664" s="31">
        <f>SUMIFS(D2665:D3130,K2665:K3130,"0",B2665:B3130,"5 1 3 3 2 12 31111 6*")-SUMIFS(E2665:E3130,K2665:K3130,"0",B2665:B3130,"5 1 3 3 2 12 31111 6*")</f>
        <v>0</v>
      </c>
      <c r="E2664"/>
      <c r="F2664" s="31">
        <f>SUMIFS(F2665:F3130,K2665:K3130,"0",B2665:B3130,"5 1 3 3 2 12 31111 6*")</f>
        <v>406000</v>
      </c>
      <c r="G2664" s="31">
        <f>SUMIFS(G2665:G3130,K2665:K3130,"0",B2665:B3130,"5 1 3 3 2 12 31111 6*")</f>
        <v>0</v>
      </c>
      <c r="H2664" s="31">
        <f t="shared" si="42"/>
        <v>406000</v>
      </c>
      <c r="I2664" s="31"/>
      <c r="K2664" t="s">
        <v>13</v>
      </c>
    </row>
    <row r="2665" spans="2:11" ht="13" x14ac:dyDescent="0.15">
      <c r="B2665" s="29" t="s">
        <v>3392</v>
      </c>
      <c r="C2665" s="29" t="s">
        <v>1567</v>
      </c>
      <c r="D2665" s="31">
        <f>SUMIFS(D2666:D3130,K2666:K3130,"0",B2666:B3130,"5 1 3 3 2 12 31111 6 M78*")-SUMIFS(E2666:E3130,K2666:K3130,"0",B2666:B3130,"5 1 3 3 2 12 31111 6 M78*")</f>
        <v>0</v>
      </c>
      <c r="E2665"/>
      <c r="F2665" s="31">
        <f>SUMIFS(F2666:F3130,K2666:K3130,"0",B2666:B3130,"5 1 3 3 2 12 31111 6 M78*")</f>
        <v>406000</v>
      </c>
      <c r="G2665" s="31">
        <f>SUMIFS(G2666:G3130,K2666:K3130,"0",B2666:B3130,"5 1 3 3 2 12 31111 6 M78*")</f>
        <v>0</v>
      </c>
      <c r="H2665" s="31">
        <f t="shared" si="42"/>
        <v>406000</v>
      </c>
      <c r="I2665" s="31"/>
      <c r="K2665" t="s">
        <v>13</v>
      </c>
    </row>
    <row r="2666" spans="2:11" ht="13" x14ac:dyDescent="0.15">
      <c r="B2666" s="29" t="s">
        <v>3393</v>
      </c>
      <c r="C2666" s="29" t="s">
        <v>261</v>
      </c>
      <c r="D2666" s="31">
        <f>SUMIFS(D2667:D3130,K2667:K3130,"0",B2667:B3130,"5 1 3 3 2 12 31111 6 M78 10000*")-SUMIFS(E2667:E3130,K2667:K3130,"0",B2667:B3130,"5 1 3 3 2 12 31111 6 M78 10000*")</f>
        <v>0</v>
      </c>
      <c r="E2666"/>
      <c r="F2666" s="31">
        <f>SUMIFS(F2667:F3130,K2667:K3130,"0",B2667:B3130,"5 1 3 3 2 12 31111 6 M78 10000*")</f>
        <v>406000</v>
      </c>
      <c r="G2666" s="31">
        <f>SUMIFS(G2667:G3130,K2667:K3130,"0",B2667:B3130,"5 1 3 3 2 12 31111 6 M78 10000*")</f>
        <v>0</v>
      </c>
      <c r="H2666" s="31">
        <f t="shared" si="42"/>
        <v>406000</v>
      </c>
      <c r="I2666" s="31"/>
      <c r="K2666" t="s">
        <v>13</v>
      </c>
    </row>
    <row r="2667" spans="2:11" ht="13" x14ac:dyDescent="0.15">
      <c r="B2667" s="29" t="s">
        <v>3394</v>
      </c>
      <c r="C2667" s="29" t="s">
        <v>588</v>
      </c>
      <c r="D2667" s="31">
        <f>SUMIFS(D2668:D3130,K2668:K3130,"0",B2668:B3130,"5 1 3 3 2 12 31111 6 M78 10000 151*")-SUMIFS(E2668:E3130,K2668:K3130,"0",B2668:B3130,"5 1 3 3 2 12 31111 6 M78 10000 151*")</f>
        <v>0</v>
      </c>
      <c r="E2667"/>
      <c r="F2667" s="31">
        <f>SUMIFS(F2668:F3130,K2668:K3130,"0",B2668:B3130,"5 1 3 3 2 12 31111 6 M78 10000 151*")</f>
        <v>406000</v>
      </c>
      <c r="G2667" s="31">
        <f>SUMIFS(G2668:G3130,K2668:K3130,"0",B2668:B3130,"5 1 3 3 2 12 31111 6 M78 10000 151*")</f>
        <v>0</v>
      </c>
      <c r="H2667" s="31">
        <f t="shared" si="42"/>
        <v>406000</v>
      </c>
      <c r="I2667" s="31"/>
      <c r="K2667" t="s">
        <v>13</v>
      </c>
    </row>
    <row r="2668" spans="2:11" ht="13" x14ac:dyDescent="0.15">
      <c r="B2668" s="29" t="s">
        <v>3395</v>
      </c>
      <c r="C2668" s="29" t="s">
        <v>285</v>
      </c>
      <c r="D2668" s="31">
        <f>SUMIFS(D2669:D3130,K2669:K3130,"0",B2669:B3130,"5 1 3 3 2 12 31111 6 M78 10000 151 00I*")-SUMIFS(E2669:E3130,K2669:K3130,"0",B2669:B3130,"5 1 3 3 2 12 31111 6 M78 10000 151 00I*")</f>
        <v>0</v>
      </c>
      <c r="E2668"/>
      <c r="F2668" s="31">
        <f>SUMIFS(F2669:F3130,K2669:K3130,"0",B2669:B3130,"5 1 3 3 2 12 31111 6 M78 10000 151 00I*")</f>
        <v>406000</v>
      </c>
      <c r="G2668" s="31">
        <f>SUMIFS(G2669:G3130,K2669:K3130,"0",B2669:B3130,"5 1 3 3 2 12 31111 6 M78 10000 151 00I*")</f>
        <v>0</v>
      </c>
      <c r="H2668" s="31">
        <f t="shared" si="42"/>
        <v>406000</v>
      </c>
      <c r="I2668" s="31"/>
      <c r="K2668" t="s">
        <v>13</v>
      </c>
    </row>
    <row r="2669" spans="2:11" ht="13" x14ac:dyDescent="0.15">
      <c r="B2669" s="29" t="s">
        <v>3396</v>
      </c>
      <c r="C2669" s="29" t="s">
        <v>32</v>
      </c>
      <c r="D2669" s="31">
        <f>SUMIFS(D2670:D3130,K2670:K3130,"0",B2670:B3130,"5 1 3 3 2 12 31111 6 M78 10000 151 00I 001*")-SUMIFS(E2670:E3130,K2670:K3130,"0",B2670:B3130,"5 1 3 3 2 12 31111 6 M78 10000 151 00I 001*")</f>
        <v>0</v>
      </c>
      <c r="E2669"/>
      <c r="F2669" s="31">
        <f>SUMIFS(F2670:F3130,K2670:K3130,"0",B2670:B3130,"5 1 3 3 2 12 31111 6 M78 10000 151 00I 001*")</f>
        <v>406000</v>
      </c>
      <c r="G2669" s="31">
        <f>SUMIFS(G2670:G3130,K2670:K3130,"0",B2670:B3130,"5 1 3 3 2 12 31111 6 M78 10000 151 00I 001*")</f>
        <v>0</v>
      </c>
      <c r="H2669" s="31">
        <f t="shared" si="42"/>
        <v>406000</v>
      </c>
      <c r="I2669" s="31"/>
      <c r="K2669" t="s">
        <v>13</v>
      </c>
    </row>
    <row r="2670" spans="2:11" ht="22" x14ac:dyDescent="0.15">
      <c r="B2670" s="29" t="s">
        <v>3397</v>
      </c>
      <c r="C2670" s="29" t="s">
        <v>3398</v>
      </c>
      <c r="D2670" s="31">
        <f>SUMIFS(D2671:D3130,K2671:K3130,"0",B2671:B3130,"5 1 3 3 2 12 31111 6 M78 10000 151 00I 001 33201*")-SUMIFS(E2671:E3130,K2671:K3130,"0",B2671:B3130,"5 1 3 3 2 12 31111 6 M78 10000 151 00I 001 33201*")</f>
        <v>0</v>
      </c>
      <c r="E2670"/>
      <c r="F2670" s="31">
        <f>SUMIFS(F2671:F3130,K2671:K3130,"0",B2671:B3130,"5 1 3 3 2 12 31111 6 M78 10000 151 00I 001 33201*")</f>
        <v>406000</v>
      </c>
      <c r="G2670" s="31">
        <f>SUMIFS(G2671:G3130,K2671:K3130,"0",B2671:B3130,"5 1 3 3 2 12 31111 6 M78 10000 151 00I 001 33201*")</f>
        <v>0</v>
      </c>
      <c r="H2670" s="31">
        <f t="shared" si="42"/>
        <v>406000</v>
      </c>
      <c r="I2670" s="31"/>
      <c r="K2670" t="s">
        <v>13</v>
      </c>
    </row>
    <row r="2671" spans="2:11" ht="22" x14ac:dyDescent="0.15">
      <c r="B2671" s="29" t="s">
        <v>3399</v>
      </c>
      <c r="C2671" s="29" t="s">
        <v>290</v>
      </c>
      <c r="D2671" s="31">
        <f>SUMIFS(D2672:D3130,K2672:K3130,"0",B2672:B3130,"5 1 3 3 2 12 31111 6 M78 10000 151 00I 001 33201 025*")-SUMIFS(E2672:E3130,K2672:K3130,"0",B2672:B3130,"5 1 3 3 2 12 31111 6 M78 10000 151 00I 001 33201 025*")</f>
        <v>0</v>
      </c>
      <c r="E2671"/>
      <c r="F2671" s="31">
        <f>SUMIFS(F2672:F3130,K2672:K3130,"0",B2672:B3130,"5 1 3 3 2 12 31111 6 M78 10000 151 00I 001 33201 025*")</f>
        <v>406000</v>
      </c>
      <c r="G2671" s="31">
        <f>SUMIFS(G2672:G3130,K2672:K3130,"0",B2672:B3130,"5 1 3 3 2 12 31111 6 M78 10000 151 00I 001 33201 025*")</f>
        <v>0</v>
      </c>
      <c r="H2671" s="31">
        <f t="shared" si="42"/>
        <v>406000</v>
      </c>
      <c r="I2671" s="31"/>
      <c r="K2671" t="s">
        <v>13</v>
      </c>
    </row>
    <row r="2672" spans="2:11" ht="22" x14ac:dyDescent="0.15">
      <c r="B2672" s="29" t="s">
        <v>3400</v>
      </c>
      <c r="C2672" s="29" t="s">
        <v>595</v>
      </c>
      <c r="D2672" s="31">
        <f>SUMIFS(D2673:D3130,K2673:K3130,"0",B2673:B3130,"5 1 3 3 2 12 31111 6 M78 10000 151 00I 001 33201 025 2112000*")-SUMIFS(E2673:E3130,K2673:K3130,"0",B2673:B3130,"5 1 3 3 2 12 31111 6 M78 10000 151 00I 001 33201 025 2112000*")</f>
        <v>0</v>
      </c>
      <c r="E2672"/>
      <c r="F2672" s="31">
        <f>SUMIFS(F2673:F3130,K2673:K3130,"0",B2673:B3130,"5 1 3 3 2 12 31111 6 M78 10000 151 00I 001 33201 025 2112000*")</f>
        <v>406000</v>
      </c>
      <c r="G2672" s="31">
        <f>SUMIFS(G2673:G3130,K2673:K3130,"0",B2673:B3130,"5 1 3 3 2 12 31111 6 M78 10000 151 00I 001 33201 025 2112000*")</f>
        <v>0</v>
      </c>
      <c r="H2672" s="31">
        <f t="shared" si="42"/>
        <v>406000</v>
      </c>
      <c r="I2672" s="31"/>
      <c r="K2672" t="s">
        <v>13</v>
      </c>
    </row>
    <row r="2673" spans="2:11" ht="22" x14ac:dyDescent="0.15">
      <c r="B2673" s="29" t="s">
        <v>3401</v>
      </c>
      <c r="C2673" s="29" t="s">
        <v>275</v>
      </c>
      <c r="D2673" s="31">
        <f>SUMIFS(D2674:D3130,K2674:K3130,"0",B2674:B3130,"5 1 3 3 2 12 31111 6 M78 10000 151 00I 001 33201 025 2112000 2024*")-SUMIFS(E2674:E3130,K2674:K3130,"0",B2674:B3130,"5 1 3 3 2 12 31111 6 M78 10000 151 00I 001 33201 025 2112000 2024*")</f>
        <v>0</v>
      </c>
      <c r="E2673"/>
      <c r="F2673" s="31">
        <f>SUMIFS(F2674:F3130,K2674:K3130,"0",B2674:B3130,"5 1 3 3 2 12 31111 6 M78 10000 151 00I 001 33201 025 2112000 2024*")</f>
        <v>406000</v>
      </c>
      <c r="G2673" s="31">
        <f>SUMIFS(G2674:G3130,K2674:K3130,"0",B2674:B3130,"5 1 3 3 2 12 31111 6 M78 10000 151 00I 001 33201 025 2112000 2024*")</f>
        <v>0</v>
      </c>
      <c r="H2673" s="31">
        <f t="shared" si="42"/>
        <v>406000</v>
      </c>
      <c r="I2673" s="31"/>
      <c r="K2673" t="s">
        <v>13</v>
      </c>
    </row>
    <row r="2674" spans="2:11" ht="22" x14ac:dyDescent="0.15">
      <c r="B2674" s="29" t="s">
        <v>3402</v>
      </c>
      <c r="C2674" s="29" t="s">
        <v>277</v>
      </c>
      <c r="D2674" s="31">
        <f>SUMIFS(D2675:D3130,K2675:K3130,"0",B2675:B3130,"5 1 3 3 2 12 31111 6 M78 10000 151 00I 001 33201 025 2112000 2024 00000000*")-SUMIFS(E2675:E3130,K2675:K3130,"0",B2675:B3130,"5 1 3 3 2 12 31111 6 M78 10000 151 00I 001 33201 025 2112000 2024 00000000*")</f>
        <v>0</v>
      </c>
      <c r="E2674"/>
      <c r="F2674" s="31">
        <f>SUMIFS(F2675:F3130,K2675:K3130,"0",B2675:B3130,"5 1 3 3 2 12 31111 6 M78 10000 151 00I 001 33201 025 2112000 2024 00000000*")</f>
        <v>406000</v>
      </c>
      <c r="G2674" s="31">
        <f>SUMIFS(G2675:G3130,K2675:K3130,"0",B2675:B3130,"5 1 3 3 2 12 31111 6 M78 10000 151 00I 001 33201 025 2112000 2024 00000000*")</f>
        <v>0</v>
      </c>
      <c r="H2674" s="31">
        <f t="shared" si="42"/>
        <v>406000</v>
      </c>
      <c r="I2674" s="31"/>
      <c r="K2674" t="s">
        <v>13</v>
      </c>
    </row>
    <row r="2675" spans="2:11" ht="22" x14ac:dyDescent="0.15">
      <c r="B2675" s="27" t="s">
        <v>3403</v>
      </c>
      <c r="C2675" s="27" t="s">
        <v>3404</v>
      </c>
      <c r="D2675" s="30">
        <v>0</v>
      </c>
      <c r="E2675" s="30"/>
      <c r="F2675" s="30">
        <v>406000</v>
      </c>
      <c r="G2675" s="30">
        <v>0</v>
      </c>
      <c r="H2675" s="30">
        <f t="shared" si="42"/>
        <v>406000</v>
      </c>
      <c r="I2675" s="30"/>
      <c r="K2675" t="s">
        <v>37</v>
      </c>
    </row>
    <row r="2676" spans="2:11" ht="13" x14ac:dyDescent="0.15">
      <c r="B2676" s="29" t="s">
        <v>3405</v>
      </c>
      <c r="C2676" s="29" t="s">
        <v>3406</v>
      </c>
      <c r="D2676" s="31">
        <f>SUMIFS(D2677:D3130,K2677:K3130,"0",B2677:B3130,"5 1 3 3 4*")-SUMIFS(E2677:E3130,K2677:K3130,"0",B2677:B3130,"5 1 3 3 4*")</f>
        <v>0</v>
      </c>
      <c r="E2676"/>
      <c r="F2676" s="31">
        <f>SUMIFS(F2677:F3130,K2677:K3130,"0",B2677:B3130,"5 1 3 3 4*")</f>
        <v>80000</v>
      </c>
      <c r="G2676" s="31">
        <f>SUMIFS(G2677:G3130,K2677:K3130,"0",B2677:B3130,"5 1 3 3 4*")</f>
        <v>0</v>
      </c>
      <c r="H2676" s="31">
        <f t="shared" si="42"/>
        <v>80000</v>
      </c>
      <c r="I2676" s="31"/>
      <c r="K2676" t="s">
        <v>13</v>
      </c>
    </row>
    <row r="2677" spans="2:11" ht="13" x14ac:dyDescent="0.15">
      <c r="B2677" s="29" t="s">
        <v>3407</v>
      </c>
      <c r="C2677" s="29" t="s">
        <v>24</v>
      </c>
      <c r="D2677" s="31">
        <f>SUMIFS(D2678:D3130,K2678:K3130,"0",B2678:B3130,"5 1 3 3 4 12*")-SUMIFS(E2678:E3130,K2678:K3130,"0",B2678:B3130,"5 1 3 3 4 12*")</f>
        <v>0</v>
      </c>
      <c r="E2677"/>
      <c r="F2677" s="31">
        <f>SUMIFS(F2678:F3130,K2678:K3130,"0",B2678:B3130,"5 1 3 3 4 12*")</f>
        <v>80000</v>
      </c>
      <c r="G2677" s="31">
        <f>SUMIFS(G2678:G3130,K2678:K3130,"0",B2678:B3130,"5 1 3 3 4 12*")</f>
        <v>0</v>
      </c>
      <c r="H2677" s="31">
        <f t="shared" si="42"/>
        <v>80000</v>
      </c>
      <c r="I2677" s="31"/>
      <c r="K2677" t="s">
        <v>13</v>
      </c>
    </row>
    <row r="2678" spans="2:11" ht="13" x14ac:dyDescent="0.15">
      <c r="B2678" s="29" t="s">
        <v>3408</v>
      </c>
      <c r="C2678" s="29" t="s">
        <v>26</v>
      </c>
      <c r="D2678" s="31">
        <f>SUMIFS(D2679:D3130,K2679:K3130,"0",B2679:B3130,"5 1 3 3 4 12 31111*")-SUMIFS(E2679:E3130,K2679:K3130,"0",B2679:B3130,"5 1 3 3 4 12 31111*")</f>
        <v>0</v>
      </c>
      <c r="E2678"/>
      <c r="F2678" s="31">
        <f>SUMIFS(F2679:F3130,K2679:K3130,"0",B2679:B3130,"5 1 3 3 4 12 31111*")</f>
        <v>80000</v>
      </c>
      <c r="G2678" s="31">
        <f>SUMIFS(G2679:G3130,K2679:K3130,"0",B2679:B3130,"5 1 3 3 4 12 31111*")</f>
        <v>0</v>
      </c>
      <c r="H2678" s="31">
        <f t="shared" si="42"/>
        <v>80000</v>
      </c>
      <c r="I2678" s="31"/>
      <c r="K2678" t="s">
        <v>13</v>
      </c>
    </row>
    <row r="2679" spans="2:11" ht="13" x14ac:dyDescent="0.15">
      <c r="B2679" s="29" t="s">
        <v>3409</v>
      </c>
      <c r="C2679" s="29" t="s">
        <v>28</v>
      </c>
      <c r="D2679" s="31">
        <f>SUMIFS(D2680:D3130,K2680:K3130,"0",B2680:B3130,"5 1 3 3 4 12 31111 6*")-SUMIFS(E2680:E3130,K2680:K3130,"0",B2680:B3130,"5 1 3 3 4 12 31111 6*")</f>
        <v>0</v>
      </c>
      <c r="E2679"/>
      <c r="F2679" s="31">
        <f>SUMIFS(F2680:F3130,K2680:K3130,"0",B2680:B3130,"5 1 3 3 4 12 31111 6*")</f>
        <v>80000</v>
      </c>
      <c r="G2679" s="31">
        <f>SUMIFS(G2680:G3130,K2680:K3130,"0",B2680:B3130,"5 1 3 3 4 12 31111 6*")</f>
        <v>0</v>
      </c>
      <c r="H2679" s="31">
        <f t="shared" si="42"/>
        <v>80000</v>
      </c>
      <c r="I2679" s="31"/>
      <c r="K2679" t="s">
        <v>13</v>
      </c>
    </row>
    <row r="2680" spans="2:11" ht="13" x14ac:dyDescent="0.15">
      <c r="B2680" s="29" t="s">
        <v>3410</v>
      </c>
      <c r="C2680" s="29" t="s">
        <v>1567</v>
      </c>
      <c r="D2680" s="31">
        <f>SUMIFS(D2681:D3130,K2681:K3130,"0",B2681:B3130,"5 1 3 3 4 12 31111 6 M78*")-SUMIFS(E2681:E3130,K2681:K3130,"0",B2681:B3130,"5 1 3 3 4 12 31111 6 M78*")</f>
        <v>0</v>
      </c>
      <c r="E2680"/>
      <c r="F2680" s="31">
        <f>SUMIFS(F2681:F3130,K2681:K3130,"0",B2681:B3130,"5 1 3 3 4 12 31111 6 M78*")</f>
        <v>80000</v>
      </c>
      <c r="G2680" s="31">
        <f>SUMIFS(G2681:G3130,K2681:K3130,"0",B2681:B3130,"5 1 3 3 4 12 31111 6 M78*")</f>
        <v>0</v>
      </c>
      <c r="H2680" s="31">
        <f t="shared" si="42"/>
        <v>80000</v>
      </c>
      <c r="I2680" s="31"/>
      <c r="K2680" t="s">
        <v>13</v>
      </c>
    </row>
    <row r="2681" spans="2:11" ht="13" x14ac:dyDescent="0.15">
      <c r="B2681" s="29" t="s">
        <v>3411</v>
      </c>
      <c r="C2681" s="29" t="s">
        <v>833</v>
      </c>
      <c r="D2681" s="31">
        <f>SUMIFS(D2682:D3130,K2682:K3130,"0",B2682:B3130,"5 1 3 3 4 12 31111 6 M78 15000*")-SUMIFS(E2682:E3130,K2682:K3130,"0",B2682:B3130,"5 1 3 3 4 12 31111 6 M78 15000*")</f>
        <v>0</v>
      </c>
      <c r="E2681"/>
      <c r="F2681" s="31">
        <f>SUMIFS(F2682:F3130,K2682:K3130,"0",B2682:B3130,"5 1 3 3 4 12 31111 6 M78 15000*")</f>
        <v>80000</v>
      </c>
      <c r="G2681" s="31">
        <f>SUMIFS(G2682:G3130,K2682:K3130,"0",B2682:B3130,"5 1 3 3 4 12 31111 6 M78 15000*")</f>
        <v>0</v>
      </c>
      <c r="H2681" s="31">
        <f t="shared" si="42"/>
        <v>80000</v>
      </c>
      <c r="I2681" s="31"/>
      <c r="K2681" t="s">
        <v>13</v>
      </c>
    </row>
    <row r="2682" spans="2:11" ht="13" x14ac:dyDescent="0.15">
      <c r="B2682" s="29" t="s">
        <v>3412</v>
      </c>
      <c r="C2682" s="29" t="s">
        <v>835</v>
      </c>
      <c r="D2682" s="31">
        <f>SUMIFS(D2683:D3130,K2683:K3130,"0",B2683:B3130,"5 1 3 3 4 12 31111 6 M78 15000 171*")-SUMIFS(E2683:E3130,K2683:K3130,"0",B2683:B3130,"5 1 3 3 4 12 31111 6 M78 15000 171*")</f>
        <v>0</v>
      </c>
      <c r="E2682"/>
      <c r="F2682" s="31">
        <f>SUMIFS(F2683:F3130,K2683:K3130,"0",B2683:B3130,"5 1 3 3 4 12 31111 6 M78 15000 171*")</f>
        <v>80000</v>
      </c>
      <c r="G2682" s="31">
        <f>SUMIFS(G2683:G3130,K2683:K3130,"0",B2683:B3130,"5 1 3 3 4 12 31111 6 M78 15000 171*")</f>
        <v>0</v>
      </c>
      <c r="H2682" s="31">
        <f t="shared" si="42"/>
        <v>80000</v>
      </c>
      <c r="I2682" s="31"/>
      <c r="K2682" t="s">
        <v>13</v>
      </c>
    </row>
    <row r="2683" spans="2:11" ht="13" x14ac:dyDescent="0.15">
      <c r="B2683" s="29" t="s">
        <v>3413</v>
      </c>
      <c r="C2683" s="29" t="s">
        <v>285</v>
      </c>
      <c r="D2683" s="31">
        <f>SUMIFS(D2684:D3130,K2684:K3130,"0",B2684:B3130,"5 1 3 3 4 12 31111 6 M78 15000 171 00I*")-SUMIFS(E2684:E3130,K2684:K3130,"0",B2684:B3130,"5 1 3 3 4 12 31111 6 M78 15000 171 00I*")</f>
        <v>0</v>
      </c>
      <c r="E2683"/>
      <c r="F2683" s="31">
        <f>SUMIFS(F2684:F3130,K2684:K3130,"0",B2684:B3130,"5 1 3 3 4 12 31111 6 M78 15000 171 00I*")</f>
        <v>80000</v>
      </c>
      <c r="G2683" s="31">
        <f>SUMIFS(G2684:G3130,K2684:K3130,"0",B2684:B3130,"5 1 3 3 4 12 31111 6 M78 15000 171 00I*")</f>
        <v>0</v>
      </c>
      <c r="H2683" s="31">
        <f t="shared" si="42"/>
        <v>80000</v>
      </c>
      <c r="I2683" s="31"/>
      <c r="K2683" t="s">
        <v>13</v>
      </c>
    </row>
    <row r="2684" spans="2:11" ht="13" x14ac:dyDescent="0.15">
      <c r="B2684" s="29" t="s">
        <v>3414</v>
      </c>
      <c r="C2684" s="29" t="s">
        <v>32</v>
      </c>
      <c r="D2684" s="31">
        <f>SUMIFS(D2685:D3130,K2685:K3130,"0",B2685:B3130,"5 1 3 3 4 12 31111 6 M78 15000 171 00I 001*")-SUMIFS(E2685:E3130,K2685:K3130,"0",B2685:B3130,"5 1 3 3 4 12 31111 6 M78 15000 171 00I 001*")</f>
        <v>0</v>
      </c>
      <c r="E2684"/>
      <c r="F2684" s="31">
        <f>SUMIFS(F2685:F3130,K2685:K3130,"0",B2685:B3130,"5 1 3 3 4 12 31111 6 M78 15000 171 00I 001*")</f>
        <v>80000</v>
      </c>
      <c r="G2684" s="31">
        <f>SUMIFS(G2685:G3130,K2685:K3130,"0",B2685:B3130,"5 1 3 3 4 12 31111 6 M78 15000 171 00I 001*")</f>
        <v>0</v>
      </c>
      <c r="H2684" s="31">
        <f t="shared" si="42"/>
        <v>80000</v>
      </c>
      <c r="I2684" s="31"/>
      <c r="K2684" t="s">
        <v>13</v>
      </c>
    </row>
    <row r="2685" spans="2:11" ht="13" x14ac:dyDescent="0.15">
      <c r="B2685" s="29" t="s">
        <v>3415</v>
      </c>
      <c r="C2685" s="29" t="s">
        <v>3416</v>
      </c>
      <c r="D2685" s="31">
        <f>SUMIFS(D2686:D3130,K2686:K3130,"0",B2686:B3130,"5 1 3 3 4 12 31111 6 M78 15000 171 00I 001 33401*")-SUMIFS(E2686:E3130,K2686:K3130,"0",B2686:B3130,"5 1 3 3 4 12 31111 6 M78 15000 171 00I 001 33401*")</f>
        <v>0</v>
      </c>
      <c r="E2685"/>
      <c r="F2685" s="31">
        <f>SUMIFS(F2686:F3130,K2686:K3130,"0",B2686:B3130,"5 1 3 3 4 12 31111 6 M78 15000 171 00I 001 33401*")</f>
        <v>80000</v>
      </c>
      <c r="G2685" s="31">
        <f>SUMIFS(G2686:G3130,K2686:K3130,"0",B2686:B3130,"5 1 3 3 4 12 31111 6 M78 15000 171 00I 001 33401*")</f>
        <v>0</v>
      </c>
      <c r="H2685" s="31">
        <f t="shared" si="42"/>
        <v>80000</v>
      </c>
      <c r="I2685" s="31"/>
      <c r="K2685" t="s">
        <v>13</v>
      </c>
    </row>
    <row r="2686" spans="2:11" ht="22" x14ac:dyDescent="0.15">
      <c r="B2686" s="29" t="s">
        <v>3417</v>
      </c>
      <c r="C2686" s="29" t="s">
        <v>3418</v>
      </c>
      <c r="D2686" s="31">
        <f>SUMIFS(D2687:D3130,K2687:K3130,"0",B2687:B3130,"5 1 3 3 4 12 31111 6 M78 15000 171 00I 001 33401 025*")-SUMIFS(E2687:E3130,K2687:K3130,"0",B2687:B3130,"5 1 3 3 4 12 31111 6 M78 15000 171 00I 001 33401 025*")</f>
        <v>0</v>
      </c>
      <c r="E2686"/>
      <c r="F2686" s="31">
        <f>SUMIFS(F2687:F3130,K2687:K3130,"0",B2687:B3130,"5 1 3 3 4 12 31111 6 M78 15000 171 00I 001 33401 025*")</f>
        <v>80000</v>
      </c>
      <c r="G2686" s="31">
        <f>SUMIFS(G2687:G3130,K2687:K3130,"0",B2687:B3130,"5 1 3 3 4 12 31111 6 M78 15000 171 00I 001 33401 025*")</f>
        <v>0</v>
      </c>
      <c r="H2686" s="31">
        <f t="shared" si="42"/>
        <v>80000</v>
      </c>
      <c r="I2686" s="31"/>
      <c r="K2686" t="s">
        <v>13</v>
      </c>
    </row>
    <row r="2687" spans="2:11" ht="22" x14ac:dyDescent="0.15">
      <c r="B2687" s="29" t="s">
        <v>3419</v>
      </c>
      <c r="C2687" s="29" t="s">
        <v>595</v>
      </c>
      <c r="D2687" s="31">
        <f>SUMIFS(D2688:D3130,K2688:K3130,"0",B2688:B3130,"5 1 3 3 4 12 31111 6 M78 15000 171 00I 001 33401 025 2112000*")-SUMIFS(E2688:E3130,K2688:K3130,"0",B2688:B3130,"5 1 3 3 4 12 31111 6 M78 15000 171 00I 001 33401 025 2112000*")</f>
        <v>0</v>
      </c>
      <c r="E2687"/>
      <c r="F2687" s="31">
        <f>SUMIFS(F2688:F3130,K2688:K3130,"0",B2688:B3130,"5 1 3 3 4 12 31111 6 M78 15000 171 00I 001 33401 025 2112000*")</f>
        <v>80000</v>
      </c>
      <c r="G2687" s="31">
        <f>SUMIFS(G2688:G3130,K2688:K3130,"0",B2688:B3130,"5 1 3 3 4 12 31111 6 M78 15000 171 00I 001 33401 025 2112000*")</f>
        <v>0</v>
      </c>
      <c r="H2687" s="31">
        <f t="shared" si="42"/>
        <v>80000</v>
      </c>
      <c r="I2687" s="31"/>
      <c r="K2687" t="s">
        <v>13</v>
      </c>
    </row>
    <row r="2688" spans="2:11" ht="22" x14ac:dyDescent="0.15">
      <c r="B2688" s="29" t="s">
        <v>3420</v>
      </c>
      <c r="C2688" s="29" t="s">
        <v>275</v>
      </c>
      <c r="D2688" s="31">
        <f>SUMIFS(D2689:D3130,K2689:K3130,"0",B2689:B3130,"5 1 3 3 4 12 31111 6 M78 15000 171 00I 001 33401 025 2112000 2024*")-SUMIFS(E2689:E3130,K2689:K3130,"0",B2689:B3130,"5 1 3 3 4 12 31111 6 M78 15000 171 00I 001 33401 025 2112000 2024*")</f>
        <v>0</v>
      </c>
      <c r="E2688"/>
      <c r="F2688" s="31">
        <f>SUMIFS(F2689:F3130,K2689:K3130,"0",B2689:B3130,"5 1 3 3 4 12 31111 6 M78 15000 171 00I 001 33401 025 2112000 2024*")</f>
        <v>80000</v>
      </c>
      <c r="G2688" s="31">
        <f>SUMIFS(G2689:G3130,K2689:K3130,"0",B2689:B3130,"5 1 3 3 4 12 31111 6 M78 15000 171 00I 001 33401 025 2112000 2024*")</f>
        <v>0</v>
      </c>
      <c r="H2688" s="31">
        <f t="shared" si="42"/>
        <v>80000</v>
      </c>
      <c r="I2688" s="31"/>
      <c r="K2688" t="s">
        <v>13</v>
      </c>
    </row>
    <row r="2689" spans="2:11" ht="22" x14ac:dyDescent="0.15">
      <c r="B2689" s="29" t="s">
        <v>3421</v>
      </c>
      <c r="C2689" s="29" t="s">
        <v>277</v>
      </c>
      <c r="D2689" s="31">
        <f>SUMIFS(D2690:D3130,K2690:K3130,"0",B2690:B3130,"5 1 3 3 4 12 31111 6 M78 15000 171 00I 001 33401 025 2112000 2024 00000000*")-SUMIFS(E2690:E3130,K2690:K3130,"0",B2690:B3130,"5 1 3 3 4 12 31111 6 M78 15000 171 00I 001 33401 025 2112000 2024 00000000*")</f>
        <v>0</v>
      </c>
      <c r="E2689"/>
      <c r="F2689" s="31">
        <f>SUMIFS(F2690:F3130,K2690:K3130,"0",B2690:B3130,"5 1 3 3 4 12 31111 6 M78 15000 171 00I 001 33401 025 2112000 2024 00000000*")</f>
        <v>80000</v>
      </c>
      <c r="G2689" s="31">
        <f>SUMIFS(G2690:G3130,K2690:K3130,"0",B2690:B3130,"5 1 3 3 4 12 31111 6 M78 15000 171 00I 001 33401 025 2112000 2024 00000000*")</f>
        <v>0</v>
      </c>
      <c r="H2689" s="31">
        <f t="shared" si="42"/>
        <v>80000</v>
      </c>
      <c r="I2689" s="31"/>
      <c r="K2689" t="s">
        <v>13</v>
      </c>
    </row>
    <row r="2690" spans="2:11" ht="22" x14ac:dyDescent="0.15">
      <c r="B2690" s="29" t="s">
        <v>3422</v>
      </c>
      <c r="C2690" s="29" t="s">
        <v>3131</v>
      </c>
      <c r="D2690" s="31">
        <f>SUMIFS(D2691:D3130,K2691:K3130,"0",B2691:B3130,"5 1 3 3 4 12 31111 6 M78 15000 171 00I 001 33401 025 2112000 2024 00000000 003*")-SUMIFS(E2691:E3130,K2691:K3130,"0",B2691:B3130,"5 1 3 3 4 12 31111 6 M78 15000 171 00I 001 33401 025 2112000 2024 00000000 003*")</f>
        <v>0</v>
      </c>
      <c r="E2690"/>
      <c r="F2690" s="31">
        <f>SUMIFS(F2691:F3130,K2691:K3130,"0",B2691:B3130,"5 1 3 3 4 12 31111 6 M78 15000 171 00I 001 33401 025 2112000 2024 00000000 003*")</f>
        <v>80000</v>
      </c>
      <c r="G2690" s="31">
        <f>SUMIFS(G2691:G3130,K2691:K3130,"0",B2691:B3130,"5 1 3 3 4 12 31111 6 M78 15000 171 00I 001 33401 025 2112000 2024 00000000 003*")</f>
        <v>0</v>
      </c>
      <c r="H2690" s="31">
        <f t="shared" si="42"/>
        <v>80000</v>
      </c>
      <c r="I2690" s="31"/>
      <c r="K2690" t="s">
        <v>13</v>
      </c>
    </row>
    <row r="2691" spans="2:11" ht="22" x14ac:dyDescent="0.15">
      <c r="B2691" s="27" t="s">
        <v>3423</v>
      </c>
      <c r="C2691" s="27" t="s">
        <v>3424</v>
      </c>
      <c r="D2691" s="30">
        <v>0</v>
      </c>
      <c r="E2691" s="30"/>
      <c r="F2691" s="30">
        <v>80000</v>
      </c>
      <c r="G2691" s="30">
        <v>0</v>
      </c>
      <c r="H2691" s="30">
        <f t="shared" si="42"/>
        <v>80000</v>
      </c>
      <c r="I2691" s="30"/>
      <c r="K2691" t="s">
        <v>37</v>
      </c>
    </row>
    <row r="2692" spans="2:11" ht="22" x14ac:dyDescent="0.15">
      <c r="B2692" s="29" t="s">
        <v>3425</v>
      </c>
      <c r="C2692" s="29" t="s">
        <v>3426</v>
      </c>
      <c r="D2692" s="31">
        <f>SUMIFS(D2693:D3130,K2693:K3130,"0",B2693:B3130,"5 1 3 3 6*")-SUMIFS(E2693:E3130,K2693:K3130,"0",B2693:B3130,"5 1 3 3 6*")</f>
        <v>0</v>
      </c>
      <c r="E2692"/>
      <c r="F2692" s="31">
        <f>SUMIFS(F2693:F3130,K2693:K3130,"0",B2693:B3130,"5 1 3 3 6*")</f>
        <v>325977.52</v>
      </c>
      <c r="G2692" s="31">
        <f>SUMIFS(G2693:G3130,K2693:K3130,"0",B2693:B3130,"5 1 3 3 6*")</f>
        <v>0</v>
      </c>
      <c r="H2692" s="31">
        <f t="shared" si="42"/>
        <v>325977.52</v>
      </c>
      <c r="I2692" s="31"/>
      <c r="K2692" t="s">
        <v>13</v>
      </c>
    </row>
    <row r="2693" spans="2:11" ht="13" x14ac:dyDescent="0.15">
      <c r="B2693" s="29" t="s">
        <v>3427</v>
      </c>
      <c r="C2693" s="29" t="s">
        <v>24</v>
      </c>
      <c r="D2693" s="31">
        <f>SUMIFS(D2694:D3130,K2694:K3130,"0",B2694:B3130,"5 1 3 3 6 12*")-SUMIFS(E2694:E3130,K2694:K3130,"0",B2694:B3130,"5 1 3 3 6 12*")</f>
        <v>0</v>
      </c>
      <c r="E2693"/>
      <c r="F2693" s="31">
        <f>SUMIFS(F2694:F3130,K2694:K3130,"0",B2694:B3130,"5 1 3 3 6 12*")</f>
        <v>325977.52</v>
      </c>
      <c r="G2693" s="31">
        <f>SUMIFS(G2694:G3130,K2694:K3130,"0",B2694:B3130,"5 1 3 3 6 12*")</f>
        <v>0</v>
      </c>
      <c r="H2693" s="31">
        <f t="shared" si="42"/>
        <v>325977.52</v>
      </c>
      <c r="I2693" s="31"/>
      <c r="K2693" t="s">
        <v>13</v>
      </c>
    </row>
    <row r="2694" spans="2:11" ht="13" x14ac:dyDescent="0.15">
      <c r="B2694" s="29" t="s">
        <v>3428</v>
      </c>
      <c r="C2694" s="29" t="s">
        <v>26</v>
      </c>
      <c r="D2694" s="31">
        <f>SUMIFS(D2695:D3130,K2695:K3130,"0",B2695:B3130,"5 1 3 3 6 12 31111*")-SUMIFS(E2695:E3130,K2695:K3130,"0",B2695:B3130,"5 1 3 3 6 12 31111*")</f>
        <v>0</v>
      </c>
      <c r="E2694"/>
      <c r="F2694" s="31">
        <f>SUMIFS(F2695:F3130,K2695:K3130,"0",B2695:B3130,"5 1 3 3 6 12 31111*")</f>
        <v>325977.52</v>
      </c>
      <c r="G2694" s="31">
        <f>SUMIFS(G2695:G3130,K2695:K3130,"0",B2695:B3130,"5 1 3 3 6 12 31111*")</f>
        <v>0</v>
      </c>
      <c r="H2694" s="31">
        <f t="shared" si="42"/>
        <v>325977.52</v>
      </c>
      <c r="I2694" s="31"/>
      <c r="K2694" t="s">
        <v>13</v>
      </c>
    </row>
    <row r="2695" spans="2:11" ht="13" x14ac:dyDescent="0.15">
      <c r="B2695" s="29" t="s">
        <v>3429</v>
      </c>
      <c r="C2695" s="29" t="s">
        <v>28</v>
      </c>
      <c r="D2695" s="31">
        <f>SUMIFS(D2696:D3130,K2696:K3130,"0",B2696:B3130,"5 1 3 3 6 12 31111 6*")-SUMIFS(E2696:E3130,K2696:K3130,"0",B2696:B3130,"5 1 3 3 6 12 31111 6*")</f>
        <v>0</v>
      </c>
      <c r="E2695"/>
      <c r="F2695" s="31">
        <f>SUMIFS(F2696:F3130,K2696:K3130,"0",B2696:B3130,"5 1 3 3 6 12 31111 6*")</f>
        <v>325977.52</v>
      </c>
      <c r="G2695" s="31">
        <f>SUMIFS(G2696:G3130,K2696:K3130,"0",B2696:B3130,"5 1 3 3 6 12 31111 6*")</f>
        <v>0</v>
      </c>
      <c r="H2695" s="31">
        <f t="shared" si="42"/>
        <v>325977.52</v>
      </c>
      <c r="I2695" s="31"/>
      <c r="K2695" t="s">
        <v>13</v>
      </c>
    </row>
    <row r="2696" spans="2:11" ht="13" x14ac:dyDescent="0.15">
      <c r="B2696" s="29" t="s">
        <v>3430</v>
      </c>
      <c r="C2696" s="29" t="s">
        <v>1567</v>
      </c>
      <c r="D2696" s="31">
        <f>SUMIFS(D2697:D3130,K2697:K3130,"0",B2697:B3130,"5 1 3 3 6 12 31111 6 M78*")-SUMIFS(E2697:E3130,K2697:K3130,"0",B2697:B3130,"5 1 3 3 6 12 31111 6 M78*")</f>
        <v>0</v>
      </c>
      <c r="E2696"/>
      <c r="F2696" s="31">
        <f>SUMIFS(F2697:F3130,K2697:K3130,"0",B2697:B3130,"5 1 3 3 6 12 31111 6 M78*")</f>
        <v>325977.52</v>
      </c>
      <c r="G2696" s="31">
        <f>SUMIFS(G2697:G3130,K2697:K3130,"0",B2697:B3130,"5 1 3 3 6 12 31111 6 M78*")</f>
        <v>0</v>
      </c>
      <c r="H2696" s="31">
        <f t="shared" si="42"/>
        <v>325977.52</v>
      </c>
      <c r="I2696" s="31"/>
      <c r="K2696" t="s">
        <v>13</v>
      </c>
    </row>
    <row r="2697" spans="2:11" ht="13" x14ac:dyDescent="0.15">
      <c r="B2697" s="29" t="s">
        <v>3431</v>
      </c>
      <c r="C2697" s="29" t="s">
        <v>8</v>
      </c>
      <c r="D2697" s="31">
        <f>SUMIFS(D2698:D3130,K2698:K3130,"0",B2698:B3130,"5 1 3 3 6 12 31111 6 M78 07000*")-SUMIFS(E2698:E3130,K2698:K3130,"0",B2698:B3130,"5 1 3 3 6 12 31111 6 M78 07000*")</f>
        <v>0</v>
      </c>
      <c r="E2697"/>
      <c r="F2697" s="31">
        <f>SUMIFS(F2698:F3130,K2698:K3130,"0",B2698:B3130,"5 1 3 3 6 12 31111 6 M78 07000*")</f>
        <v>245497.52</v>
      </c>
      <c r="G2697" s="31">
        <f>SUMIFS(G2698:G3130,K2698:K3130,"0",B2698:B3130,"5 1 3 3 6 12 31111 6 M78 07000*")</f>
        <v>0</v>
      </c>
      <c r="H2697" s="31">
        <f t="shared" si="42"/>
        <v>245497.52</v>
      </c>
      <c r="I2697" s="31"/>
      <c r="K2697" t="s">
        <v>13</v>
      </c>
    </row>
    <row r="2698" spans="2:11" ht="13" x14ac:dyDescent="0.15">
      <c r="B2698" s="29" t="s">
        <v>3432</v>
      </c>
      <c r="C2698" s="29" t="s">
        <v>588</v>
      </c>
      <c r="D2698" s="31">
        <f>SUMIFS(D2699:D3130,K2699:K3130,"0",B2699:B3130,"5 1 3 3 6 12 31111 6 M78 07000 151*")-SUMIFS(E2699:E3130,K2699:K3130,"0",B2699:B3130,"5 1 3 3 6 12 31111 6 M78 07000 151*")</f>
        <v>0</v>
      </c>
      <c r="E2698"/>
      <c r="F2698" s="31">
        <f>SUMIFS(F2699:F3130,K2699:K3130,"0",B2699:B3130,"5 1 3 3 6 12 31111 6 M78 07000 151*")</f>
        <v>245497.52</v>
      </c>
      <c r="G2698" s="31">
        <f>SUMIFS(G2699:G3130,K2699:K3130,"0",B2699:B3130,"5 1 3 3 6 12 31111 6 M78 07000 151*")</f>
        <v>0</v>
      </c>
      <c r="H2698" s="31">
        <f t="shared" si="42"/>
        <v>245497.52</v>
      </c>
      <c r="I2698" s="31"/>
      <c r="K2698" t="s">
        <v>13</v>
      </c>
    </row>
    <row r="2699" spans="2:11" ht="13" x14ac:dyDescent="0.15">
      <c r="B2699" s="29" t="s">
        <v>3433</v>
      </c>
      <c r="C2699" s="29" t="s">
        <v>265</v>
      </c>
      <c r="D2699" s="31">
        <f>SUMIFS(D2700:D3130,K2700:K3130,"0",B2700:B3130,"5 1 3 3 6 12 31111 6 M78 07000 151 00C*")-SUMIFS(E2700:E3130,K2700:K3130,"0",B2700:B3130,"5 1 3 3 6 12 31111 6 M78 07000 151 00C*")</f>
        <v>0</v>
      </c>
      <c r="E2699"/>
      <c r="F2699" s="31">
        <f>SUMIFS(F2700:F3130,K2700:K3130,"0",B2700:B3130,"5 1 3 3 6 12 31111 6 M78 07000 151 00C*")</f>
        <v>241697.52</v>
      </c>
      <c r="G2699" s="31">
        <f>SUMIFS(G2700:G3130,K2700:K3130,"0",B2700:B3130,"5 1 3 3 6 12 31111 6 M78 07000 151 00C*")</f>
        <v>0</v>
      </c>
      <c r="H2699" s="31">
        <f t="shared" ref="H2699:H2762" si="43">D2699 + F2699 - G2699</f>
        <v>241697.52</v>
      </c>
      <c r="I2699" s="31"/>
      <c r="K2699" t="s">
        <v>13</v>
      </c>
    </row>
    <row r="2700" spans="2:11" ht="13" x14ac:dyDescent="0.15">
      <c r="B2700" s="29" t="s">
        <v>3434</v>
      </c>
      <c r="C2700" s="29" t="s">
        <v>32</v>
      </c>
      <c r="D2700" s="31">
        <f>SUMIFS(D2701:D3130,K2701:K3130,"0",B2701:B3130,"5 1 3 3 6 12 31111 6 M78 07000 151 00C 001*")-SUMIFS(E2701:E3130,K2701:K3130,"0",B2701:B3130,"5 1 3 3 6 12 31111 6 M78 07000 151 00C 001*")</f>
        <v>0</v>
      </c>
      <c r="E2700"/>
      <c r="F2700" s="31">
        <f>SUMIFS(F2701:F3130,K2701:K3130,"0",B2701:B3130,"5 1 3 3 6 12 31111 6 M78 07000 151 00C 001*")</f>
        <v>241697.52</v>
      </c>
      <c r="G2700" s="31">
        <f>SUMIFS(G2701:G3130,K2701:K3130,"0",B2701:B3130,"5 1 3 3 6 12 31111 6 M78 07000 151 00C 001*")</f>
        <v>0</v>
      </c>
      <c r="H2700" s="31">
        <f t="shared" si="43"/>
        <v>241697.52</v>
      </c>
      <c r="I2700" s="31"/>
      <c r="K2700" t="s">
        <v>13</v>
      </c>
    </row>
    <row r="2701" spans="2:11" ht="33" x14ac:dyDescent="0.15">
      <c r="B2701" s="29" t="s">
        <v>3435</v>
      </c>
      <c r="C2701" s="29" t="s">
        <v>3436</v>
      </c>
      <c r="D2701" s="31">
        <f>SUMIFS(D2702:D3130,K2702:K3130,"0",B2702:B3130,"5 1 3 3 6 12 31111 6 M78 07000 151 00C 001 33603*")-SUMIFS(E2702:E3130,K2702:K3130,"0",B2702:B3130,"5 1 3 3 6 12 31111 6 M78 07000 151 00C 001 33603*")</f>
        <v>0</v>
      </c>
      <c r="E2701"/>
      <c r="F2701" s="31">
        <f>SUMIFS(F2702:F3130,K2702:K3130,"0",B2702:B3130,"5 1 3 3 6 12 31111 6 M78 07000 151 00C 001 33603*")</f>
        <v>11400</v>
      </c>
      <c r="G2701" s="31">
        <f>SUMIFS(G2702:G3130,K2702:K3130,"0",B2702:B3130,"5 1 3 3 6 12 31111 6 M78 07000 151 00C 001 33603*")</f>
        <v>0</v>
      </c>
      <c r="H2701" s="31">
        <f t="shared" si="43"/>
        <v>11400</v>
      </c>
      <c r="I2701" s="31"/>
      <c r="K2701" t="s">
        <v>13</v>
      </c>
    </row>
    <row r="2702" spans="2:11" ht="22" x14ac:dyDescent="0.15">
      <c r="B2702" s="29" t="s">
        <v>3437</v>
      </c>
      <c r="C2702" s="29" t="s">
        <v>271</v>
      </c>
      <c r="D2702" s="31">
        <f>SUMIFS(D2703:D3130,K2703:K3130,"0",B2703:B3130,"5 1 3 3 6 12 31111 6 M78 07000 151 00C 001 33603 015*")-SUMIFS(E2703:E3130,K2703:K3130,"0",B2703:B3130,"5 1 3 3 6 12 31111 6 M78 07000 151 00C 001 33603 015*")</f>
        <v>0</v>
      </c>
      <c r="E2702"/>
      <c r="F2702" s="31">
        <f>SUMIFS(F2703:F3130,K2703:K3130,"0",B2703:B3130,"5 1 3 3 6 12 31111 6 M78 07000 151 00C 001 33603 015*")</f>
        <v>11400</v>
      </c>
      <c r="G2702" s="31">
        <f>SUMIFS(G2703:G3130,K2703:K3130,"0",B2703:B3130,"5 1 3 3 6 12 31111 6 M78 07000 151 00C 001 33603 015*")</f>
        <v>0</v>
      </c>
      <c r="H2702" s="31">
        <f t="shared" si="43"/>
        <v>11400</v>
      </c>
      <c r="I2702" s="31"/>
      <c r="K2702" t="s">
        <v>13</v>
      </c>
    </row>
    <row r="2703" spans="2:11" ht="22" x14ac:dyDescent="0.15">
      <c r="B2703" s="29" t="s">
        <v>3438</v>
      </c>
      <c r="C2703" s="29" t="s">
        <v>595</v>
      </c>
      <c r="D2703" s="31">
        <f>SUMIFS(D2704:D3130,K2704:K3130,"0",B2704:B3130,"5 1 3 3 6 12 31111 6 M78 07000 151 00C 001 33603 015 2112000*")-SUMIFS(E2704:E3130,K2704:K3130,"0",B2704:B3130,"5 1 3 3 6 12 31111 6 M78 07000 151 00C 001 33603 015 2112000*")</f>
        <v>0</v>
      </c>
      <c r="E2703"/>
      <c r="F2703" s="31">
        <f>SUMIFS(F2704:F3130,K2704:K3130,"0",B2704:B3130,"5 1 3 3 6 12 31111 6 M78 07000 151 00C 001 33603 015 2112000*")</f>
        <v>11400</v>
      </c>
      <c r="G2703" s="31">
        <f>SUMIFS(G2704:G3130,K2704:K3130,"0",B2704:B3130,"5 1 3 3 6 12 31111 6 M78 07000 151 00C 001 33603 015 2112000*")</f>
        <v>0</v>
      </c>
      <c r="H2703" s="31">
        <f t="shared" si="43"/>
        <v>11400</v>
      </c>
      <c r="I2703" s="31"/>
      <c r="K2703" t="s">
        <v>13</v>
      </c>
    </row>
    <row r="2704" spans="2:11" ht="22" x14ac:dyDescent="0.15">
      <c r="B2704" s="29" t="s">
        <v>3439</v>
      </c>
      <c r="C2704" s="29" t="s">
        <v>275</v>
      </c>
      <c r="D2704" s="31">
        <f>SUMIFS(D2705:D3130,K2705:K3130,"0",B2705:B3130,"5 1 3 3 6 12 31111 6 M78 07000 151 00C 001 33603 015 2112000 2024*")-SUMIFS(E2705:E3130,K2705:K3130,"0",B2705:B3130,"5 1 3 3 6 12 31111 6 M78 07000 151 00C 001 33603 015 2112000 2024*")</f>
        <v>0</v>
      </c>
      <c r="E2704"/>
      <c r="F2704" s="31">
        <f>SUMIFS(F2705:F3130,K2705:K3130,"0",B2705:B3130,"5 1 3 3 6 12 31111 6 M78 07000 151 00C 001 33603 015 2112000 2024*")</f>
        <v>11400</v>
      </c>
      <c r="G2704" s="31">
        <f>SUMIFS(G2705:G3130,K2705:K3130,"0",B2705:B3130,"5 1 3 3 6 12 31111 6 M78 07000 151 00C 001 33603 015 2112000 2024*")</f>
        <v>0</v>
      </c>
      <c r="H2704" s="31">
        <f t="shared" si="43"/>
        <v>11400</v>
      </c>
      <c r="I2704" s="31"/>
      <c r="K2704" t="s">
        <v>13</v>
      </c>
    </row>
    <row r="2705" spans="2:11" ht="22" x14ac:dyDescent="0.15">
      <c r="B2705" s="29" t="s">
        <v>3440</v>
      </c>
      <c r="C2705" s="29" t="s">
        <v>277</v>
      </c>
      <c r="D2705" s="31">
        <f>SUMIFS(D2706:D3130,K2706:K3130,"0",B2706:B3130,"5 1 3 3 6 12 31111 6 M78 07000 151 00C 001 33603 015 2112000 2024 00000000*")-SUMIFS(E2706:E3130,K2706:K3130,"0",B2706:B3130,"5 1 3 3 6 12 31111 6 M78 07000 151 00C 001 33603 015 2112000 2024 00000000*")</f>
        <v>0</v>
      </c>
      <c r="E2705"/>
      <c r="F2705" s="31">
        <f>SUMIFS(F2706:F3130,K2706:K3130,"0",B2706:B3130,"5 1 3 3 6 12 31111 6 M78 07000 151 00C 001 33603 015 2112000 2024 00000000*")</f>
        <v>11400</v>
      </c>
      <c r="G2705" s="31">
        <f>SUMIFS(G2706:G3130,K2706:K3130,"0",B2706:B3130,"5 1 3 3 6 12 31111 6 M78 07000 151 00C 001 33603 015 2112000 2024 00000000*")</f>
        <v>0</v>
      </c>
      <c r="H2705" s="31">
        <f t="shared" si="43"/>
        <v>11400</v>
      </c>
      <c r="I2705" s="31"/>
      <c r="K2705" t="s">
        <v>13</v>
      </c>
    </row>
    <row r="2706" spans="2:11" ht="22" x14ac:dyDescent="0.15">
      <c r="B2706" s="29" t="s">
        <v>3441</v>
      </c>
      <c r="C2706" s="29" t="s">
        <v>32</v>
      </c>
      <c r="D2706" s="31">
        <f>SUMIFS(D2707:D3130,K2707:K3130,"0",B2707:B3130,"5 1 3 3 6 12 31111 6 M78 07000 151 00C 001 33603 015 2112000 2024 00000000 001*")-SUMIFS(E2707:E3130,K2707:K3130,"0",B2707:B3130,"5 1 3 3 6 12 31111 6 M78 07000 151 00C 001 33603 015 2112000 2024 00000000 001*")</f>
        <v>0</v>
      </c>
      <c r="E2706"/>
      <c r="F2706" s="31">
        <f>SUMIFS(F2707:F3130,K2707:K3130,"0",B2707:B3130,"5 1 3 3 6 12 31111 6 M78 07000 151 00C 001 33603 015 2112000 2024 00000000 001*")</f>
        <v>11400</v>
      </c>
      <c r="G2706" s="31">
        <f>SUMIFS(G2707:G3130,K2707:K3130,"0",B2707:B3130,"5 1 3 3 6 12 31111 6 M78 07000 151 00C 001 33603 015 2112000 2024 00000000 001*")</f>
        <v>0</v>
      </c>
      <c r="H2706" s="31">
        <f t="shared" si="43"/>
        <v>11400</v>
      </c>
      <c r="I2706" s="31"/>
      <c r="K2706" t="s">
        <v>13</v>
      </c>
    </row>
    <row r="2707" spans="2:11" ht="33" x14ac:dyDescent="0.15">
      <c r="B2707" s="27" t="s">
        <v>3442</v>
      </c>
      <c r="C2707" s="27" t="s">
        <v>3443</v>
      </c>
      <c r="D2707" s="30">
        <v>0</v>
      </c>
      <c r="E2707" s="30"/>
      <c r="F2707" s="30">
        <v>11400</v>
      </c>
      <c r="G2707" s="30">
        <v>0</v>
      </c>
      <c r="H2707" s="30">
        <f t="shared" si="43"/>
        <v>11400</v>
      </c>
      <c r="I2707" s="30"/>
      <c r="K2707" t="s">
        <v>37</v>
      </c>
    </row>
    <row r="2708" spans="2:11" ht="22" x14ac:dyDescent="0.15">
      <c r="B2708" s="29" t="s">
        <v>3444</v>
      </c>
      <c r="C2708" s="29" t="s">
        <v>3445</v>
      </c>
      <c r="D2708" s="31">
        <f>SUMIFS(D2709:D3130,K2709:K3130,"0",B2709:B3130,"5 1 3 3 6 12 31111 6 M78 07000 151 00C 001 33604*")-SUMIFS(E2709:E3130,K2709:K3130,"0",B2709:B3130,"5 1 3 3 6 12 31111 6 M78 07000 151 00C 001 33604*")</f>
        <v>0</v>
      </c>
      <c r="E2708"/>
      <c r="F2708" s="31">
        <f>SUMIFS(F2709:F3130,K2709:K3130,"0",B2709:B3130,"5 1 3 3 6 12 31111 6 M78 07000 151 00C 001 33604*")</f>
        <v>230297.52</v>
      </c>
      <c r="G2708" s="31">
        <f>SUMIFS(G2709:G3130,K2709:K3130,"0",B2709:B3130,"5 1 3 3 6 12 31111 6 M78 07000 151 00C 001 33604*")</f>
        <v>0</v>
      </c>
      <c r="H2708" s="31">
        <f t="shared" si="43"/>
        <v>230297.52</v>
      </c>
      <c r="I2708" s="31"/>
      <c r="K2708" t="s">
        <v>13</v>
      </c>
    </row>
    <row r="2709" spans="2:11" ht="22" x14ac:dyDescent="0.15">
      <c r="B2709" s="29" t="s">
        <v>3446</v>
      </c>
      <c r="C2709" s="29" t="s">
        <v>271</v>
      </c>
      <c r="D2709" s="31">
        <f>SUMIFS(D2710:D3130,K2710:K3130,"0",B2710:B3130,"5 1 3 3 6 12 31111 6 M78 07000 151 00C 001 33604 015*")-SUMIFS(E2710:E3130,K2710:K3130,"0",B2710:B3130,"5 1 3 3 6 12 31111 6 M78 07000 151 00C 001 33604 015*")</f>
        <v>0</v>
      </c>
      <c r="E2709"/>
      <c r="F2709" s="31">
        <f>SUMIFS(F2710:F3130,K2710:K3130,"0",B2710:B3130,"5 1 3 3 6 12 31111 6 M78 07000 151 00C 001 33604 015*")</f>
        <v>230297.52</v>
      </c>
      <c r="G2709" s="31">
        <f>SUMIFS(G2710:G3130,K2710:K3130,"0",B2710:B3130,"5 1 3 3 6 12 31111 6 M78 07000 151 00C 001 33604 015*")</f>
        <v>0</v>
      </c>
      <c r="H2709" s="31">
        <f t="shared" si="43"/>
        <v>230297.52</v>
      </c>
      <c r="I2709" s="31"/>
      <c r="K2709" t="s">
        <v>13</v>
      </c>
    </row>
    <row r="2710" spans="2:11" ht="22" x14ac:dyDescent="0.15">
      <c r="B2710" s="29" t="s">
        <v>3447</v>
      </c>
      <c r="C2710" s="29" t="s">
        <v>595</v>
      </c>
      <c r="D2710" s="31">
        <f>SUMIFS(D2711:D3130,K2711:K3130,"0",B2711:B3130,"5 1 3 3 6 12 31111 6 M78 07000 151 00C 001 33604 015 2112000*")-SUMIFS(E2711:E3130,K2711:K3130,"0",B2711:B3130,"5 1 3 3 6 12 31111 6 M78 07000 151 00C 001 33604 015 2112000*")</f>
        <v>0</v>
      </c>
      <c r="E2710"/>
      <c r="F2710" s="31">
        <f>SUMIFS(F2711:F3130,K2711:K3130,"0",B2711:B3130,"5 1 3 3 6 12 31111 6 M78 07000 151 00C 001 33604 015 2112000*")</f>
        <v>230297.52</v>
      </c>
      <c r="G2710" s="31">
        <f>SUMIFS(G2711:G3130,K2711:K3130,"0",B2711:B3130,"5 1 3 3 6 12 31111 6 M78 07000 151 00C 001 33604 015 2112000*")</f>
        <v>0</v>
      </c>
      <c r="H2710" s="31">
        <f t="shared" si="43"/>
        <v>230297.52</v>
      </c>
      <c r="I2710" s="31"/>
      <c r="K2710" t="s">
        <v>13</v>
      </c>
    </row>
    <row r="2711" spans="2:11" ht="22" x14ac:dyDescent="0.15">
      <c r="B2711" s="29" t="s">
        <v>3448</v>
      </c>
      <c r="C2711" s="29" t="s">
        <v>275</v>
      </c>
      <c r="D2711" s="31">
        <f>SUMIFS(D2712:D3130,K2712:K3130,"0",B2712:B3130,"5 1 3 3 6 12 31111 6 M78 07000 151 00C 001 33604 015 2112000 2024*")-SUMIFS(E2712:E3130,K2712:K3130,"0",B2712:B3130,"5 1 3 3 6 12 31111 6 M78 07000 151 00C 001 33604 015 2112000 2024*")</f>
        <v>0</v>
      </c>
      <c r="E2711"/>
      <c r="F2711" s="31">
        <f>SUMIFS(F2712:F3130,K2712:K3130,"0",B2712:B3130,"5 1 3 3 6 12 31111 6 M78 07000 151 00C 001 33604 015 2112000 2024*")</f>
        <v>230297.52</v>
      </c>
      <c r="G2711" s="31">
        <f>SUMIFS(G2712:G3130,K2712:K3130,"0",B2712:B3130,"5 1 3 3 6 12 31111 6 M78 07000 151 00C 001 33604 015 2112000 2024*")</f>
        <v>0</v>
      </c>
      <c r="H2711" s="31">
        <f t="shared" si="43"/>
        <v>230297.52</v>
      </c>
      <c r="I2711" s="31"/>
      <c r="K2711" t="s">
        <v>13</v>
      </c>
    </row>
    <row r="2712" spans="2:11" ht="22" x14ac:dyDescent="0.15">
      <c r="B2712" s="29" t="s">
        <v>3449</v>
      </c>
      <c r="C2712" s="29" t="s">
        <v>277</v>
      </c>
      <c r="D2712" s="31">
        <f>SUMIFS(D2713:D3130,K2713:K3130,"0",B2713:B3130,"5 1 3 3 6 12 31111 6 M78 07000 151 00C 001 33604 015 2112000 2024 00000000*")-SUMIFS(E2713:E3130,K2713:K3130,"0",B2713:B3130,"5 1 3 3 6 12 31111 6 M78 07000 151 00C 001 33604 015 2112000 2024 00000000*")</f>
        <v>0</v>
      </c>
      <c r="E2712"/>
      <c r="F2712" s="31">
        <f>SUMIFS(F2713:F3130,K2713:K3130,"0",B2713:B3130,"5 1 3 3 6 12 31111 6 M78 07000 151 00C 001 33604 015 2112000 2024 00000000*")</f>
        <v>230297.52</v>
      </c>
      <c r="G2712" s="31">
        <f>SUMIFS(G2713:G3130,K2713:K3130,"0",B2713:B3130,"5 1 3 3 6 12 31111 6 M78 07000 151 00C 001 33604 015 2112000 2024 00000000*")</f>
        <v>0</v>
      </c>
      <c r="H2712" s="31">
        <f t="shared" si="43"/>
        <v>230297.52</v>
      </c>
      <c r="I2712" s="31"/>
      <c r="K2712" t="s">
        <v>13</v>
      </c>
    </row>
    <row r="2713" spans="2:11" ht="22" x14ac:dyDescent="0.15">
      <c r="B2713" s="29" t="s">
        <v>3450</v>
      </c>
      <c r="C2713" s="29" t="s">
        <v>32</v>
      </c>
      <c r="D2713" s="31">
        <f>SUMIFS(D2714:D3130,K2714:K3130,"0",B2714:B3130,"5 1 3 3 6 12 31111 6 M78 07000 151 00C 001 33604 015 2112000 2024 00000000 001*")-SUMIFS(E2714:E3130,K2714:K3130,"0",B2714:B3130,"5 1 3 3 6 12 31111 6 M78 07000 151 00C 001 33604 015 2112000 2024 00000000 001*")</f>
        <v>0</v>
      </c>
      <c r="E2713"/>
      <c r="F2713" s="31">
        <f>SUMIFS(F2714:F3130,K2714:K3130,"0",B2714:B3130,"5 1 3 3 6 12 31111 6 M78 07000 151 00C 001 33604 015 2112000 2024 00000000 001*")</f>
        <v>230297.52</v>
      </c>
      <c r="G2713" s="31">
        <f>SUMIFS(G2714:G3130,K2714:K3130,"0",B2714:B3130,"5 1 3 3 6 12 31111 6 M78 07000 151 00C 001 33604 015 2112000 2024 00000000 001*")</f>
        <v>0</v>
      </c>
      <c r="H2713" s="31">
        <f t="shared" si="43"/>
        <v>230297.52</v>
      </c>
      <c r="I2713" s="31"/>
      <c r="K2713" t="s">
        <v>13</v>
      </c>
    </row>
    <row r="2714" spans="2:11" ht="22" x14ac:dyDescent="0.15">
      <c r="B2714" s="27" t="s">
        <v>3451</v>
      </c>
      <c r="C2714" s="27" t="s">
        <v>3452</v>
      </c>
      <c r="D2714" s="30">
        <v>0</v>
      </c>
      <c r="E2714" s="30"/>
      <c r="F2714" s="30">
        <v>230297.52</v>
      </c>
      <c r="G2714" s="30">
        <v>0</v>
      </c>
      <c r="H2714" s="30">
        <f t="shared" si="43"/>
        <v>230297.52</v>
      </c>
      <c r="I2714" s="30"/>
      <c r="K2714" t="s">
        <v>37</v>
      </c>
    </row>
    <row r="2715" spans="2:11" ht="13" x14ac:dyDescent="0.15">
      <c r="B2715" s="29" t="s">
        <v>3453</v>
      </c>
      <c r="C2715" s="29" t="s">
        <v>812</v>
      </c>
      <c r="D2715" s="31">
        <f>SUMIFS(D2716:D3130,K2716:K3130,"0",B2716:B3130,"5 1 3 3 6 12 31111 6 M78 07000 151 00E*")-SUMIFS(E2716:E3130,K2716:K3130,"0",B2716:B3130,"5 1 3 3 6 12 31111 6 M78 07000 151 00E*")</f>
        <v>0</v>
      </c>
      <c r="E2715"/>
      <c r="F2715" s="31">
        <f>SUMIFS(F2716:F3130,K2716:K3130,"0",B2716:B3130,"5 1 3 3 6 12 31111 6 M78 07000 151 00E*")</f>
        <v>3800</v>
      </c>
      <c r="G2715" s="31">
        <f>SUMIFS(G2716:G3130,K2716:K3130,"0",B2716:B3130,"5 1 3 3 6 12 31111 6 M78 07000 151 00E*")</f>
        <v>0</v>
      </c>
      <c r="H2715" s="31">
        <f t="shared" si="43"/>
        <v>3800</v>
      </c>
      <c r="I2715" s="31"/>
      <c r="K2715" t="s">
        <v>13</v>
      </c>
    </row>
    <row r="2716" spans="2:11" ht="13" x14ac:dyDescent="0.15">
      <c r="B2716" s="29" t="s">
        <v>3454</v>
      </c>
      <c r="C2716" s="29" t="s">
        <v>32</v>
      </c>
      <c r="D2716" s="31">
        <f>SUMIFS(D2717:D3130,K2717:K3130,"0",B2717:B3130,"5 1 3 3 6 12 31111 6 M78 07000 151 00E 001*")-SUMIFS(E2717:E3130,K2717:K3130,"0",B2717:B3130,"5 1 3 3 6 12 31111 6 M78 07000 151 00E 001*")</f>
        <v>0</v>
      </c>
      <c r="E2716"/>
      <c r="F2716" s="31">
        <f>SUMIFS(F2717:F3130,K2717:K3130,"0",B2717:B3130,"5 1 3 3 6 12 31111 6 M78 07000 151 00E 001*")</f>
        <v>3800</v>
      </c>
      <c r="G2716" s="31">
        <f>SUMIFS(G2717:G3130,K2717:K3130,"0",B2717:B3130,"5 1 3 3 6 12 31111 6 M78 07000 151 00E 001*")</f>
        <v>0</v>
      </c>
      <c r="H2716" s="31">
        <f t="shared" si="43"/>
        <v>3800</v>
      </c>
      <c r="I2716" s="31"/>
      <c r="K2716" t="s">
        <v>13</v>
      </c>
    </row>
    <row r="2717" spans="2:11" ht="33" x14ac:dyDescent="0.15">
      <c r="B2717" s="29" t="s">
        <v>3455</v>
      </c>
      <c r="C2717" s="29" t="s">
        <v>3456</v>
      </c>
      <c r="D2717" s="31">
        <f>SUMIFS(D2718:D3130,K2718:K3130,"0",B2718:B3130,"5 1 3 3 6 12 31111 6 M78 07000 151 00E 001 33603*")-SUMIFS(E2718:E3130,K2718:K3130,"0",B2718:B3130,"5 1 3 3 6 12 31111 6 M78 07000 151 00E 001 33603*")</f>
        <v>0</v>
      </c>
      <c r="E2717"/>
      <c r="F2717" s="31">
        <f>SUMIFS(F2718:F3130,K2718:K3130,"0",B2718:B3130,"5 1 3 3 6 12 31111 6 M78 07000 151 00E 001 33603*")</f>
        <v>3800</v>
      </c>
      <c r="G2717" s="31">
        <f>SUMIFS(G2718:G3130,K2718:K3130,"0",B2718:B3130,"5 1 3 3 6 12 31111 6 M78 07000 151 00E 001 33603*")</f>
        <v>0</v>
      </c>
      <c r="H2717" s="31">
        <f t="shared" si="43"/>
        <v>3800</v>
      </c>
      <c r="I2717" s="31"/>
      <c r="K2717" t="s">
        <v>13</v>
      </c>
    </row>
    <row r="2718" spans="2:11" ht="22" x14ac:dyDescent="0.15">
      <c r="B2718" s="29" t="s">
        <v>3457</v>
      </c>
      <c r="C2718" s="29" t="s">
        <v>1567</v>
      </c>
      <c r="D2718" s="31">
        <f>SUMIFS(D2719:D3130,K2719:K3130,"0",B2719:B3130,"5 1 3 3 6 12 31111 6 M78 07000 151 00E 001 33603 011*")-SUMIFS(E2719:E3130,K2719:K3130,"0",B2719:B3130,"5 1 3 3 6 12 31111 6 M78 07000 151 00E 001 33603 011*")</f>
        <v>0</v>
      </c>
      <c r="E2718"/>
      <c r="F2718" s="31">
        <f>SUMIFS(F2719:F3130,K2719:K3130,"0",B2719:B3130,"5 1 3 3 6 12 31111 6 M78 07000 151 00E 001 33603 011*")</f>
        <v>3800</v>
      </c>
      <c r="G2718" s="31">
        <f>SUMIFS(G2719:G3130,K2719:K3130,"0",B2719:B3130,"5 1 3 3 6 12 31111 6 M78 07000 151 00E 001 33603 011*")</f>
        <v>0</v>
      </c>
      <c r="H2718" s="31">
        <f t="shared" si="43"/>
        <v>3800</v>
      </c>
      <c r="I2718" s="31"/>
      <c r="K2718" t="s">
        <v>13</v>
      </c>
    </row>
    <row r="2719" spans="2:11" ht="22" x14ac:dyDescent="0.15">
      <c r="B2719" s="29" t="s">
        <v>3458</v>
      </c>
      <c r="C2719" s="29" t="s">
        <v>595</v>
      </c>
      <c r="D2719" s="31">
        <f>SUMIFS(D2720:D3130,K2720:K3130,"0",B2720:B3130,"5 1 3 3 6 12 31111 6 M78 07000 151 00E 001 33603 011 2112000*")-SUMIFS(E2720:E3130,K2720:K3130,"0",B2720:B3130,"5 1 3 3 6 12 31111 6 M78 07000 151 00E 001 33603 011 2112000*")</f>
        <v>0</v>
      </c>
      <c r="E2719"/>
      <c r="F2719" s="31">
        <f>SUMIFS(F2720:F3130,K2720:K3130,"0",B2720:B3130,"5 1 3 3 6 12 31111 6 M78 07000 151 00E 001 33603 011 2112000*")</f>
        <v>3800</v>
      </c>
      <c r="G2719" s="31">
        <f>SUMIFS(G2720:G3130,K2720:K3130,"0",B2720:B3130,"5 1 3 3 6 12 31111 6 M78 07000 151 00E 001 33603 011 2112000*")</f>
        <v>0</v>
      </c>
      <c r="H2719" s="31">
        <f t="shared" si="43"/>
        <v>3800</v>
      </c>
      <c r="I2719" s="31"/>
      <c r="K2719" t="s">
        <v>13</v>
      </c>
    </row>
    <row r="2720" spans="2:11" ht="22" x14ac:dyDescent="0.15">
      <c r="B2720" s="29" t="s">
        <v>3459</v>
      </c>
      <c r="C2720" s="29" t="s">
        <v>275</v>
      </c>
      <c r="D2720" s="31">
        <f>SUMIFS(D2721:D3130,K2721:K3130,"0",B2721:B3130,"5 1 3 3 6 12 31111 6 M78 07000 151 00E 001 33603 011 2112000 2024*")-SUMIFS(E2721:E3130,K2721:K3130,"0",B2721:B3130,"5 1 3 3 6 12 31111 6 M78 07000 151 00E 001 33603 011 2112000 2024*")</f>
        <v>0</v>
      </c>
      <c r="E2720"/>
      <c r="F2720" s="31">
        <f>SUMIFS(F2721:F3130,K2721:K3130,"0",B2721:B3130,"5 1 3 3 6 12 31111 6 M78 07000 151 00E 001 33603 011 2112000 2024*")</f>
        <v>3800</v>
      </c>
      <c r="G2720" s="31">
        <f>SUMIFS(G2721:G3130,K2721:K3130,"0",B2721:B3130,"5 1 3 3 6 12 31111 6 M78 07000 151 00E 001 33603 011 2112000 2024*")</f>
        <v>0</v>
      </c>
      <c r="H2720" s="31">
        <f t="shared" si="43"/>
        <v>3800</v>
      </c>
      <c r="I2720" s="31"/>
      <c r="K2720" t="s">
        <v>13</v>
      </c>
    </row>
    <row r="2721" spans="2:11" ht="22" x14ac:dyDescent="0.15">
      <c r="B2721" s="29" t="s">
        <v>3460</v>
      </c>
      <c r="C2721" s="29" t="s">
        <v>277</v>
      </c>
      <c r="D2721" s="31">
        <f>SUMIFS(D2722:D3130,K2722:K3130,"0",B2722:B3130,"5 1 3 3 6 12 31111 6 M78 07000 151 00E 001 33603 011 2112000 2024 00000000*")-SUMIFS(E2722:E3130,K2722:K3130,"0",B2722:B3130,"5 1 3 3 6 12 31111 6 M78 07000 151 00E 001 33603 011 2112000 2024 00000000*")</f>
        <v>0</v>
      </c>
      <c r="E2721"/>
      <c r="F2721" s="31">
        <f>SUMIFS(F2722:F3130,K2722:K3130,"0",B2722:B3130,"5 1 3 3 6 12 31111 6 M78 07000 151 00E 001 33603 011 2112000 2024 00000000*")</f>
        <v>3800</v>
      </c>
      <c r="G2721" s="31">
        <f>SUMIFS(G2722:G3130,K2722:K3130,"0",B2722:B3130,"5 1 3 3 6 12 31111 6 M78 07000 151 00E 001 33603 011 2112000 2024 00000000*")</f>
        <v>0</v>
      </c>
      <c r="H2721" s="31">
        <f t="shared" si="43"/>
        <v>3800</v>
      </c>
      <c r="I2721" s="31"/>
      <c r="K2721" t="s">
        <v>13</v>
      </c>
    </row>
    <row r="2722" spans="2:11" ht="22" x14ac:dyDescent="0.15">
      <c r="B2722" s="29" t="s">
        <v>3461</v>
      </c>
      <c r="C2722" s="29" t="s">
        <v>1567</v>
      </c>
      <c r="D2722" s="31">
        <f>SUMIFS(D2723:D3130,K2723:K3130,"0",B2723:B3130,"5 1 3 3 6 12 31111 6 M78 07000 151 00E 001 33603 011 2112000 2024 00000000 005*")-SUMIFS(E2723:E3130,K2723:K3130,"0",B2723:B3130,"5 1 3 3 6 12 31111 6 M78 07000 151 00E 001 33603 011 2112000 2024 00000000 005*")</f>
        <v>0</v>
      </c>
      <c r="E2722"/>
      <c r="F2722" s="31">
        <f>SUMIFS(F2723:F3130,K2723:K3130,"0",B2723:B3130,"5 1 3 3 6 12 31111 6 M78 07000 151 00E 001 33603 011 2112000 2024 00000000 005*")</f>
        <v>3800</v>
      </c>
      <c r="G2722" s="31">
        <f>SUMIFS(G2723:G3130,K2723:K3130,"0",B2723:B3130,"5 1 3 3 6 12 31111 6 M78 07000 151 00E 001 33603 011 2112000 2024 00000000 005*")</f>
        <v>0</v>
      </c>
      <c r="H2722" s="31">
        <f t="shared" si="43"/>
        <v>3800</v>
      </c>
      <c r="I2722" s="31"/>
      <c r="K2722" t="s">
        <v>13</v>
      </c>
    </row>
    <row r="2723" spans="2:11" ht="22" x14ac:dyDescent="0.15">
      <c r="B2723" s="27" t="s">
        <v>3462</v>
      </c>
      <c r="C2723" s="27" t="s">
        <v>1567</v>
      </c>
      <c r="D2723" s="30">
        <v>0</v>
      </c>
      <c r="E2723" s="30"/>
      <c r="F2723" s="30">
        <v>3800</v>
      </c>
      <c r="G2723" s="30">
        <v>0</v>
      </c>
      <c r="H2723" s="30">
        <f t="shared" si="43"/>
        <v>3800</v>
      </c>
      <c r="I2723" s="30"/>
      <c r="K2723" t="s">
        <v>37</v>
      </c>
    </row>
    <row r="2724" spans="2:11" ht="13" x14ac:dyDescent="0.15">
      <c r="B2724" s="29" t="s">
        <v>3463</v>
      </c>
      <c r="C2724" s="29" t="s">
        <v>833</v>
      </c>
      <c r="D2724" s="31">
        <f>SUMIFS(D2725:D3130,K2725:K3130,"0",B2725:B3130,"5 1 3 3 6 12 31111 6 M78 15000*")-SUMIFS(E2725:E3130,K2725:K3130,"0",B2725:B3130,"5 1 3 3 6 12 31111 6 M78 15000*")</f>
        <v>0</v>
      </c>
      <c r="E2724"/>
      <c r="F2724" s="31">
        <f>SUMIFS(F2725:F3130,K2725:K3130,"0",B2725:B3130,"5 1 3 3 6 12 31111 6 M78 15000*")</f>
        <v>80480</v>
      </c>
      <c r="G2724" s="31">
        <f>SUMIFS(G2725:G3130,K2725:K3130,"0",B2725:B3130,"5 1 3 3 6 12 31111 6 M78 15000*")</f>
        <v>0</v>
      </c>
      <c r="H2724" s="31">
        <f t="shared" si="43"/>
        <v>80480</v>
      </c>
      <c r="I2724" s="31"/>
      <c r="K2724" t="s">
        <v>13</v>
      </c>
    </row>
    <row r="2725" spans="2:11" ht="13" x14ac:dyDescent="0.15">
      <c r="B2725" s="29" t="s">
        <v>3464</v>
      </c>
      <c r="C2725" s="29" t="s">
        <v>835</v>
      </c>
      <c r="D2725" s="31">
        <f>SUMIFS(D2726:D3130,K2726:K3130,"0",B2726:B3130,"5 1 3 3 6 12 31111 6 M78 15000 171*")-SUMIFS(E2726:E3130,K2726:K3130,"0",B2726:B3130,"5 1 3 3 6 12 31111 6 M78 15000 171*")</f>
        <v>0</v>
      </c>
      <c r="E2725"/>
      <c r="F2725" s="31">
        <f>SUMIFS(F2726:F3130,K2726:K3130,"0",B2726:B3130,"5 1 3 3 6 12 31111 6 M78 15000 171*")</f>
        <v>80480</v>
      </c>
      <c r="G2725" s="31">
        <f>SUMIFS(G2726:G3130,K2726:K3130,"0",B2726:B3130,"5 1 3 3 6 12 31111 6 M78 15000 171*")</f>
        <v>0</v>
      </c>
      <c r="H2725" s="31">
        <f t="shared" si="43"/>
        <v>80480</v>
      </c>
      <c r="I2725" s="31"/>
      <c r="K2725" t="s">
        <v>13</v>
      </c>
    </row>
    <row r="2726" spans="2:11" ht="13" x14ac:dyDescent="0.15">
      <c r="B2726" s="29" t="s">
        <v>3465</v>
      </c>
      <c r="C2726" s="29" t="s">
        <v>285</v>
      </c>
      <c r="D2726" s="31">
        <f>SUMIFS(D2727:D3130,K2727:K3130,"0",B2727:B3130,"5 1 3 3 6 12 31111 6 M78 15000 171 00I*")-SUMIFS(E2727:E3130,K2727:K3130,"0",B2727:B3130,"5 1 3 3 6 12 31111 6 M78 15000 171 00I*")</f>
        <v>0</v>
      </c>
      <c r="E2726"/>
      <c r="F2726" s="31">
        <f>SUMIFS(F2727:F3130,K2727:K3130,"0",B2727:B3130,"5 1 3 3 6 12 31111 6 M78 15000 171 00I*")</f>
        <v>80480</v>
      </c>
      <c r="G2726" s="31">
        <f>SUMIFS(G2727:G3130,K2727:K3130,"0",B2727:B3130,"5 1 3 3 6 12 31111 6 M78 15000 171 00I*")</f>
        <v>0</v>
      </c>
      <c r="H2726" s="31">
        <f t="shared" si="43"/>
        <v>80480</v>
      </c>
      <c r="I2726" s="31"/>
      <c r="K2726" t="s">
        <v>13</v>
      </c>
    </row>
    <row r="2727" spans="2:11" ht="13" x14ac:dyDescent="0.15">
      <c r="B2727" s="29" t="s">
        <v>3466</v>
      </c>
      <c r="C2727" s="29" t="s">
        <v>32</v>
      </c>
      <c r="D2727" s="31">
        <f>SUMIFS(D2728:D3130,K2728:K3130,"0",B2728:B3130,"5 1 3 3 6 12 31111 6 M78 15000 171 00I 001*")-SUMIFS(E2728:E3130,K2728:K3130,"0",B2728:B3130,"5 1 3 3 6 12 31111 6 M78 15000 171 00I 001*")</f>
        <v>0</v>
      </c>
      <c r="E2727"/>
      <c r="F2727" s="31">
        <f>SUMIFS(F2728:F3130,K2728:K3130,"0",B2728:B3130,"5 1 3 3 6 12 31111 6 M78 15000 171 00I 001*")</f>
        <v>80480</v>
      </c>
      <c r="G2727" s="31">
        <f>SUMIFS(G2728:G3130,K2728:K3130,"0",B2728:B3130,"5 1 3 3 6 12 31111 6 M78 15000 171 00I 001*")</f>
        <v>0</v>
      </c>
      <c r="H2727" s="31">
        <f t="shared" si="43"/>
        <v>80480</v>
      </c>
      <c r="I2727" s="31"/>
      <c r="K2727" t="s">
        <v>13</v>
      </c>
    </row>
    <row r="2728" spans="2:11" ht="22" x14ac:dyDescent="0.15">
      <c r="B2728" s="29" t="s">
        <v>3467</v>
      </c>
      <c r="C2728" s="29" t="s">
        <v>3445</v>
      </c>
      <c r="D2728" s="31">
        <f>SUMIFS(D2729:D3130,K2729:K3130,"0",B2729:B3130,"5 1 3 3 6 12 31111 6 M78 15000 171 00I 001 33604*")-SUMIFS(E2729:E3130,K2729:K3130,"0",B2729:B3130,"5 1 3 3 6 12 31111 6 M78 15000 171 00I 001 33604*")</f>
        <v>0</v>
      </c>
      <c r="E2728"/>
      <c r="F2728" s="31">
        <f>SUMIFS(F2729:F3130,K2729:K3130,"0",B2729:B3130,"5 1 3 3 6 12 31111 6 M78 15000 171 00I 001 33604*")</f>
        <v>80480</v>
      </c>
      <c r="G2728" s="31">
        <f>SUMIFS(G2729:G3130,K2729:K3130,"0",B2729:B3130,"5 1 3 3 6 12 31111 6 M78 15000 171 00I 001 33604*")</f>
        <v>0</v>
      </c>
      <c r="H2728" s="31">
        <f t="shared" si="43"/>
        <v>80480</v>
      </c>
      <c r="I2728" s="31"/>
      <c r="K2728" t="s">
        <v>13</v>
      </c>
    </row>
    <row r="2729" spans="2:11" ht="22" x14ac:dyDescent="0.15">
      <c r="B2729" s="29" t="s">
        <v>3468</v>
      </c>
      <c r="C2729" s="29" t="s">
        <v>290</v>
      </c>
      <c r="D2729" s="31">
        <f>SUMIFS(D2730:D3130,K2730:K3130,"0",B2730:B3130,"5 1 3 3 6 12 31111 6 M78 15000 171 00I 001 33604 025*")-SUMIFS(E2730:E3130,K2730:K3130,"0",B2730:B3130,"5 1 3 3 6 12 31111 6 M78 15000 171 00I 001 33604 025*")</f>
        <v>0</v>
      </c>
      <c r="E2729"/>
      <c r="F2729" s="31">
        <f>SUMIFS(F2730:F3130,K2730:K3130,"0",B2730:B3130,"5 1 3 3 6 12 31111 6 M78 15000 171 00I 001 33604 025*")</f>
        <v>80480</v>
      </c>
      <c r="G2729" s="31">
        <f>SUMIFS(G2730:G3130,K2730:K3130,"0",B2730:B3130,"5 1 3 3 6 12 31111 6 M78 15000 171 00I 001 33604 025*")</f>
        <v>0</v>
      </c>
      <c r="H2729" s="31">
        <f t="shared" si="43"/>
        <v>80480</v>
      </c>
      <c r="I2729" s="31"/>
      <c r="K2729" t="s">
        <v>13</v>
      </c>
    </row>
    <row r="2730" spans="2:11" ht="22" x14ac:dyDescent="0.15">
      <c r="B2730" s="29" t="s">
        <v>3469</v>
      </c>
      <c r="C2730" s="29" t="s">
        <v>595</v>
      </c>
      <c r="D2730" s="31">
        <f>SUMIFS(D2731:D3130,K2731:K3130,"0",B2731:B3130,"5 1 3 3 6 12 31111 6 M78 15000 171 00I 001 33604 025 2112000*")-SUMIFS(E2731:E3130,K2731:K3130,"0",B2731:B3130,"5 1 3 3 6 12 31111 6 M78 15000 171 00I 001 33604 025 2112000*")</f>
        <v>0</v>
      </c>
      <c r="E2730"/>
      <c r="F2730" s="31">
        <f>SUMIFS(F2731:F3130,K2731:K3130,"0",B2731:B3130,"5 1 3 3 6 12 31111 6 M78 15000 171 00I 001 33604 025 2112000*")</f>
        <v>80480</v>
      </c>
      <c r="G2730" s="31">
        <f>SUMIFS(G2731:G3130,K2731:K3130,"0",B2731:B3130,"5 1 3 3 6 12 31111 6 M78 15000 171 00I 001 33604 025 2112000*")</f>
        <v>0</v>
      </c>
      <c r="H2730" s="31">
        <f t="shared" si="43"/>
        <v>80480</v>
      </c>
      <c r="I2730" s="31"/>
      <c r="K2730" t="s">
        <v>13</v>
      </c>
    </row>
    <row r="2731" spans="2:11" ht="22" x14ac:dyDescent="0.15">
      <c r="B2731" s="29" t="s">
        <v>3470</v>
      </c>
      <c r="C2731" s="29" t="s">
        <v>275</v>
      </c>
      <c r="D2731" s="31">
        <f>SUMIFS(D2732:D3130,K2732:K3130,"0",B2732:B3130,"5 1 3 3 6 12 31111 6 M78 15000 171 00I 001 33604 025 2112000 2024*")-SUMIFS(E2732:E3130,K2732:K3130,"0",B2732:B3130,"5 1 3 3 6 12 31111 6 M78 15000 171 00I 001 33604 025 2112000 2024*")</f>
        <v>0</v>
      </c>
      <c r="E2731"/>
      <c r="F2731" s="31">
        <f>SUMIFS(F2732:F3130,K2732:K3130,"0",B2732:B3130,"5 1 3 3 6 12 31111 6 M78 15000 171 00I 001 33604 025 2112000 2024*")</f>
        <v>80480</v>
      </c>
      <c r="G2731" s="31">
        <f>SUMIFS(G2732:G3130,K2732:K3130,"0",B2732:B3130,"5 1 3 3 6 12 31111 6 M78 15000 171 00I 001 33604 025 2112000 2024*")</f>
        <v>0</v>
      </c>
      <c r="H2731" s="31">
        <f t="shared" si="43"/>
        <v>80480</v>
      </c>
      <c r="I2731" s="31"/>
      <c r="K2731" t="s">
        <v>13</v>
      </c>
    </row>
    <row r="2732" spans="2:11" ht="22" x14ac:dyDescent="0.15">
      <c r="B2732" s="29" t="s">
        <v>3471</v>
      </c>
      <c r="C2732" s="29" t="s">
        <v>277</v>
      </c>
      <c r="D2732" s="31">
        <f>SUMIFS(D2733:D3130,K2733:K3130,"0",B2733:B3130,"5 1 3 3 6 12 31111 6 M78 15000 171 00I 001 33604 025 2112000 2024 00000000*")-SUMIFS(E2733:E3130,K2733:K3130,"0",B2733:B3130,"5 1 3 3 6 12 31111 6 M78 15000 171 00I 001 33604 025 2112000 2024 00000000*")</f>
        <v>0</v>
      </c>
      <c r="E2732"/>
      <c r="F2732" s="31">
        <f>SUMIFS(F2733:F3130,K2733:K3130,"0",B2733:B3130,"5 1 3 3 6 12 31111 6 M78 15000 171 00I 001 33604 025 2112000 2024 00000000*")</f>
        <v>80480</v>
      </c>
      <c r="G2732" s="31">
        <f>SUMIFS(G2733:G3130,K2733:K3130,"0",B2733:B3130,"5 1 3 3 6 12 31111 6 M78 15000 171 00I 001 33604 025 2112000 2024 00000000*")</f>
        <v>0</v>
      </c>
      <c r="H2732" s="31">
        <f t="shared" si="43"/>
        <v>80480</v>
      </c>
      <c r="I2732" s="31"/>
      <c r="K2732" t="s">
        <v>13</v>
      </c>
    </row>
    <row r="2733" spans="2:11" ht="22" x14ac:dyDescent="0.15">
      <c r="B2733" s="29" t="s">
        <v>3472</v>
      </c>
      <c r="C2733" s="29" t="s">
        <v>581</v>
      </c>
      <c r="D2733" s="31">
        <f>SUMIFS(D2734:D3130,K2734:K3130,"0",B2734:B3130,"5 1 3 3 6 12 31111 6 M78 15000 171 00I 001 33604 025 2112000 2024 00000000 003*")-SUMIFS(E2734:E3130,K2734:K3130,"0",B2734:B3130,"5 1 3 3 6 12 31111 6 M78 15000 171 00I 001 33604 025 2112000 2024 00000000 003*")</f>
        <v>0</v>
      </c>
      <c r="E2733"/>
      <c r="F2733" s="31">
        <f>SUMIFS(F2734:F3130,K2734:K3130,"0",B2734:B3130,"5 1 3 3 6 12 31111 6 M78 15000 171 00I 001 33604 025 2112000 2024 00000000 003*")</f>
        <v>80480</v>
      </c>
      <c r="G2733" s="31">
        <f>SUMIFS(G2734:G3130,K2734:K3130,"0",B2734:B3130,"5 1 3 3 6 12 31111 6 M78 15000 171 00I 001 33604 025 2112000 2024 00000000 003*")</f>
        <v>0</v>
      </c>
      <c r="H2733" s="31">
        <f t="shared" si="43"/>
        <v>80480</v>
      </c>
      <c r="I2733" s="31"/>
      <c r="K2733" t="s">
        <v>13</v>
      </c>
    </row>
    <row r="2734" spans="2:11" ht="22" x14ac:dyDescent="0.15">
      <c r="B2734" s="27" t="s">
        <v>3473</v>
      </c>
      <c r="C2734" s="27" t="s">
        <v>3452</v>
      </c>
      <c r="D2734" s="30">
        <v>0</v>
      </c>
      <c r="E2734" s="30"/>
      <c r="F2734" s="30">
        <v>80480</v>
      </c>
      <c r="G2734" s="30">
        <v>0</v>
      </c>
      <c r="H2734" s="30">
        <f t="shared" si="43"/>
        <v>80480</v>
      </c>
      <c r="I2734" s="30"/>
      <c r="K2734" t="s">
        <v>37</v>
      </c>
    </row>
    <row r="2735" spans="2:11" ht="13" x14ac:dyDescent="0.15">
      <c r="B2735" s="29" t="s">
        <v>3474</v>
      </c>
      <c r="C2735" s="29" t="s">
        <v>3475</v>
      </c>
      <c r="D2735" s="31">
        <f>SUMIFS(D2736:D3130,K2736:K3130,"0",B2736:B3130,"5 1 3 4*")-SUMIFS(E2736:E3130,K2736:K3130,"0",B2736:B3130,"5 1 3 4*")</f>
        <v>0</v>
      </c>
      <c r="E2735"/>
      <c r="F2735" s="31">
        <f>SUMIFS(F2736:F3130,K2736:K3130,"0",B2736:B3130,"5 1 3 4*")</f>
        <v>357034.93</v>
      </c>
      <c r="G2735" s="31">
        <f>SUMIFS(G2736:G3130,K2736:K3130,"0",B2736:B3130,"5 1 3 4*")</f>
        <v>0</v>
      </c>
      <c r="H2735" s="31">
        <f t="shared" si="43"/>
        <v>357034.93</v>
      </c>
      <c r="I2735" s="31"/>
      <c r="K2735" t="s">
        <v>13</v>
      </c>
    </row>
    <row r="2736" spans="2:11" ht="13" x14ac:dyDescent="0.15">
      <c r="B2736" s="29" t="s">
        <v>3476</v>
      </c>
      <c r="C2736" s="29" t="s">
        <v>3477</v>
      </c>
      <c r="D2736" s="31">
        <f>SUMIFS(D2737:D3130,K2737:K3130,"0",B2737:B3130,"5 1 3 4 1*")-SUMIFS(E2737:E3130,K2737:K3130,"0",B2737:B3130,"5 1 3 4 1*")</f>
        <v>0</v>
      </c>
      <c r="E2736"/>
      <c r="F2736" s="31">
        <f>SUMIFS(F2737:F3130,K2737:K3130,"0",B2737:B3130,"5 1 3 4 1*")</f>
        <v>643.79999999999995</v>
      </c>
      <c r="G2736" s="31">
        <f>SUMIFS(G2737:G3130,K2737:K3130,"0",B2737:B3130,"5 1 3 4 1*")</f>
        <v>0</v>
      </c>
      <c r="H2736" s="31">
        <f t="shared" si="43"/>
        <v>643.79999999999995</v>
      </c>
      <c r="I2736" s="31"/>
      <c r="K2736" t="s">
        <v>13</v>
      </c>
    </row>
    <row r="2737" spans="2:11" ht="13" x14ac:dyDescent="0.15">
      <c r="B2737" s="29" t="s">
        <v>3478</v>
      </c>
      <c r="C2737" s="29" t="s">
        <v>24</v>
      </c>
      <c r="D2737" s="31">
        <f>SUMIFS(D2738:D3130,K2738:K3130,"0",B2738:B3130,"5 1 3 4 1 12*")-SUMIFS(E2738:E3130,K2738:K3130,"0",B2738:B3130,"5 1 3 4 1 12*")</f>
        <v>0</v>
      </c>
      <c r="E2737"/>
      <c r="F2737" s="31">
        <f>SUMIFS(F2738:F3130,K2738:K3130,"0",B2738:B3130,"5 1 3 4 1 12*")</f>
        <v>643.79999999999995</v>
      </c>
      <c r="G2737" s="31">
        <f>SUMIFS(G2738:G3130,K2738:K3130,"0",B2738:B3130,"5 1 3 4 1 12*")</f>
        <v>0</v>
      </c>
      <c r="H2737" s="31">
        <f t="shared" si="43"/>
        <v>643.79999999999995</v>
      </c>
      <c r="I2737" s="31"/>
      <c r="K2737" t="s">
        <v>13</v>
      </c>
    </row>
    <row r="2738" spans="2:11" ht="13" x14ac:dyDescent="0.15">
      <c r="B2738" s="29" t="s">
        <v>3479</v>
      </c>
      <c r="C2738" s="29" t="s">
        <v>26</v>
      </c>
      <c r="D2738" s="31">
        <f>SUMIFS(D2739:D3130,K2739:K3130,"0",B2739:B3130,"5 1 3 4 1 12 31111*")-SUMIFS(E2739:E3130,K2739:K3130,"0",B2739:B3130,"5 1 3 4 1 12 31111*")</f>
        <v>0</v>
      </c>
      <c r="E2738"/>
      <c r="F2738" s="31">
        <f>SUMIFS(F2739:F3130,K2739:K3130,"0",B2739:B3130,"5 1 3 4 1 12 31111*")</f>
        <v>643.79999999999995</v>
      </c>
      <c r="G2738" s="31">
        <f>SUMIFS(G2739:G3130,K2739:K3130,"0",B2739:B3130,"5 1 3 4 1 12 31111*")</f>
        <v>0</v>
      </c>
      <c r="H2738" s="31">
        <f t="shared" si="43"/>
        <v>643.79999999999995</v>
      </c>
      <c r="I2738" s="31"/>
      <c r="K2738" t="s">
        <v>13</v>
      </c>
    </row>
    <row r="2739" spans="2:11" ht="13" x14ac:dyDescent="0.15">
      <c r="B2739" s="29" t="s">
        <v>3480</v>
      </c>
      <c r="C2739" s="29" t="s">
        <v>28</v>
      </c>
      <c r="D2739" s="31">
        <f>SUMIFS(D2740:D3130,K2740:K3130,"0",B2740:B3130,"5 1 3 4 1 12 31111 6*")-SUMIFS(E2740:E3130,K2740:K3130,"0",B2740:B3130,"5 1 3 4 1 12 31111 6*")</f>
        <v>0</v>
      </c>
      <c r="E2739"/>
      <c r="F2739" s="31">
        <f>SUMIFS(F2740:F3130,K2740:K3130,"0",B2740:B3130,"5 1 3 4 1 12 31111 6*")</f>
        <v>643.79999999999995</v>
      </c>
      <c r="G2739" s="31">
        <f>SUMIFS(G2740:G3130,K2740:K3130,"0",B2740:B3130,"5 1 3 4 1 12 31111 6*")</f>
        <v>0</v>
      </c>
      <c r="H2739" s="31">
        <f t="shared" si="43"/>
        <v>643.79999999999995</v>
      </c>
      <c r="I2739" s="31"/>
      <c r="K2739" t="s">
        <v>13</v>
      </c>
    </row>
    <row r="2740" spans="2:11" ht="13" x14ac:dyDescent="0.15">
      <c r="B2740" s="29" t="s">
        <v>3481</v>
      </c>
      <c r="C2740" s="29" t="s">
        <v>1567</v>
      </c>
      <c r="D2740" s="31">
        <f>SUMIFS(D2741:D3130,K2741:K3130,"0",B2741:B3130,"5 1 3 4 1 12 31111 6 M78*")-SUMIFS(E2741:E3130,K2741:K3130,"0",B2741:B3130,"5 1 3 4 1 12 31111 6 M78*")</f>
        <v>0</v>
      </c>
      <c r="E2740"/>
      <c r="F2740" s="31">
        <f>SUMIFS(F2741:F3130,K2741:K3130,"0",B2741:B3130,"5 1 3 4 1 12 31111 6 M78*")</f>
        <v>643.79999999999995</v>
      </c>
      <c r="G2740" s="31">
        <f>SUMIFS(G2741:G3130,K2741:K3130,"0",B2741:B3130,"5 1 3 4 1 12 31111 6 M78*")</f>
        <v>0</v>
      </c>
      <c r="H2740" s="31">
        <f t="shared" si="43"/>
        <v>643.79999999999995</v>
      </c>
      <c r="I2740" s="31"/>
      <c r="K2740" t="s">
        <v>13</v>
      </c>
    </row>
    <row r="2741" spans="2:11" ht="13" x14ac:dyDescent="0.15">
      <c r="B2741" s="29" t="s">
        <v>3482</v>
      </c>
      <c r="C2741" s="29" t="s">
        <v>833</v>
      </c>
      <c r="D2741" s="31">
        <f>SUMIFS(D2742:D3130,K2742:K3130,"0",B2742:B3130,"5 1 3 4 1 12 31111 6 M78 15000*")-SUMIFS(E2742:E3130,K2742:K3130,"0",B2742:B3130,"5 1 3 4 1 12 31111 6 M78 15000*")</f>
        <v>0</v>
      </c>
      <c r="E2741"/>
      <c r="F2741" s="31">
        <f>SUMIFS(F2742:F3130,K2742:K3130,"0",B2742:B3130,"5 1 3 4 1 12 31111 6 M78 15000*")</f>
        <v>643.79999999999995</v>
      </c>
      <c r="G2741" s="31">
        <f>SUMIFS(G2742:G3130,K2742:K3130,"0",B2742:B3130,"5 1 3 4 1 12 31111 6 M78 15000*")</f>
        <v>0</v>
      </c>
      <c r="H2741" s="31">
        <f t="shared" si="43"/>
        <v>643.79999999999995</v>
      </c>
      <c r="I2741" s="31"/>
      <c r="K2741" t="s">
        <v>13</v>
      </c>
    </row>
    <row r="2742" spans="2:11" ht="13" x14ac:dyDescent="0.15">
      <c r="B2742" s="29" t="s">
        <v>3483</v>
      </c>
      <c r="C2742" s="29" t="s">
        <v>835</v>
      </c>
      <c r="D2742" s="31">
        <f>SUMIFS(D2743:D3130,K2743:K3130,"0",B2743:B3130,"5 1 3 4 1 12 31111 6 M78 15000 171*")-SUMIFS(E2743:E3130,K2743:K3130,"0",B2743:B3130,"5 1 3 4 1 12 31111 6 M78 15000 171*")</f>
        <v>0</v>
      </c>
      <c r="E2742"/>
      <c r="F2742" s="31">
        <f>SUMIFS(F2743:F3130,K2743:K3130,"0",B2743:B3130,"5 1 3 4 1 12 31111 6 M78 15000 171*")</f>
        <v>643.79999999999995</v>
      </c>
      <c r="G2742" s="31">
        <f>SUMIFS(G2743:G3130,K2743:K3130,"0",B2743:B3130,"5 1 3 4 1 12 31111 6 M78 15000 171*")</f>
        <v>0</v>
      </c>
      <c r="H2742" s="31">
        <f t="shared" si="43"/>
        <v>643.79999999999995</v>
      </c>
      <c r="I2742" s="31"/>
      <c r="K2742" t="s">
        <v>13</v>
      </c>
    </row>
    <row r="2743" spans="2:11" ht="13" x14ac:dyDescent="0.15">
      <c r="B2743" s="29" t="s">
        <v>3484</v>
      </c>
      <c r="C2743" s="29" t="s">
        <v>285</v>
      </c>
      <c r="D2743" s="31">
        <f>SUMIFS(D2744:D3130,K2744:K3130,"0",B2744:B3130,"5 1 3 4 1 12 31111 6 M78 15000 171 00I*")-SUMIFS(E2744:E3130,K2744:K3130,"0",B2744:B3130,"5 1 3 4 1 12 31111 6 M78 15000 171 00I*")</f>
        <v>0</v>
      </c>
      <c r="E2743"/>
      <c r="F2743" s="31">
        <f>SUMIFS(F2744:F3130,K2744:K3130,"0",B2744:B3130,"5 1 3 4 1 12 31111 6 M78 15000 171 00I*")</f>
        <v>643.79999999999995</v>
      </c>
      <c r="G2743" s="31">
        <f>SUMIFS(G2744:G3130,K2744:K3130,"0",B2744:B3130,"5 1 3 4 1 12 31111 6 M78 15000 171 00I*")</f>
        <v>0</v>
      </c>
      <c r="H2743" s="31">
        <f t="shared" si="43"/>
        <v>643.79999999999995</v>
      </c>
      <c r="I2743" s="31"/>
      <c r="K2743" t="s">
        <v>13</v>
      </c>
    </row>
    <row r="2744" spans="2:11" ht="13" x14ac:dyDescent="0.15">
      <c r="B2744" s="29" t="s">
        <v>3485</v>
      </c>
      <c r="C2744" s="29" t="s">
        <v>32</v>
      </c>
      <c r="D2744" s="31">
        <f>SUMIFS(D2745:D3130,K2745:K3130,"0",B2745:B3130,"5 1 3 4 1 12 31111 6 M78 15000 171 00I 001*")-SUMIFS(E2745:E3130,K2745:K3130,"0",B2745:B3130,"5 1 3 4 1 12 31111 6 M78 15000 171 00I 001*")</f>
        <v>0</v>
      </c>
      <c r="E2744"/>
      <c r="F2744" s="31">
        <f>SUMIFS(F2745:F3130,K2745:K3130,"0",B2745:B3130,"5 1 3 4 1 12 31111 6 M78 15000 171 00I 001*")</f>
        <v>643.79999999999995</v>
      </c>
      <c r="G2744" s="31">
        <f>SUMIFS(G2745:G3130,K2745:K3130,"0",B2745:B3130,"5 1 3 4 1 12 31111 6 M78 15000 171 00I 001*")</f>
        <v>0</v>
      </c>
      <c r="H2744" s="31">
        <f t="shared" si="43"/>
        <v>643.79999999999995</v>
      </c>
      <c r="I2744" s="31"/>
      <c r="K2744" t="s">
        <v>13</v>
      </c>
    </row>
    <row r="2745" spans="2:11" ht="13" x14ac:dyDescent="0.15">
      <c r="B2745" s="29" t="s">
        <v>3486</v>
      </c>
      <c r="C2745" s="29" t="s">
        <v>3487</v>
      </c>
      <c r="D2745" s="31">
        <f>SUMIFS(D2746:D3130,K2746:K3130,"0",B2746:B3130,"5 1 3 4 1 12 31111 6 M78 15000 171 00I 001 34101*")-SUMIFS(E2746:E3130,K2746:K3130,"0",B2746:B3130,"5 1 3 4 1 12 31111 6 M78 15000 171 00I 001 34101*")</f>
        <v>0</v>
      </c>
      <c r="E2745"/>
      <c r="F2745" s="31">
        <f>SUMIFS(F2746:F3130,K2746:K3130,"0",B2746:B3130,"5 1 3 4 1 12 31111 6 M78 15000 171 00I 001 34101*")</f>
        <v>643.79999999999995</v>
      </c>
      <c r="G2745" s="31">
        <f>SUMIFS(G2746:G3130,K2746:K3130,"0",B2746:B3130,"5 1 3 4 1 12 31111 6 M78 15000 171 00I 001 34101*")</f>
        <v>0</v>
      </c>
      <c r="H2745" s="31">
        <f t="shared" si="43"/>
        <v>643.79999999999995</v>
      </c>
      <c r="I2745" s="31"/>
      <c r="K2745" t="s">
        <v>13</v>
      </c>
    </row>
    <row r="2746" spans="2:11" ht="22" x14ac:dyDescent="0.15">
      <c r="B2746" s="29" t="s">
        <v>3488</v>
      </c>
      <c r="C2746" s="29" t="s">
        <v>290</v>
      </c>
      <c r="D2746" s="31">
        <f>SUMIFS(D2747:D3130,K2747:K3130,"0",B2747:B3130,"5 1 3 4 1 12 31111 6 M78 15000 171 00I 001 34101 025*")-SUMIFS(E2747:E3130,K2747:K3130,"0",B2747:B3130,"5 1 3 4 1 12 31111 6 M78 15000 171 00I 001 34101 025*")</f>
        <v>0</v>
      </c>
      <c r="E2746"/>
      <c r="F2746" s="31">
        <f>SUMIFS(F2747:F3130,K2747:K3130,"0",B2747:B3130,"5 1 3 4 1 12 31111 6 M78 15000 171 00I 001 34101 025*")</f>
        <v>643.79999999999995</v>
      </c>
      <c r="G2746" s="31">
        <f>SUMIFS(G2747:G3130,K2747:K3130,"0",B2747:B3130,"5 1 3 4 1 12 31111 6 M78 15000 171 00I 001 34101 025*")</f>
        <v>0</v>
      </c>
      <c r="H2746" s="31">
        <f t="shared" si="43"/>
        <v>643.79999999999995</v>
      </c>
      <c r="I2746" s="31"/>
      <c r="K2746" t="s">
        <v>13</v>
      </c>
    </row>
    <row r="2747" spans="2:11" ht="22" x14ac:dyDescent="0.15">
      <c r="B2747" s="29" t="s">
        <v>3489</v>
      </c>
      <c r="C2747" s="29" t="s">
        <v>595</v>
      </c>
      <c r="D2747" s="31">
        <f>SUMIFS(D2748:D3130,K2748:K3130,"0",B2748:B3130,"5 1 3 4 1 12 31111 6 M78 15000 171 00I 001 34101 025 2112000*")-SUMIFS(E2748:E3130,K2748:K3130,"0",B2748:B3130,"5 1 3 4 1 12 31111 6 M78 15000 171 00I 001 34101 025 2112000*")</f>
        <v>0</v>
      </c>
      <c r="E2747"/>
      <c r="F2747" s="31">
        <f>SUMIFS(F2748:F3130,K2748:K3130,"0",B2748:B3130,"5 1 3 4 1 12 31111 6 M78 15000 171 00I 001 34101 025 2112000*")</f>
        <v>643.79999999999995</v>
      </c>
      <c r="G2747" s="31">
        <f>SUMIFS(G2748:G3130,K2748:K3130,"0",B2748:B3130,"5 1 3 4 1 12 31111 6 M78 15000 171 00I 001 34101 025 2112000*")</f>
        <v>0</v>
      </c>
      <c r="H2747" s="31">
        <f t="shared" si="43"/>
        <v>643.79999999999995</v>
      </c>
      <c r="I2747" s="31"/>
      <c r="K2747" t="s">
        <v>13</v>
      </c>
    </row>
    <row r="2748" spans="2:11" ht="22" x14ac:dyDescent="0.15">
      <c r="B2748" s="29" t="s">
        <v>3490</v>
      </c>
      <c r="C2748" s="29" t="s">
        <v>275</v>
      </c>
      <c r="D2748" s="31">
        <f>SUMIFS(D2749:D3130,K2749:K3130,"0",B2749:B3130,"5 1 3 4 1 12 31111 6 M78 15000 171 00I 001 34101 025 2112000 2024*")-SUMIFS(E2749:E3130,K2749:K3130,"0",B2749:B3130,"5 1 3 4 1 12 31111 6 M78 15000 171 00I 001 34101 025 2112000 2024*")</f>
        <v>0</v>
      </c>
      <c r="E2748"/>
      <c r="F2748" s="31">
        <f>SUMIFS(F2749:F3130,K2749:K3130,"0",B2749:B3130,"5 1 3 4 1 12 31111 6 M78 15000 171 00I 001 34101 025 2112000 2024*")</f>
        <v>643.79999999999995</v>
      </c>
      <c r="G2748" s="31">
        <f>SUMIFS(G2749:G3130,K2749:K3130,"0",B2749:B3130,"5 1 3 4 1 12 31111 6 M78 15000 171 00I 001 34101 025 2112000 2024*")</f>
        <v>0</v>
      </c>
      <c r="H2748" s="31">
        <f t="shared" si="43"/>
        <v>643.79999999999995</v>
      </c>
      <c r="I2748" s="31"/>
      <c r="K2748" t="s">
        <v>13</v>
      </c>
    </row>
    <row r="2749" spans="2:11" ht="22" x14ac:dyDescent="0.15">
      <c r="B2749" s="29" t="s">
        <v>3491</v>
      </c>
      <c r="C2749" s="29" t="s">
        <v>277</v>
      </c>
      <c r="D2749" s="31">
        <f>SUMIFS(D2750:D3130,K2750:K3130,"0",B2750:B3130,"5 1 3 4 1 12 31111 6 M78 15000 171 00I 001 34101 025 2112000 2024 00000000*")-SUMIFS(E2750:E3130,K2750:K3130,"0",B2750:B3130,"5 1 3 4 1 12 31111 6 M78 15000 171 00I 001 34101 025 2112000 2024 00000000*")</f>
        <v>0</v>
      </c>
      <c r="E2749"/>
      <c r="F2749" s="31">
        <f>SUMIFS(F2750:F3130,K2750:K3130,"0",B2750:B3130,"5 1 3 4 1 12 31111 6 M78 15000 171 00I 001 34101 025 2112000 2024 00000000*")</f>
        <v>643.79999999999995</v>
      </c>
      <c r="G2749" s="31">
        <f>SUMIFS(G2750:G3130,K2750:K3130,"0",B2750:B3130,"5 1 3 4 1 12 31111 6 M78 15000 171 00I 001 34101 025 2112000 2024 00000000*")</f>
        <v>0</v>
      </c>
      <c r="H2749" s="31">
        <f t="shared" si="43"/>
        <v>643.79999999999995</v>
      </c>
      <c r="I2749" s="31"/>
      <c r="K2749" t="s">
        <v>13</v>
      </c>
    </row>
    <row r="2750" spans="2:11" ht="22" x14ac:dyDescent="0.15">
      <c r="B2750" s="29" t="s">
        <v>3492</v>
      </c>
      <c r="C2750" s="29" t="s">
        <v>581</v>
      </c>
      <c r="D2750" s="31">
        <f>SUMIFS(D2751:D3130,K2751:K3130,"0",B2751:B3130,"5 1 3 4 1 12 31111 6 M78 15000 171 00I 001 34101 025 2112000 2024 00000000 003*")-SUMIFS(E2751:E3130,K2751:K3130,"0",B2751:B3130,"5 1 3 4 1 12 31111 6 M78 15000 171 00I 001 34101 025 2112000 2024 00000000 003*")</f>
        <v>0</v>
      </c>
      <c r="E2750"/>
      <c r="F2750" s="31">
        <f>SUMIFS(F2751:F3130,K2751:K3130,"0",B2751:B3130,"5 1 3 4 1 12 31111 6 M78 15000 171 00I 001 34101 025 2112000 2024 00000000 003*")</f>
        <v>643.79999999999995</v>
      </c>
      <c r="G2750" s="31">
        <f>SUMIFS(G2751:G3130,K2751:K3130,"0",B2751:B3130,"5 1 3 4 1 12 31111 6 M78 15000 171 00I 001 34101 025 2112000 2024 00000000 003*")</f>
        <v>0</v>
      </c>
      <c r="H2750" s="31">
        <f t="shared" si="43"/>
        <v>643.79999999999995</v>
      </c>
      <c r="I2750" s="31"/>
      <c r="K2750" t="s">
        <v>13</v>
      </c>
    </row>
    <row r="2751" spans="2:11" ht="22" x14ac:dyDescent="0.15">
      <c r="B2751" s="27" t="s">
        <v>3493</v>
      </c>
      <c r="C2751" s="27" t="s">
        <v>3494</v>
      </c>
      <c r="D2751" s="30">
        <v>0</v>
      </c>
      <c r="E2751" s="30"/>
      <c r="F2751" s="30">
        <v>643.79999999999995</v>
      </c>
      <c r="G2751" s="30">
        <v>0</v>
      </c>
      <c r="H2751" s="30">
        <f t="shared" si="43"/>
        <v>643.79999999999995</v>
      </c>
      <c r="I2751" s="30"/>
      <c r="K2751" t="s">
        <v>37</v>
      </c>
    </row>
    <row r="2752" spans="2:11" ht="13" x14ac:dyDescent="0.15">
      <c r="B2752" s="29" t="s">
        <v>3495</v>
      </c>
      <c r="C2752" s="29" t="s">
        <v>3496</v>
      </c>
      <c r="D2752" s="31">
        <f>SUMIFS(D2753:D3130,K2753:K3130,"0",B2753:B3130,"5 1 3 4 7*")-SUMIFS(E2753:E3130,K2753:K3130,"0",B2753:B3130,"5 1 3 4 7*")</f>
        <v>0</v>
      </c>
      <c r="E2752"/>
      <c r="F2752" s="31">
        <f>SUMIFS(F2753:F3130,K2753:K3130,"0",B2753:B3130,"5 1 3 4 7*")</f>
        <v>356391.13</v>
      </c>
      <c r="G2752" s="31">
        <f>SUMIFS(G2753:G3130,K2753:K3130,"0",B2753:B3130,"5 1 3 4 7*")</f>
        <v>0</v>
      </c>
      <c r="H2752" s="31">
        <f t="shared" si="43"/>
        <v>356391.13</v>
      </c>
      <c r="I2752" s="31"/>
      <c r="K2752" t="s">
        <v>13</v>
      </c>
    </row>
    <row r="2753" spans="2:11" ht="13" x14ac:dyDescent="0.15">
      <c r="B2753" s="29" t="s">
        <v>3497</v>
      </c>
      <c r="C2753" s="29" t="s">
        <v>24</v>
      </c>
      <c r="D2753" s="31">
        <f>SUMIFS(D2754:D3130,K2754:K3130,"0",B2754:B3130,"5 1 3 4 7 12*")-SUMIFS(E2754:E3130,K2754:K3130,"0",B2754:B3130,"5 1 3 4 7 12*")</f>
        <v>0</v>
      </c>
      <c r="E2753"/>
      <c r="F2753" s="31">
        <f>SUMIFS(F2754:F3130,K2754:K3130,"0",B2754:B3130,"5 1 3 4 7 12*")</f>
        <v>356391.13</v>
      </c>
      <c r="G2753" s="31">
        <f>SUMIFS(G2754:G3130,K2754:K3130,"0",B2754:B3130,"5 1 3 4 7 12*")</f>
        <v>0</v>
      </c>
      <c r="H2753" s="31">
        <f t="shared" si="43"/>
        <v>356391.13</v>
      </c>
      <c r="I2753" s="31"/>
      <c r="K2753" t="s">
        <v>13</v>
      </c>
    </row>
    <row r="2754" spans="2:11" ht="13" x14ac:dyDescent="0.15">
      <c r="B2754" s="29" t="s">
        <v>3498</v>
      </c>
      <c r="C2754" s="29" t="s">
        <v>26</v>
      </c>
      <c r="D2754" s="31">
        <f>SUMIFS(D2755:D3130,K2755:K3130,"0",B2755:B3130,"5 1 3 4 7 12 31111*")-SUMIFS(E2755:E3130,K2755:K3130,"0",B2755:B3130,"5 1 3 4 7 12 31111*")</f>
        <v>0</v>
      </c>
      <c r="E2754"/>
      <c r="F2754" s="31">
        <f>SUMIFS(F2755:F3130,K2755:K3130,"0",B2755:B3130,"5 1 3 4 7 12 31111*")</f>
        <v>356391.13</v>
      </c>
      <c r="G2754" s="31">
        <f>SUMIFS(G2755:G3130,K2755:K3130,"0",B2755:B3130,"5 1 3 4 7 12 31111*")</f>
        <v>0</v>
      </c>
      <c r="H2754" s="31">
        <f t="shared" si="43"/>
        <v>356391.13</v>
      </c>
      <c r="I2754" s="31"/>
      <c r="K2754" t="s">
        <v>13</v>
      </c>
    </row>
    <row r="2755" spans="2:11" ht="13" x14ac:dyDescent="0.15">
      <c r="B2755" s="29" t="s">
        <v>3499</v>
      </c>
      <c r="C2755" s="29" t="s">
        <v>28</v>
      </c>
      <c r="D2755" s="31">
        <f>SUMIFS(D2756:D3130,K2756:K3130,"0",B2756:B3130,"5 1 3 4 7 12 31111 6*")-SUMIFS(E2756:E3130,K2756:K3130,"0",B2756:B3130,"5 1 3 4 7 12 31111 6*")</f>
        <v>0</v>
      </c>
      <c r="E2755"/>
      <c r="F2755" s="31">
        <f>SUMIFS(F2756:F3130,K2756:K3130,"0",B2756:B3130,"5 1 3 4 7 12 31111 6*")</f>
        <v>356391.13</v>
      </c>
      <c r="G2755" s="31">
        <f>SUMIFS(G2756:G3130,K2756:K3130,"0",B2756:B3130,"5 1 3 4 7 12 31111 6*")</f>
        <v>0</v>
      </c>
      <c r="H2755" s="31">
        <f t="shared" si="43"/>
        <v>356391.13</v>
      </c>
      <c r="I2755" s="31"/>
      <c r="K2755" t="s">
        <v>13</v>
      </c>
    </row>
    <row r="2756" spans="2:11" ht="13" x14ac:dyDescent="0.15">
      <c r="B2756" s="29" t="s">
        <v>3500</v>
      </c>
      <c r="C2756" s="29" t="s">
        <v>1567</v>
      </c>
      <c r="D2756" s="31">
        <f>SUMIFS(D2757:D3130,K2757:K3130,"0",B2757:B3130,"5 1 3 4 7 12 31111 6 M78*")-SUMIFS(E2757:E3130,K2757:K3130,"0",B2757:B3130,"5 1 3 4 7 12 31111 6 M78*")</f>
        <v>0</v>
      </c>
      <c r="E2756"/>
      <c r="F2756" s="31">
        <f>SUMIFS(F2757:F3130,K2757:K3130,"0",B2757:B3130,"5 1 3 4 7 12 31111 6 M78*")</f>
        <v>356391.13</v>
      </c>
      <c r="G2756" s="31">
        <f>SUMIFS(G2757:G3130,K2757:K3130,"0",B2757:B3130,"5 1 3 4 7 12 31111 6 M78*")</f>
        <v>0</v>
      </c>
      <c r="H2756" s="31">
        <f t="shared" si="43"/>
        <v>356391.13</v>
      </c>
      <c r="I2756" s="31"/>
      <c r="K2756" t="s">
        <v>13</v>
      </c>
    </row>
    <row r="2757" spans="2:11" ht="13" x14ac:dyDescent="0.15">
      <c r="B2757" s="29" t="s">
        <v>3501</v>
      </c>
      <c r="C2757" s="29" t="s">
        <v>8</v>
      </c>
      <c r="D2757" s="31">
        <f>SUMIFS(D2758:D3130,K2758:K3130,"0",B2758:B3130,"5 1 3 4 7 12 31111 6 M78 07000*")-SUMIFS(E2758:E3130,K2758:K3130,"0",B2758:B3130,"5 1 3 4 7 12 31111 6 M78 07000*")</f>
        <v>0</v>
      </c>
      <c r="E2757"/>
      <c r="F2757" s="31">
        <f>SUMIFS(F2758:F3130,K2758:K3130,"0",B2758:B3130,"5 1 3 4 7 12 31111 6 M78 07000*")</f>
        <v>356391.13</v>
      </c>
      <c r="G2757" s="31">
        <f>SUMIFS(G2758:G3130,K2758:K3130,"0",B2758:B3130,"5 1 3 4 7 12 31111 6 M78 07000*")</f>
        <v>0</v>
      </c>
      <c r="H2757" s="31">
        <f t="shared" si="43"/>
        <v>356391.13</v>
      </c>
      <c r="I2757" s="31"/>
      <c r="K2757" t="s">
        <v>13</v>
      </c>
    </row>
    <row r="2758" spans="2:11" ht="13" x14ac:dyDescent="0.15">
      <c r="B2758" s="29" t="s">
        <v>3502</v>
      </c>
      <c r="C2758" s="29" t="s">
        <v>588</v>
      </c>
      <c r="D2758" s="31">
        <f>SUMIFS(D2759:D3130,K2759:K3130,"0",B2759:B3130,"5 1 3 4 7 12 31111 6 M78 07000 151*")-SUMIFS(E2759:E3130,K2759:K3130,"0",B2759:B3130,"5 1 3 4 7 12 31111 6 M78 07000 151*")</f>
        <v>0</v>
      </c>
      <c r="E2758"/>
      <c r="F2758" s="31">
        <f>SUMIFS(F2759:F3130,K2759:K3130,"0",B2759:B3130,"5 1 3 4 7 12 31111 6 M78 07000 151*")</f>
        <v>356391.13</v>
      </c>
      <c r="G2758" s="31">
        <f>SUMIFS(G2759:G3130,K2759:K3130,"0",B2759:B3130,"5 1 3 4 7 12 31111 6 M78 07000 151*")</f>
        <v>0</v>
      </c>
      <c r="H2758" s="31">
        <f t="shared" si="43"/>
        <v>356391.13</v>
      </c>
      <c r="I2758" s="31"/>
      <c r="K2758" t="s">
        <v>13</v>
      </c>
    </row>
    <row r="2759" spans="2:11" ht="13" x14ac:dyDescent="0.15">
      <c r="B2759" s="29" t="s">
        <v>3503</v>
      </c>
      <c r="C2759" s="29" t="s">
        <v>265</v>
      </c>
      <c r="D2759" s="31">
        <f>SUMIFS(D2760:D3130,K2760:K3130,"0",B2760:B3130,"5 1 3 4 7 12 31111 6 M78 07000 151 00C*")-SUMIFS(E2760:E3130,K2760:K3130,"0",B2760:B3130,"5 1 3 4 7 12 31111 6 M78 07000 151 00C*")</f>
        <v>0</v>
      </c>
      <c r="E2759"/>
      <c r="F2759" s="31">
        <f>SUMIFS(F2760:F3130,K2760:K3130,"0",B2760:B3130,"5 1 3 4 7 12 31111 6 M78 07000 151 00C*")</f>
        <v>356391.13</v>
      </c>
      <c r="G2759" s="31">
        <f>SUMIFS(G2760:G3130,K2760:K3130,"0",B2760:B3130,"5 1 3 4 7 12 31111 6 M78 07000 151 00C*")</f>
        <v>0</v>
      </c>
      <c r="H2759" s="31">
        <f t="shared" si="43"/>
        <v>356391.13</v>
      </c>
      <c r="I2759" s="31"/>
      <c r="K2759" t="s">
        <v>13</v>
      </c>
    </row>
    <row r="2760" spans="2:11" ht="13" x14ac:dyDescent="0.15">
      <c r="B2760" s="29" t="s">
        <v>3504</v>
      </c>
      <c r="C2760" s="29" t="s">
        <v>32</v>
      </c>
      <c r="D2760" s="31">
        <f>SUMIFS(D2761:D3130,K2761:K3130,"0",B2761:B3130,"5 1 3 4 7 12 31111 6 M78 07000 151 00C 001*")-SUMIFS(E2761:E3130,K2761:K3130,"0",B2761:B3130,"5 1 3 4 7 12 31111 6 M78 07000 151 00C 001*")</f>
        <v>0</v>
      </c>
      <c r="E2760"/>
      <c r="F2760" s="31">
        <f>SUMIFS(F2761:F3130,K2761:K3130,"0",B2761:B3130,"5 1 3 4 7 12 31111 6 M78 07000 151 00C 001*")</f>
        <v>356391.13</v>
      </c>
      <c r="G2760" s="31">
        <f>SUMIFS(G2761:G3130,K2761:K3130,"0",B2761:B3130,"5 1 3 4 7 12 31111 6 M78 07000 151 00C 001*")</f>
        <v>0</v>
      </c>
      <c r="H2760" s="31">
        <f t="shared" si="43"/>
        <v>356391.13</v>
      </c>
      <c r="I2760" s="31"/>
      <c r="K2760" t="s">
        <v>13</v>
      </c>
    </row>
    <row r="2761" spans="2:11" ht="13" x14ac:dyDescent="0.15">
      <c r="B2761" s="29" t="s">
        <v>3505</v>
      </c>
      <c r="C2761" s="29" t="s">
        <v>3506</v>
      </c>
      <c r="D2761" s="31">
        <f>SUMIFS(D2762:D3130,K2762:K3130,"0",B2762:B3130,"5 1 3 4 7 12 31111 6 M78 07000 151 00C 001 34701*")-SUMIFS(E2762:E3130,K2762:K3130,"0",B2762:B3130,"5 1 3 4 7 12 31111 6 M78 07000 151 00C 001 34701*")</f>
        <v>0</v>
      </c>
      <c r="E2761"/>
      <c r="F2761" s="31">
        <f>SUMIFS(F2762:F3130,K2762:K3130,"0",B2762:B3130,"5 1 3 4 7 12 31111 6 M78 07000 151 00C 001 34701*")</f>
        <v>356391.13</v>
      </c>
      <c r="G2761" s="31">
        <f>SUMIFS(G2762:G3130,K2762:K3130,"0",B2762:B3130,"5 1 3 4 7 12 31111 6 M78 07000 151 00C 001 34701*")</f>
        <v>0</v>
      </c>
      <c r="H2761" s="31">
        <f t="shared" si="43"/>
        <v>356391.13</v>
      </c>
      <c r="I2761" s="31"/>
      <c r="K2761" t="s">
        <v>13</v>
      </c>
    </row>
    <row r="2762" spans="2:11" ht="22" x14ac:dyDescent="0.15">
      <c r="B2762" s="29" t="s">
        <v>3507</v>
      </c>
      <c r="C2762" s="29" t="s">
        <v>271</v>
      </c>
      <c r="D2762" s="31">
        <f>SUMIFS(D2763:D3130,K2763:K3130,"0",B2763:B3130,"5 1 3 4 7 12 31111 6 M78 07000 151 00C 001 34701 015*")-SUMIFS(E2763:E3130,K2763:K3130,"0",B2763:B3130,"5 1 3 4 7 12 31111 6 M78 07000 151 00C 001 34701 015*")</f>
        <v>0</v>
      </c>
      <c r="E2762"/>
      <c r="F2762" s="31">
        <f>SUMIFS(F2763:F3130,K2763:K3130,"0",B2763:B3130,"5 1 3 4 7 12 31111 6 M78 07000 151 00C 001 34701 015*")</f>
        <v>356391.13</v>
      </c>
      <c r="G2762" s="31">
        <f>SUMIFS(G2763:G3130,K2763:K3130,"0",B2763:B3130,"5 1 3 4 7 12 31111 6 M78 07000 151 00C 001 34701 015*")</f>
        <v>0</v>
      </c>
      <c r="H2762" s="31">
        <f t="shared" si="43"/>
        <v>356391.13</v>
      </c>
      <c r="I2762" s="31"/>
      <c r="K2762" t="s">
        <v>13</v>
      </c>
    </row>
    <row r="2763" spans="2:11" ht="22" x14ac:dyDescent="0.15">
      <c r="B2763" s="29" t="s">
        <v>3508</v>
      </c>
      <c r="C2763" s="29" t="s">
        <v>595</v>
      </c>
      <c r="D2763" s="31">
        <f>SUMIFS(D2764:D3130,K2764:K3130,"0",B2764:B3130,"5 1 3 4 7 12 31111 6 M78 07000 151 00C 001 34701 015 2112000*")-SUMIFS(E2764:E3130,K2764:K3130,"0",B2764:B3130,"5 1 3 4 7 12 31111 6 M78 07000 151 00C 001 34701 015 2112000*")</f>
        <v>0</v>
      </c>
      <c r="E2763"/>
      <c r="F2763" s="31">
        <f>SUMIFS(F2764:F3130,K2764:K3130,"0",B2764:B3130,"5 1 3 4 7 12 31111 6 M78 07000 151 00C 001 34701 015 2112000*")</f>
        <v>356391.13</v>
      </c>
      <c r="G2763" s="31">
        <f>SUMIFS(G2764:G3130,K2764:K3130,"0",B2764:B3130,"5 1 3 4 7 12 31111 6 M78 07000 151 00C 001 34701 015 2112000*")</f>
        <v>0</v>
      </c>
      <c r="H2763" s="31">
        <f t="shared" ref="H2763:H2826" si="44">D2763 + F2763 - G2763</f>
        <v>356391.13</v>
      </c>
      <c r="I2763" s="31"/>
      <c r="K2763" t="s">
        <v>13</v>
      </c>
    </row>
    <row r="2764" spans="2:11" ht="22" x14ac:dyDescent="0.15">
      <c r="B2764" s="29" t="s">
        <v>3509</v>
      </c>
      <c r="C2764" s="29" t="s">
        <v>275</v>
      </c>
      <c r="D2764" s="31">
        <f>SUMIFS(D2765:D3130,K2765:K3130,"0",B2765:B3130,"5 1 3 4 7 12 31111 6 M78 07000 151 00C 001 34701 015 2112000 2024*")-SUMIFS(E2765:E3130,K2765:K3130,"0",B2765:B3130,"5 1 3 4 7 12 31111 6 M78 07000 151 00C 001 34701 015 2112000 2024*")</f>
        <v>0</v>
      </c>
      <c r="E2764"/>
      <c r="F2764" s="31">
        <f>SUMIFS(F2765:F3130,K2765:K3130,"0",B2765:B3130,"5 1 3 4 7 12 31111 6 M78 07000 151 00C 001 34701 015 2112000 2024*")</f>
        <v>356391.13</v>
      </c>
      <c r="G2764" s="31">
        <f>SUMIFS(G2765:G3130,K2765:K3130,"0",B2765:B3130,"5 1 3 4 7 12 31111 6 M78 07000 151 00C 001 34701 015 2112000 2024*")</f>
        <v>0</v>
      </c>
      <c r="H2764" s="31">
        <f t="shared" si="44"/>
        <v>356391.13</v>
      </c>
      <c r="I2764" s="31"/>
      <c r="K2764" t="s">
        <v>13</v>
      </c>
    </row>
    <row r="2765" spans="2:11" ht="22" x14ac:dyDescent="0.15">
      <c r="B2765" s="29" t="s">
        <v>3510</v>
      </c>
      <c r="C2765" s="29" t="s">
        <v>277</v>
      </c>
      <c r="D2765" s="31">
        <f>SUMIFS(D2766:D3130,K2766:K3130,"0",B2766:B3130,"5 1 3 4 7 12 31111 6 M78 07000 151 00C 001 34701 015 2112000 2024 00000000*")-SUMIFS(E2766:E3130,K2766:K3130,"0",B2766:B3130,"5 1 3 4 7 12 31111 6 M78 07000 151 00C 001 34701 015 2112000 2024 00000000*")</f>
        <v>0</v>
      </c>
      <c r="E2765"/>
      <c r="F2765" s="31">
        <f>SUMIFS(F2766:F3130,K2766:K3130,"0",B2766:B3130,"5 1 3 4 7 12 31111 6 M78 07000 151 00C 001 34701 015 2112000 2024 00000000*")</f>
        <v>356391.13</v>
      </c>
      <c r="G2765" s="31">
        <f>SUMIFS(G2766:G3130,K2766:K3130,"0",B2766:B3130,"5 1 3 4 7 12 31111 6 M78 07000 151 00C 001 34701 015 2112000 2024 00000000*")</f>
        <v>0</v>
      </c>
      <c r="H2765" s="31">
        <f t="shared" si="44"/>
        <v>356391.13</v>
      </c>
      <c r="I2765" s="31"/>
      <c r="K2765" t="s">
        <v>13</v>
      </c>
    </row>
    <row r="2766" spans="2:11" ht="22" x14ac:dyDescent="0.15">
      <c r="B2766" s="29" t="s">
        <v>3511</v>
      </c>
      <c r="C2766" s="29" t="s">
        <v>32</v>
      </c>
      <c r="D2766" s="31">
        <f>SUMIFS(D2767:D3130,K2767:K3130,"0",B2767:B3130,"5 1 3 4 7 12 31111 6 M78 07000 151 00C 001 34701 015 2112000 2024 00000000 001*")-SUMIFS(E2767:E3130,K2767:K3130,"0",B2767:B3130,"5 1 3 4 7 12 31111 6 M78 07000 151 00C 001 34701 015 2112000 2024 00000000 001*")</f>
        <v>0</v>
      </c>
      <c r="E2766"/>
      <c r="F2766" s="31">
        <f>SUMIFS(F2767:F3130,K2767:K3130,"0",B2767:B3130,"5 1 3 4 7 12 31111 6 M78 07000 151 00C 001 34701 015 2112000 2024 00000000 001*")</f>
        <v>356391.13</v>
      </c>
      <c r="G2766" s="31">
        <f>SUMIFS(G2767:G3130,K2767:K3130,"0",B2767:B3130,"5 1 3 4 7 12 31111 6 M78 07000 151 00C 001 34701 015 2112000 2024 00000000 001*")</f>
        <v>0</v>
      </c>
      <c r="H2766" s="31">
        <f t="shared" si="44"/>
        <v>356391.13</v>
      </c>
      <c r="I2766" s="31"/>
      <c r="K2766" t="s">
        <v>13</v>
      </c>
    </row>
    <row r="2767" spans="2:11" ht="22" x14ac:dyDescent="0.15">
      <c r="B2767" s="27" t="s">
        <v>3512</v>
      </c>
      <c r="C2767" s="27" t="s">
        <v>3506</v>
      </c>
      <c r="D2767" s="30">
        <v>0</v>
      </c>
      <c r="E2767" s="30"/>
      <c r="F2767" s="30">
        <v>356391.13</v>
      </c>
      <c r="G2767" s="30">
        <v>0</v>
      </c>
      <c r="H2767" s="30">
        <f t="shared" si="44"/>
        <v>356391.13</v>
      </c>
      <c r="I2767" s="30"/>
      <c r="K2767" t="s">
        <v>37</v>
      </c>
    </row>
    <row r="2768" spans="2:11" ht="13" x14ac:dyDescent="0.15">
      <c r="B2768" s="29" t="s">
        <v>3513</v>
      </c>
      <c r="C2768" s="29" t="s">
        <v>3514</v>
      </c>
      <c r="D2768" s="31">
        <f>SUMIFS(D2769:D3130,K2769:K3130,"0",B2769:B3130,"5 1 3 5*")-SUMIFS(E2769:E3130,K2769:K3130,"0",B2769:B3130,"5 1 3 5*")</f>
        <v>0</v>
      </c>
      <c r="E2768"/>
      <c r="F2768" s="31">
        <f>SUMIFS(F2769:F3130,K2769:K3130,"0",B2769:B3130,"5 1 3 5*")</f>
        <v>2851853.9799999995</v>
      </c>
      <c r="G2768" s="31">
        <f>SUMIFS(G2769:G3130,K2769:K3130,"0",B2769:B3130,"5 1 3 5*")</f>
        <v>0</v>
      </c>
      <c r="H2768" s="31">
        <f t="shared" si="44"/>
        <v>2851853.9799999995</v>
      </c>
      <c r="I2768" s="31"/>
      <c r="K2768" t="s">
        <v>13</v>
      </c>
    </row>
    <row r="2769" spans="2:11" ht="13" x14ac:dyDescent="0.15">
      <c r="B2769" s="29" t="s">
        <v>3515</v>
      </c>
      <c r="C2769" s="29" t="s">
        <v>3516</v>
      </c>
      <c r="D2769" s="31">
        <f>SUMIFS(D2770:D3130,K2770:K3130,"0",B2770:B3130,"5 1 3 5 1*")-SUMIFS(E2770:E3130,K2770:K3130,"0",B2770:B3130,"5 1 3 5 1*")</f>
        <v>0</v>
      </c>
      <c r="E2769"/>
      <c r="F2769" s="31">
        <f>SUMIFS(F2770:F3130,K2770:K3130,"0",B2770:B3130,"5 1 3 5 1*")</f>
        <v>20625</v>
      </c>
      <c r="G2769" s="31">
        <f>SUMIFS(G2770:G3130,K2770:K3130,"0",B2770:B3130,"5 1 3 5 1*")</f>
        <v>0</v>
      </c>
      <c r="H2769" s="31">
        <f t="shared" si="44"/>
        <v>20625</v>
      </c>
      <c r="I2769" s="31"/>
      <c r="K2769" t="s">
        <v>13</v>
      </c>
    </row>
    <row r="2770" spans="2:11" ht="13" x14ac:dyDescent="0.15">
      <c r="B2770" s="29" t="s">
        <v>3517</v>
      </c>
      <c r="C2770" s="29" t="s">
        <v>24</v>
      </c>
      <c r="D2770" s="31">
        <f>SUMIFS(D2771:D3130,K2771:K3130,"0",B2771:B3130,"5 1 3 5 1 12*")-SUMIFS(E2771:E3130,K2771:K3130,"0",B2771:B3130,"5 1 3 5 1 12*")</f>
        <v>0</v>
      </c>
      <c r="E2770"/>
      <c r="F2770" s="31">
        <f>SUMIFS(F2771:F3130,K2771:K3130,"0",B2771:B3130,"5 1 3 5 1 12*")</f>
        <v>20625</v>
      </c>
      <c r="G2770" s="31">
        <f>SUMIFS(G2771:G3130,K2771:K3130,"0",B2771:B3130,"5 1 3 5 1 12*")</f>
        <v>0</v>
      </c>
      <c r="H2770" s="31">
        <f t="shared" si="44"/>
        <v>20625</v>
      </c>
      <c r="I2770" s="31"/>
      <c r="K2770" t="s">
        <v>13</v>
      </c>
    </row>
    <row r="2771" spans="2:11" ht="13" x14ac:dyDescent="0.15">
      <c r="B2771" s="29" t="s">
        <v>3518</v>
      </c>
      <c r="C2771" s="29" t="s">
        <v>26</v>
      </c>
      <c r="D2771" s="31">
        <f>SUMIFS(D2772:D3130,K2772:K3130,"0",B2772:B3130,"5 1 3 5 1 12 31111*")-SUMIFS(E2772:E3130,K2772:K3130,"0",B2772:B3130,"5 1 3 5 1 12 31111*")</f>
        <v>0</v>
      </c>
      <c r="E2771"/>
      <c r="F2771" s="31">
        <f>SUMIFS(F2772:F3130,K2772:K3130,"0",B2772:B3130,"5 1 3 5 1 12 31111*")</f>
        <v>20625</v>
      </c>
      <c r="G2771" s="31">
        <f>SUMIFS(G2772:G3130,K2772:K3130,"0",B2772:B3130,"5 1 3 5 1 12 31111*")</f>
        <v>0</v>
      </c>
      <c r="H2771" s="31">
        <f t="shared" si="44"/>
        <v>20625</v>
      </c>
      <c r="I2771" s="31"/>
      <c r="K2771" t="s">
        <v>13</v>
      </c>
    </row>
    <row r="2772" spans="2:11" ht="13" x14ac:dyDescent="0.15">
      <c r="B2772" s="29" t="s">
        <v>3519</v>
      </c>
      <c r="C2772" s="29" t="s">
        <v>28</v>
      </c>
      <c r="D2772" s="31">
        <f>SUMIFS(D2773:D3130,K2773:K3130,"0",B2773:B3130,"5 1 3 5 1 12 31111 6*")-SUMIFS(E2773:E3130,K2773:K3130,"0",B2773:B3130,"5 1 3 5 1 12 31111 6*")</f>
        <v>0</v>
      </c>
      <c r="E2772"/>
      <c r="F2772" s="31">
        <f>SUMIFS(F2773:F3130,K2773:K3130,"0",B2773:B3130,"5 1 3 5 1 12 31111 6*")</f>
        <v>20625</v>
      </c>
      <c r="G2772" s="31">
        <f>SUMIFS(G2773:G3130,K2773:K3130,"0",B2773:B3130,"5 1 3 5 1 12 31111 6*")</f>
        <v>0</v>
      </c>
      <c r="H2772" s="31">
        <f t="shared" si="44"/>
        <v>20625</v>
      </c>
      <c r="I2772" s="31"/>
      <c r="K2772" t="s">
        <v>13</v>
      </c>
    </row>
    <row r="2773" spans="2:11" ht="13" x14ac:dyDescent="0.15">
      <c r="B2773" s="29" t="s">
        <v>3520</v>
      </c>
      <c r="C2773" s="29" t="s">
        <v>1567</v>
      </c>
      <c r="D2773" s="31">
        <f>SUMIFS(D2774:D3130,K2774:K3130,"0",B2774:B3130,"5 1 3 5 1 12 31111 6 M78*")-SUMIFS(E2774:E3130,K2774:K3130,"0",B2774:B3130,"5 1 3 5 1 12 31111 6 M78*")</f>
        <v>0</v>
      </c>
      <c r="E2773"/>
      <c r="F2773" s="31">
        <f>SUMIFS(F2774:F3130,K2774:K3130,"0",B2774:B3130,"5 1 3 5 1 12 31111 6 M78*")</f>
        <v>20625</v>
      </c>
      <c r="G2773" s="31">
        <f>SUMIFS(G2774:G3130,K2774:K3130,"0",B2774:B3130,"5 1 3 5 1 12 31111 6 M78*")</f>
        <v>0</v>
      </c>
      <c r="H2773" s="31">
        <f t="shared" si="44"/>
        <v>20625</v>
      </c>
      <c r="I2773" s="31"/>
      <c r="K2773" t="s">
        <v>13</v>
      </c>
    </row>
    <row r="2774" spans="2:11" ht="13" x14ac:dyDescent="0.15">
      <c r="B2774" s="29" t="s">
        <v>3521</v>
      </c>
      <c r="C2774" s="29" t="s">
        <v>8</v>
      </c>
      <c r="D2774" s="31">
        <f>SUMIFS(D2775:D3130,K2775:K3130,"0",B2775:B3130,"5 1 3 5 1 12 31111 6 M78 07000*")-SUMIFS(E2775:E3130,K2775:K3130,"0",B2775:B3130,"5 1 3 5 1 12 31111 6 M78 07000*")</f>
        <v>0</v>
      </c>
      <c r="E2774"/>
      <c r="F2774" s="31">
        <f>SUMIFS(F2775:F3130,K2775:K3130,"0",B2775:B3130,"5 1 3 5 1 12 31111 6 M78 07000*")</f>
        <v>20625</v>
      </c>
      <c r="G2774" s="31">
        <f>SUMIFS(G2775:G3130,K2775:K3130,"0",B2775:B3130,"5 1 3 5 1 12 31111 6 M78 07000*")</f>
        <v>0</v>
      </c>
      <c r="H2774" s="31">
        <f t="shared" si="44"/>
        <v>20625</v>
      </c>
      <c r="I2774" s="31"/>
      <c r="K2774" t="s">
        <v>13</v>
      </c>
    </row>
    <row r="2775" spans="2:11" ht="13" x14ac:dyDescent="0.15">
      <c r="B2775" s="29" t="s">
        <v>3522</v>
      </c>
      <c r="C2775" s="29" t="s">
        <v>588</v>
      </c>
      <c r="D2775" s="31">
        <f>SUMIFS(D2776:D3130,K2776:K3130,"0",B2776:B3130,"5 1 3 5 1 12 31111 6 M78 07000 151*")-SUMIFS(E2776:E3130,K2776:K3130,"0",B2776:B3130,"5 1 3 5 1 12 31111 6 M78 07000 151*")</f>
        <v>0</v>
      </c>
      <c r="E2775"/>
      <c r="F2775" s="31">
        <f>SUMIFS(F2776:F3130,K2776:K3130,"0",B2776:B3130,"5 1 3 5 1 12 31111 6 M78 07000 151*")</f>
        <v>20625</v>
      </c>
      <c r="G2775" s="31">
        <f>SUMIFS(G2776:G3130,K2776:K3130,"0",B2776:B3130,"5 1 3 5 1 12 31111 6 M78 07000 151*")</f>
        <v>0</v>
      </c>
      <c r="H2775" s="31">
        <f t="shared" si="44"/>
        <v>20625</v>
      </c>
      <c r="I2775" s="31"/>
      <c r="K2775" t="s">
        <v>13</v>
      </c>
    </row>
    <row r="2776" spans="2:11" ht="13" x14ac:dyDescent="0.15">
      <c r="B2776" s="29" t="s">
        <v>3523</v>
      </c>
      <c r="C2776" s="29" t="s">
        <v>265</v>
      </c>
      <c r="D2776" s="31">
        <f>SUMIFS(D2777:D3130,K2777:K3130,"0",B2777:B3130,"5 1 3 5 1 12 31111 6 M78 07000 151 00C*")-SUMIFS(E2777:E3130,K2777:K3130,"0",B2777:B3130,"5 1 3 5 1 12 31111 6 M78 07000 151 00C*")</f>
        <v>0</v>
      </c>
      <c r="E2776"/>
      <c r="F2776" s="31">
        <f>SUMIFS(F2777:F3130,K2777:K3130,"0",B2777:B3130,"5 1 3 5 1 12 31111 6 M78 07000 151 00C*")</f>
        <v>20625</v>
      </c>
      <c r="G2776" s="31">
        <f>SUMIFS(G2777:G3130,K2777:K3130,"0",B2777:B3130,"5 1 3 5 1 12 31111 6 M78 07000 151 00C*")</f>
        <v>0</v>
      </c>
      <c r="H2776" s="31">
        <f t="shared" si="44"/>
        <v>20625</v>
      </c>
      <c r="I2776" s="31"/>
      <c r="K2776" t="s">
        <v>13</v>
      </c>
    </row>
    <row r="2777" spans="2:11" ht="13" x14ac:dyDescent="0.15">
      <c r="B2777" s="29" t="s">
        <v>3524</v>
      </c>
      <c r="C2777" s="29" t="s">
        <v>32</v>
      </c>
      <c r="D2777" s="31">
        <f>SUMIFS(D2778:D3130,K2778:K3130,"0",B2778:B3130,"5 1 3 5 1 12 31111 6 M78 07000 151 00C 001*")-SUMIFS(E2778:E3130,K2778:K3130,"0",B2778:B3130,"5 1 3 5 1 12 31111 6 M78 07000 151 00C 001*")</f>
        <v>0</v>
      </c>
      <c r="E2777"/>
      <c r="F2777" s="31">
        <f>SUMIFS(F2778:F3130,K2778:K3130,"0",B2778:B3130,"5 1 3 5 1 12 31111 6 M78 07000 151 00C 001*")</f>
        <v>20625</v>
      </c>
      <c r="G2777" s="31">
        <f>SUMIFS(G2778:G3130,K2778:K3130,"0",B2778:B3130,"5 1 3 5 1 12 31111 6 M78 07000 151 00C 001*")</f>
        <v>0</v>
      </c>
      <c r="H2777" s="31">
        <f t="shared" si="44"/>
        <v>20625</v>
      </c>
      <c r="I2777" s="31"/>
      <c r="K2777" t="s">
        <v>13</v>
      </c>
    </row>
    <row r="2778" spans="2:11" ht="22" x14ac:dyDescent="0.15">
      <c r="B2778" s="29" t="s">
        <v>3525</v>
      </c>
      <c r="C2778" s="29" t="s">
        <v>3526</v>
      </c>
      <c r="D2778" s="31">
        <f>SUMIFS(D2779:D3130,K2779:K3130,"0",B2779:B3130,"5 1 3 5 1 12 31111 6 M78 07000 151 00C 001 35102*")-SUMIFS(E2779:E3130,K2779:K3130,"0",B2779:B3130,"5 1 3 5 1 12 31111 6 M78 07000 151 00C 001 35102*")</f>
        <v>0</v>
      </c>
      <c r="E2778"/>
      <c r="F2778" s="31">
        <f>SUMIFS(F2779:F3130,K2779:K3130,"0",B2779:B3130,"5 1 3 5 1 12 31111 6 M78 07000 151 00C 001 35102*")</f>
        <v>20625</v>
      </c>
      <c r="G2778" s="31">
        <f>SUMIFS(G2779:G3130,K2779:K3130,"0",B2779:B3130,"5 1 3 5 1 12 31111 6 M78 07000 151 00C 001 35102*")</f>
        <v>0</v>
      </c>
      <c r="H2778" s="31">
        <f t="shared" si="44"/>
        <v>20625</v>
      </c>
      <c r="I2778" s="31"/>
      <c r="K2778" t="s">
        <v>13</v>
      </c>
    </row>
    <row r="2779" spans="2:11" ht="22" x14ac:dyDescent="0.15">
      <c r="B2779" s="29" t="s">
        <v>3527</v>
      </c>
      <c r="C2779" s="29" t="s">
        <v>271</v>
      </c>
      <c r="D2779" s="31">
        <f>SUMIFS(D2780:D3130,K2780:K3130,"0",B2780:B3130,"5 1 3 5 1 12 31111 6 M78 07000 151 00C 001 35102 015*")-SUMIFS(E2780:E3130,K2780:K3130,"0",B2780:B3130,"5 1 3 5 1 12 31111 6 M78 07000 151 00C 001 35102 015*")</f>
        <v>0</v>
      </c>
      <c r="E2779"/>
      <c r="F2779" s="31">
        <f>SUMIFS(F2780:F3130,K2780:K3130,"0",B2780:B3130,"5 1 3 5 1 12 31111 6 M78 07000 151 00C 001 35102 015*")</f>
        <v>20625</v>
      </c>
      <c r="G2779" s="31">
        <f>SUMIFS(G2780:G3130,K2780:K3130,"0",B2780:B3130,"5 1 3 5 1 12 31111 6 M78 07000 151 00C 001 35102 015*")</f>
        <v>0</v>
      </c>
      <c r="H2779" s="31">
        <f t="shared" si="44"/>
        <v>20625</v>
      </c>
      <c r="I2779" s="31"/>
      <c r="K2779" t="s">
        <v>13</v>
      </c>
    </row>
    <row r="2780" spans="2:11" ht="22" x14ac:dyDescent="0.15">
      <c r="B2780" s="29" t="s">
        <v>3528</v>
      </c>
      <c r="C2780" s="29" t="s">
        <v>595</v>
      </c>
      <c r="D2780" s="31">
        <f>SUMIFS(D2781:D3130,K2781:K3130,"0",B2781:B3130,"5 1 3 5 1 12 31111 6 M78 07000 151 00C 001 35102 015 2112000*")-SUMIFS(E2781:E3130,K2781:K3130,"0",B2781:B3130,"5 1 3 5 1 12 31111 6 M78 07000 151 00C 001 35102 015 2112000*")</f>
        <v>0</v>
      </c>
      <c r="E2780"/>
      <c r="F2780" s="31">
        <f>SUMIFS(F2781:F3130,K2781:K3130,"0",B2781:B3130,"5 1 3 5 1 12 31111 6 M78 07000 151 00C 001 35102 015 2112000*")</f>
        <v>20625</v>
      </c>
      <c r="G2780" s="31">
        <f>SUMIFS(G2781:G3130,K2781:K3130,"0",B2781:B3130,"5 1 3 5 1 12 31111 6 M78 07000 151 00C 001 35102 015 2112000*")</f>
        <v>0</v>
      </c>
      <c r="H2780" s="31">
        <f t="shared" si="44"/>
        <v>20625</v>
      </c>
      <c r="I2780" s="31"/>
      <c r="K2780" t="s">
        <v>13</v>
      </c>
    </row>
    <row r="2781" spans="2:11" ht="22" x14ac:dyDescent="0.15">
      <c r="B2781" s="29" t="s">
        <v>3529</v>
      </c>
      <c r="C2781" s="29" t="s">
        <v>275</v>
      </c>
      <c r="D2781" s="31">
        <f>SUMIFS(D2782:D3130,K2782:K3130,"0",B2782:B3130,"5 1 3 5 1 12 31111 6 M78 07000 151 00C 001 35102 015 2112000 2024*")-SUMIFS(E2782:E3130,K2782:K3130,"0",B2782:B3130,"5 1 3 5 1 12 31111 6 M78 07000 151 00C 001 35102 015 2112000 2024*")</f>
        <v>0</v>
      </c>
      <c r="E2781"/>
      <c r="F2781" s="31">
        <f>SUMIFS(F2782:F3130,K2782:K3130,"0",B2782:B3130,"5 1 3 5 1 12 31111 6 M78 07000 151 00C 001 35102 015 2112000 2024*")</f>
        <v>20625</v>
      </c>
      <c r="G2781" s="31">
        <f>SUMIFS(G2782:G3130,K2782:K3130,"0",B2782:B3130,"5 1 3 5 1 12 31111 6 M78 07000 151 00C 001 35102 015 2112000 2024*")</f>
        <v>0</v>
      </c>
      <c r="H2781" s="31">
        <f t="shared" si="44"/>
        <v>20625</v>
      </c>
      <c r="I2781" s="31"/>
      <c r="K2781" t="s">
        <v>13</v>
      </c>
    </row>
    <row r="2782" spans="2:11" ht="22" x14ac:dyDescent="0.15">
      <c r="B2782" s="29" t="s">
        <v>3530</v>
      </c>
      <c r="C2782" s="29" t="s">
        <v>277</v>
      </c>
      <c r="D2782" s="31">
        <f>SUMIFS(D2783:D3130,K2783:K3130,"0",B2783:B3130,"5 1 3 5 1 12 31111 6 M78 07000 151 00C 001 35102 015 2112000 2024 00000000*")-SUMIFS(E2783:E3130,K2783:K3130,"0",B2783:B3130,"5 1 3 5 1 12 31111 6 M78 07000 151 00C 001 35102 015 2112000 2024 00000000*")</f>
        <v>0</v>
      </c>
      <c r="E2782"/>
      <c r="F2782" s="31">
        <f>SUMIFS(F2783:F3130,K2783:K3130,"0",B2783:B3130,"5 1 3 5 1 12 31111 6 M78 07000 151 00C 001 35102 015 2112000 2024 00000000*")</f>
        <v>20625</v>
      </c>
      <c r="G2782" s="31">
        <f>SUMIFS(G2783:G3130,K2783:K3130,"0",B2783:B3130,"5 1 3 5 1 12 31111 6 M78 07000 151 00C 001 35102 015 2112000 2024 00000000*")</f>
        <v>0</v>
      </c>
      <c r="H2782" s="31">
        <f t="shared" si="44"/>
        <v>20625</v>
      </c>
      <c r="I2782" s="31"/>
      <c r="K2782" t="s">
        <v>13</v>
      </c>
    </row>
    <row r="2783" spans="2:11" ht="22" x14ac:dyDescent="0.15">
      <c r="B2783" s="29" t="s">
        <v>3531</v>
      </c>
      <c r="C2783" s="29" t="s">
        <v>32</v>
      </c>
      <c r="D2783" s="31">
        <f>SUMIFS(D2784:D3130,K2784:K3130,"0",B2784:B3130,"5 1 3 5 1 12 31111 6 M78 07000 151 00C 001 35102 015 2112000 2024 00000000 001*")-SUMIFS(E2784:E3130,K2784:K3130,"0",B2784:B3130,"5 1 3 5 1 12 31111 6 M78 07000 151 00C 001 35102 015 2112000 2024 00000000 001*")</f>
        <v>0</v>
      </c>
      <c r="E2783"/>
      <c r="F2783" s="31">
        <f>SUMIFS(F2784:F3130,K2784:K3130,"0",B2784:B3130,"5 1 3 5 1 12 31111 6 M78 07000 151 00C 001 35102 015 2112000 2024 00000000 001*")</f>
        <v>20625</v>
      </c>
      <c r="G2783" s="31">
        <f>SUMIFS(G2784:G3130,K2784:K3130,"0",B2784:B3130,"5 1 3 5 1 12 31111 6 M78 07000 151 00C 001 35102 015 2112000 2024 00000000 001*")</f>
        <v>0</v>
      </c>
      <c r="H2783" s="31">
        <f t="shared" si="44"/>
        <v>20625</v>
      </c>
      <c r="I2783" s="31"/>
      <c r="K2783" t="s">
        <v>13</v>
      </c>
    </row>
    <row r="2784" spans="2:11" ht="22" x14ac:dyDescent="0.15">
      <c r="B2784" s="27" t="s">
        <v>3532</v>
      </c>
      <c r="C2784" s="27" t="s">
        <v>3533</v>
      </c>
      <c r="D2784" s="30">
        <v>0</v>
      </c>
      <c r="E2784" s="30"/>
      <c r="F2784" s="30">
        <v>20625</v>
      </c>
      <c r="G2784" s="30">
        <v>0</v>
      </c>
      <c r="H2784" s="30">
        <f t="shared" si="44"/>
        <v>20625</v>
      </c>
      <c r="I2784" s="30"/>
      <c r="K2784" t="s">
        <v>37</v>
      </c>
    </row>
    <row r="2785" spans="2:11" ht="22" x14ac:dyDescent="0.15">
      <c r="B2785" s="29" t="s">
        <v>3534</v>
      </c>
      <c r="C2785" s="29" t="s">
        <v>3535</v>
      </c>
      <c r="D2785" s="31">
        <f>SUMIFS(D2786:D3130,K2786:K3130,"0",B2786:B3130,"5 1 3 5 2*")-SUMIFS(E2786:E3130,K2786:K3130,"0",B2786:B3130,"5 1 3 5 2*")</f>
        <v>0</v>
      </c>
      <c r="E2785"/>
      <c r="F2785" s="31">
        <f>SUMIFS(F2786:F3130,K2786:K3130,"0",B2786:B3130,"5 1 3 5 2*")</f>
        <v>333420</v>
      </c>
      <c r="G2785" s="31">
        <f>SUMIFS(G2786:G3130,K2786:K3130,"0",B2786:B3130,"5 1 3 5 2*")</f>
        <v>0</v>
      </c>
      <c r="H2785" s="31">
        <f t="shared" si="44"/>
        <v>333420</v>
      </c>
      <c r="I2785" s="31"/>
      <c r="K2785" t="s">
        <v>13</v>
      </c>
    </row>
    <row r="2786" spans="2:11" ht="13" x14ac:dyDescent="0.15">
      <c r="B2786" s="29" t="s">
        <v>3536</v>
      </c>
      <c r="C2786" s="29" t="s">
        <v>24</v>
      </c>
      <c r="D2786" s="31">
        <f>SUMIFS(D2787:D3130,K2787:K3130,"0",B2787:B3130,"5 1 3 5 2 12*")-SUMIFS(E2787:E3130,K2787:K3130,"0",B2787:B3130,"5 1 3 5 2 12*")</f>
        <v>0</v>
      </c>
      <c r="E2786"/>
      <c r="F2786" s="31">
        <f>SUMIFS(F2787:F3130,K2787:K3130,"0",B2787:B3130,"5 1 3 5 2 12*")</f>
        <v>333420</v>
      </c>
      <c r="G2786" s="31">
        <f>SUMIFS(G2787:G3130,K2787:K3130,"0",B2787:B3130,"5 1 3 5 2 12*")</f>
        <v>0</v>
      </c>
      <c r="H2786" s="31">
        <f t="shared" si="44"/>
        <v>333420</v>
      </c>
      <c r="I2786" s="31"/>
      <c r="K2786" t="s">
        <v>13</v>
      </c>
    </row>
    <row r="2787" spans="2:11" ht="13" x14ac:dyDescent="0.15">
      <c r="B2787" s="29" t="s">
        <v>3537</v>
      </c>
      <c r="C2787" s="29" t="s">
        <v>26</v>
      </c>
      <c r="D2787" s="31">
        <f>SUMIFS(D2788:D3130,K2788:K3130,"0",B2788:B3130,"5 1 3 5 2 12 31111*")-SUMIFS(E2788:E3130,K2788:K3130,"0",B2788:B3130,"5 1 3 5 2 12 31111*")</f>
        <v>0</v>
      </c>
      <c r="E2787"/>
      <c r="F2787" s="31">
        <f>SUMIFS(F2788:F3130,K2788:K3130,"0",B2788:B3130,"5 1 3 5 2 12 31111*")</f>
        <v>333420</v>
      </c>
      <c r="G2787" s="31">
        <f>SUMIFS(G2788:G3130,K2788:K3130,"0",B2788:B3130,"5 1 3 5 2 12 31111*")</f>
        <v>0</v>
      </c>
      <c r="H2787" s="31">
        <f t="shared" si="44"/>
        <v>333420</v>
      </c>
      <c r="I2787" s="31"/>
      <c r="K2787" t="s">
        <v>13</v>
      </c>
    </row>
    <row r="2788" spans="2:11" ht="13" x14ac:dyDescent="0.15">
      <c r="B2788" s="29" t="s">
        <v>3538</v>
      </c>
      <c r="C2788" s="29" t="s">
        <v>28</v>
      </c>
      <c r="D2788" s="31">
        <f>SUMIFS(D2789:D3130,K2789:K3130,"0",B2789:B3130,"5 1 3 5 2 12 31111 6*")-SUMIFS(E2789:E3130,K2789:K3130,"0",B2789:B3130,"5 1 3 5 2 12 31111 6*")</f>
        <v>0</v>
      </c>
      <c r="E2788"/>
      <c r="F2788" s="31">
        <f>SUMIFS(F2789:F3130,K2789:K3130,"0",B2789:B3130,"5 1 3 5 2 12 31111 6*")</f>
        <v>333420</v>
      </c>
      <c r="G2788" s="31">
        <f>SUMIFS(G2789:G3130,K2789:K3130,"0",B2789:B3130,"5 1 3 5 2 12 31111 6*")</f>
        <v>0</v>
      </c>
      <c r="H2788" s="31">
        <f t="shared" si="44"/>
        <v>333420</v>
      </c>
      <c r="I2788" s="31"/>
      <c r="K2788" t="s">
        <v>13</v>
      </c>
    </row>
    <row r="2789" spans="2:11" ht="13" x14ac:dyDescent="0.15">
      <c r="B2789" s="29" t="s">
        <v>3539</v>
      </c>
      <c r="C2789" s="29" t="s">
        <v>1567</v>
      </c>
      <c r="D2789" s="31">
        <f>SUMIFS(D2790:D3130,K2790:K3130,"0",B2790:B3130,"5 1 3 5 2 12 31111 6 M78*")-SUMIFS(E2790:E3130,K2790:K3130,"0",B2790:B3130,"5 1 3 5 2 12 31111 6 M78*")</f>
        <v>0</v>
      </c>
      <c r="E2789"/>
      <c r="F2789" s="31">
        <f>SUMIFS(F2790:F3130,K2790:K3130,"0",B2790:B3130,"5 1 3 5 2 12 31111 6 M78*")</f>
        <v>333420</v>
      </c>
      <c r="G2789" s="31">
        <f>SUMIFS(G2790:G3130,K2790:K3130,"0",B2790:B3130,"5 1 3 5 2 12 31111 6 M78*")</f>
        <v>0</v>
      </c>
      <c r="H2789" s="31">
        <f t="shared" si="44"/>
        <v>333420</v>
      </c>
      <c r="I2789" s="31"/>
      <c r="K2789" t="s">
        <v>13</v>
      </c>
    </row>
    <row r="2790" spans="2:11" ht="13" x14ac:dyDescent="0.15">
      <c r="B2790" s="29" t="s">
        <v>3540</v>
      </c>
      <c r="C2790" s="29" t="s">
        <v>8</v>
      </c>
      <c r="D2790" s="31">
        <f>SUMIFS(D2791:D3130,K2791:K3130,"0",B2791:B3130,"5 1 3 5 2 12 31111 6 M78 07000*")-SUMIFS(E2791:E3130,K2791:K3130,"0",B2791:B3130,"5 1 3 5 2 12 31111 6 M78 07000*")</f>
        <v>0</v>
      </c>
      <c r="E2790"/>
      <c r="F2790" s="31">
        <f>SUMIFS(F2791:F3130,K2791:K3130,"0",B2791:B3130,"5 1 3 5 2 12 31111 6 M78 07000*")</f>
        <v>333420</v>
      </c>
      <c r="G2790" s="31">
        <f>SUMIFS(G2791:G3130,K2791:K3130,"0",B2791:B3130,"5 1 3 5 2 12 31111 6 M78 07000*")</f>
        <v>0</v>
      </c>
      <c r="H2790" s="31">
        <f t="shared" si="44"/>
        <v>333420</v>
      </c>
      <c r="I2790" s="31"/>
      <c r="K2790" t="s">
        <v>13</v>
      </c>
    </row>
    <row r="2791" spans="2:11" ht="13" x14ac:dyDescent="0.15">
      <c r="B2791" s="29" t="s">
        <v>3541</v>
      </c>
      <c r="C2791" s="29" t="s">
        <v>588</v>
      </c>
      <c r="D2791" s="31">
        <f>SUMIFS(D2792:D3130,K2792:K3130,"0",B2792:B3130,"5 1 3 5 2 12 31111 6 M78 07000 151*")-SUMIFS(E2792:E3130,K2792:K3130,"0",B2792:B3130,"5 1 3 5 2 12 31111 6 M78 07000 151*")</f>
        <v>0</v>
      </c>
      <c r="E2791"/>
      <c r="F2791" s="31">
        <f>SUMIFS(F2792:F3130,K2792:K3130,"0",B2792:B3130,"5 1 3 5 2 12 31111 6 M78 07000 151*")</f>
        <v>333420</v>
      </c>
      <c r="G2791" s="31">
        <f>SUMIFS(G2792:G3130,K2792:K3130,"0",B2792:B3130,"5 1 3 5 2 12 31111 6 M78 07000 151*")</f>
        <v>0</v>
      </c>
      <c r="H2791" s="31">
        <f t="shared" si="44"/>
        <v>333420</v>
      </c>
      <c r="I2791" s="31"/>
      <c r="K2791" t="s">
        <v>13</v>
      </c>
    </row>
    <row r="2792" spans="2:11" ht="13" x14ac:dyDescent="0.15">
      <c r="B2792" s="29" t="s">
        <v>3542</v>
      </c>
      <c r="C2792" s="29" t="s">
        <v>265</v>
      </c>
      <c r="D2792" s="31">
        <f>SUMIFS(D2793:D3130,K2793:K3130,"0",B2793:B3130,"5 1 3 5 2 12 31111 6 M78 07000 151 00C*")-SUMIFS(E2793:E3130,K2793:K3130,"0",B2793:B3130,"5 1 3 5 2 12 31111 6 M78 07000 151 00C*")</f>
        <v>0</v>
      </c>
      <c r="E2792"/>
      <c r="F2792" s="31">
        <f>SUMIFS(F2793:F3130,K2793:K3130,"0",B2793:B3130,"5 1 3 5 2 12 31111 6 M78 07000 151 00C*")</f>
        <v>333420</v>
      </c>
      <c r="G2792" s="31">
        <f>SUMIFS(G2793:G3130,K2793:K3130,"0",B2793:B3130,"5 1 3 5 2 12 31111 6 M78 07000 151 00C*")</f>
        <v>0</v>
      </c>
      <c r="H2792" s="31">
        <f t="shared" si="44"/>
        <v>333420</v>
      </c>
      <c r="I2792" s="31"/>
      <c r="K2792" t="s">
        <v>13</v>
      </c>
    </row>
    <row r="2793" spans="2:11" ht="13" x14ac:dyDescent="0.15">
      <c r="B2793" s="29" t="s">
        <v>3543</v>
      </c>
      <c r="C2793" s="29" t="s">
        <v>32</v>
      </c>
      <c r="D2793" s="31">
        <f>SUMIFS(D2794:D3130,K2794:K3130,"0",B2794:B3130,"5 1 3 5 2 12 31111 6 M78 07000 151 00C 001*")-SUMIFS(E2794:E3130,K2794:K3130,"0",B2794:B3130,"5 1 3 5 2 12 31111 6 M78 07000 151 00C 001*")</f>
        <v>0</v>
      </c>
      <c r="E2793"/>
      <c r="F2793" s="31">
        <f>SUMIFS(F2794:F3130,K2794:K3130,"0",B2794:B3130,"5 1 3 5 2 12 31111 6 M78 07000 151 00C 001*")</f>
        <v>333420</v>
      </c>
      <c r="G2793" s="31">
        <f>SUMIFS(G2794:G3130,K2794:K3130,"0",B2794:B3130,"5 1 3 5 2 12 31111 6 M78 07000 151 00C 001*")</f>
        <v>0</v>
      </c>
      <c r="H2793" s="31">
        <f t="shared" si="44"/>
        <v>333420</v>
      </c>
      <c r="I2793" s="31"/>
      <c r="K2793" t="s">
        <v>13</v>
      </c>
    </row>
    <row r="2794" spans="2:11" ht="22" x14ac:dyDescent="0.15">
      <c r="B2794" s="29" t="s">
        <v>3544</v>
      </c>
      <c r="C2794" s="29" t="s">
        <v>3545</v>
      </c>
      <c r="D2794" s="31">
        <f>SUMIFS(D2795:D3130,K2795:K3130,"0",B2795:B3130,"5 1 3 5 2 12 31111 6 M78 07000 151 00C 001 35201*")-SUMIFS(E2795:E3130,K2795:K3130,"0",B2795:B3130,"5 1 3 5 2 12 31111 6 M78 07000 151 00C 001 35201*")</f>
        <v>0</v>
      </c>
      <c r="E2794"/>
      <c r="F2794" s="31">
        <f>SUMIFS(F2795:F3130,K2795:K3130,"0",B2795:B3130,"5 1 3 5 2 12 31111 6 M78 07000 151 00C 001 35201*")</f>
        <v>333420</v>
      </c>
      <c r="G2794" s="31">
        <f>SUMIFS(G2795:G3130,K2795:K3130,"0",B2795:B3130,"5 1 3 5 2 12 31111 6 M78 07000 151 00C 001 35201*")</f>
        <v>0</v>
      </c>
      <c r="H2794" s="31">
        <f t="shared" si="44"/>
        <v>333420</v>
      </c>
      <c r="I2794" s="31"/>
      <c r="K2794" t="s">
        <v>13</v>
      </c>
    </row>
    <row r="2795" spans="2:11" ht="22" x14ac:dyDescent="0.15">
      <c r="B2795" s="29" t="s">
        <v>3546</v>
      </c>
      <c r="C2795" s="29" t="s">
        <v>271</v>
      </c>
      <c r="D2795" s="31">
        <f>SUMIFS(D2796:D3130,K2796:K3130,"0",B2796:B3130,"5 1 3 5 2 12 31111 6 M78 07000 151 00C 001 35201 015*")-SUMIFS(E2796:E3130,K2796:K3130,"0",B2796:B3130,"5 1 3 5 2 12 31111 6 M78 07000 151 00C 001 35201 015*")</f>
        <v>0</v>
      </c>
      <c r="E2795"/>
      <c r="F2795" s="31">
        <f>SUMIFS(F2796:F3130,K2796:K3130,"0",B2796:B3130,"5 1 3 5 2 12 31111 6 M78 07000 151 00C 001 35201 015*")</f>
        <v>333420</v>
      </c>
      <c r="G2795" s="31">
        <f>SUMIFS(G2796:G3130,K2796:K3130,"0",B2796:B3130,"5 1 3 5 2 12 31111 6 M78 07000 151 00C 001 35201 015*")</f>
        <v>0</v>
      </c>
      <c r="H2795" s="31">
        <f t="shared" si="44"/>
        <v>333420</v>
      </c>
      <c r="I2795" s="31"/>
      <c r="K2795" t="s">
        <v>13</v>
      </c>
    </row>
    <row r="2796" spans="2:11" ht="22" x14ac:dyDescent="0.15">
      <c r="B2796" s="29" t="s">
        <v>3547</v>
      </c>
      <c r="C2796" s="29" t="s">
        <v>595</v>
      </c>
      <c r="D2796" s="31">
        <f>SUMIFS(D2797:D3130,K2797:K3130,"0",B2797:B3130,"5 1 3 5 2 12 31111 6 M78 07000 151 00C 001 35201 015 2112000*")-SUMIFS(E2797:E3130,K2797:K3130,"0",B2797:B3130,"5 1 3 5 2 12 31111 6 M78 07000 151 00C 001 35201 015 2112000*")</f>
        <v>0</v>
      </c>
      <c r="E2796"/>
      <c r="F2796" s="31">
        <f>SUMIFS(F2797:F3130,K2797:K3130,"0",B2797:B3130,"5 1 3 5 2 12 31111 6 M78 07000 151 00C 001 35201 015 2112000*")</f>
        <v>333420</v>
      </c>
      <c r="G2796" s="31">
        <f>SUMIFS(G2797:G3130,K2797:K3130,"0",B2797:B3130,"5 1 3 5 2 12 31111 6 M78 07000 151 00C 001 35201 015 2112000*")</f>
        <v>0</v>
      </c>
      <c r="H2796" s="31">
        <f t="shared" si="44"/>
        <v>333420</v>
      </c>
      <c r="I2796" s="31"/>
      <c r="K2796" t="s">
        <v>13</v>
      </c>
    </row>
    <row r="2797" spans="2:11" ht="22" x14ac:dyDescent="0.15">
      <c r="B2797" s="29" t="s">
        <v>3548</v>
      </c>
      <c r="C2797" s="29" t="s">
        <v>275</v>
      </c>
      <c r="D2797" s="31">
        <f>SUMIFS(D2798:D3130,K2798:K3130,"0",B2798:B3130,"5 1 3 5 2 12 31111 6 M78 07000 151 00C 001 35201 015 2112000 2024*")-SUMIFS(E2798:E3130,K2798:K3130,"0",B2798:B3130,"5 1 3 5 2 12 31111 6 M78 07000 151 00C 001 35201 015 2112000 2024*")</f>
        <v>0</v>
      </c>
      <c r="E2797"/>
      <c r="F2797" s="31">
        <f>SUMIFS(F2798:F3130,K2798:K3130,"0",B2798:B3130,"5 1 3 5 2 12 31111 6 M78 07000 151 00C 001 35201 015 2112000 2024*")</f>
        <v>333420</v>
      </c>
      <c r="G2797" s="31">
        <f>SUMIFS(G2798:G3130,K2798:K3130,"0",B2798:B3130,"5 1 3 5 2 12 31111 6 M78 07000 151 00C 001 35201 015 2112000 2024*")</f>
        <v>0</v>
      </c>
      <c r="H2797" s="31">
        <f t="shared" si="44"/>
        <v>333420</v>
      </c>
      <c r="I2797" s="31"/>
      <c r="K2797" t="s">
        <v>13</v>
      </c>
    </row>
    <row r="2798" spans="2:11" ht="22" x14ac:dyDescent="0.15">
      <c r="B2798" s="29" t="s">
        <v>3549</v>
      </c>
      <c r="C2798" s="29" t="s">
        <v>277</v>
      </c>
      <c r="D2798" s="31">
        <f>SUMIFS(D2799:D3130,K2799:K3130,"0",B2799:B3130,"5 1 3 5 2 12 31111 6 M78 07000 151 00C 001 35201 015 2112000 2024 00000000*")-SUMIFS(E2799:E3130,K2799:K3130,"0",B2799:B3130,"5 1 3 5 2 12 31111 6 M78 07000 151 00C 001 35201 015 2112000 2024 00000000*")</f>
        <v>0</v>
      </c>
      <c r="E2798"/>
      <c r="F2798" s="31">
        <f>SUMIFS(F2799:F3130,K2799:K3130,"0",B2799:B3130,"5 1 3 5 2 12 31111 6 M78 07000 151 00C 001 35201 015 2112000 2024 00000000*")</f>
        <v>333420</v>
      </c>
      <c r="G2798" s="31">
        <f>SUMIFS(G2799:G3130,K2799:K3130,"0",B2799:B3130,"5 1 3 5 2 12 31111 6 M78 07000 151 00C 001 35201 015 2112000 2024 00000000*")</f>
        <v>0</v>
      </c>
      <c r="H2798" s="31">
        <f t="shared" si="44"/>
        <v>333420</v>
      </c>
      <c r="I2798" s="31"/>
      <c r="K2798" t="s">
        <v>13</v>
      </c>
    </row>
    <row r="2799" spans="2:11" ht="22" x14ac:dyDescent="0.15">
      <c r="B2799" s="29" t="s">
        <v>3550</v>
      </c>
      <c r="C2799" s="29" t="s">
        <v>32</v>
      </c>
      <c r="D2799" s="31">
        <f>SUMIFS(D2800:D3130,K2800:K3130,"0",B2800:B3130,"5 1 3 5 2 12 31111 6 M78 07000 151 00C 001 35201 015 2112000 2024 00000000 001*")-SUMIFS(E2800:E3130,K2800:K3130,"0",B2800:B3130,"5 1 3 5 2 12 31111 6 M78 07000 151 00C 001 35201 015 2112000 2024 00000000 001*")</f>
        <v>0</v>
      </c>
      <c r="E2799"/>
      <c r="F2799" s="31">
        <f>SUMIFS(F2800:F3130,K2800:K3130,"0",B2800:B3130,"5 1 3 5 2 12 31111 6 M78 07000 151 00C 001 35201 015 2112000 2024 00000000 001*")</f>
        <v>333420</v>
      </c>
      <c r="G2799" s="31">
        <f>SUMIFS(G2800:G3130,K2800:K3130,"0",B2800:B3130,"5 1 3 5 2 12 31111 6 M78 07000 151 00C 001 35201 015 2112000 2024 00000000 001*")</f>
        <v>0</v>
      </c>
      <c r="H2799" s="31">
        <f t="shared" si="44"/>
        <v>333420</v>
      </c>
      <c r="I2799" s="31"/>
      <c r="K2799" t="s">
        <v>13</v>
      </c>
    </row>
    <row r="2800" spans="2:11" ht="22" x14ac:dyDescent="0.15">
      <c r="B2800" s="27" t="s">
        <v>3551</v>
      </c>
      <c r="C2800" s="27" t="s">
        <v>3552</v>
      </c>
      <c r="D2800" s="30">
        <v>0</v>
      </c>
      <c r="E2800" s="30"/>
      <c r="F2800" s="30">
        <v>333420</v>
      </c>
      <c r="G2800" s="30">
        <v>0</v>
      </c>
      <c r="H2800" s="30">
        <f t="shared" si="44"/>
        <v>333420</v>
      </c>
      <c r="I2800" s="30"/>
      <c r="K2800" t="s">
        <v>37</v>
      </c>
    </row>
    <row r="2801" spans="2:11" ht="22" x14ac:dyDescent="0.15">
      <c r="B2801" s="29" t="s">
        <v>3553</v>
      </c>
      <c r="C2801" s="29" t="s">
        <v>3554</v>
      </c>
      <c r="D2801" s="31">
        <f>SUMIFS(D2802:D3130,K2802:K3130,"0",B2802:B3130,"5 1 3 5 3*")-SUMIFS(E2802:E3130,K2802:K3130,"0",B2802:B3130,"5 1 3 5 3*")</f>
        <v>0</v>
      </c>
      <c r="E2801"/>
      <c r="F2801" s="31">
        <f>SUMIFS(F2802:F3130,K2802:K3130,"0",B2802:B3130,"5 1 3 5 3*")</f>
        <v>240268.41</v>
      </c>
      <c r="G2801" s="31">
        <f>SUMIFS(G2802:G3130,K2802:K3130,"0",B2802:B3130,"5 1 3 5 3*")</f>
        <v>0</v>
      </c>
      <c r="H2801" s="31">
        <f t="shared" si="44"/>
        <v>240268.41</v>
      </c>
      <c r="I2801" s="31"/>
      <c r="K2801" t="s">
        <v>13</v>
      </c>
    </row>
    <row r="2802" spans="2:11" ht="13" x14ac:dyDescent="0.15">
      <c r="B2802" s="29" t="s">
        <v>3555</v>
      </c>
      <c r="C2802" s="29" t="s">
        <v>24</v>
      </c>
      <c r="D2802" s="31">
        <f>SUMIFS(D2803:D3130,K2803:K3130,"0",B2803:B3130,"5 1 3 5 3 12*")-SUMIFS(E2803:E3130,K2803:K3130,"0",B2803:B3130,"5 1 3 5 3 12*")</f>
        <v>0</v>
      </c>
      <c r="E2802"/>
      <c r="F2802" s="31">
        <f>SUMIFS(F2803:F3130,K2803:K3130,"0",B2803:B3130,"5 1 3 5 3 12*")</f>
        <v>240268.41</v>
      </c>
      <c r="G2802" s="31">
        <f>SUMIFS(G2803:G3130,K2803:K3130,"0",B2803:B3130,"5 1 3 5 3 12*")</f>
        <v>0</v>
      </c>
      <c r="H2802" s="31">
        <f t="shared" si="44"/>
        <v>240268.41</v>
      </c>
      <c r="I2802" s="31"/>
      <c r="K2802" t="s">
        <v>13</v>
      </c>
    </row>
    <row r="2803" spans="2:11" ht="13" x14ac:dyDescent="0.15">
      <c r="B2803" s="29" t="s">
        <v>3556</v>
      </c>
      <c r="C2803" s="29" t="s">
        <v>26</v>
      </c>
      <c r="D2803" s="31">
        <f>SUMIFS(D2804:D3130,K2804:K3130,"0",B2804:B3130,"5 1 3 5 3 12 31111*")-SUMIFS(E2804:E3130,K2804:K3130,"0",B2804:B3130,"5 1 3 5 3 12 31111*")</f>
        <v>0</v>
      </c>
      <c r="E2803"/>
      <c r="F2803" s="31">
        <f>SUMIFS(F2804:F3130,K2804:K3130,"0",B2804:B3130,"5 1 3 5 3 12 31111*")</f>
        <v>240268.41</v>
      </c>
      <c r="G2803" s="31">
        <f>SUMIFS(G2804:G3130,K2804:K3130,"0",B2804:B3130,"5 1 3 5 3 12 31111*")</f>
        <v>0</v>
      </c>
      <c r="H2803" s="31">
        <f t="shared" si="44"/>
        <v>240268.41</v>
      </c>
      <c r="I2803" s="31"/>
      <c r="K2803" t="s">
        <v>13</v>
      </c>
    </row>
    <row r="2804" spans="2:11" ht="13" x14ac:dyDescent="0.15">
      <c r="B2804" s="29" t="s">
        <v>3557</v>
      </c>
      <c r="C2804" s="29" t="s">
        <v>28</v>
      </c>
      <c r="D2804" s="31">
        <f>SUMIFS(D2805:D3130,K2805:K3130,"0",B2805:B3130,"5 1 3 5 3 12 31111 6*")-SUMIFS(E2805:E3130,K2805:K3130,"0",B2805:B3130,"5 1 3 5 3 12 31111 6*")</f>
        <v>0</v>
      </c>
      <c r="E2804"/>
      <c r="F2804" s="31">
        <f>SUMIFS(F2805:F3130,K2805:K3130,"0",B2805:B3130,"5 1 3 5 3 12 31111 6*")</f>
        <v>240268.41</v>
      </c>
      <c r="G2804" s="31">
        <f>SUMIFS(G2805:G3130,K2805:K3130,"0",B2805:B3130,"5 1 3 5 3 12 31111 6*")</f>
        <v>0</v>
      </c>
      <c r="H2804" s="31">
        <f t="shared" si="44"/>
        <v>240268.41</v>
      </c>
      <c r="I2804" s="31"/>
      <c r="K2804" t="s">
        <v>13</v>
      </c>
    </row>
    <row r="2805" spans="2:11" ht="13" x14ac:dyDescent="0.15">
      <c r="B2805" s="29" t="s">
        <v>3558</v>
      </c>
      <c r="C2805" s="29" t="s">
        <v>1567</v>
      </c>
      <c r="D2805" s="31">
        <f>SUMIFS(D2806:D3130,K2806:K3130,"0",B2806:B3130,"5 1 3 5 3 12 31111 6 M78*")-SUMIFS(E2806:E3130,K2806:K3130,"0",B2806:B3130,"5 1 3 5 3 12 31111 6 M78*")</f>
        <v>0</v>
      </c>
      <c r="E2805"/>
      <c r="F2805" s="31">
        <f>SUMIFS(F2806:F3130,K2806:K3130,"0",B2806:B3130,"5 1 3 5 3 12 31111 6 M78*")</f>
        <v>240268.41</v>
      </c>
      <c r="G2805" s="31">
        <f>SUMIFS(G2806:G3130,K2806:K3130,"0",B2806:B3130,"5 1 3 5 3 12 31111 6 M78*")</f>
        <v>0</v>
      </c>
      <c r="H2805" s="31">
        <f t="shared" si="44"/>
        <v>240268.41</v>
      </c>
      <c r="I2805" s="31"/>
      <c r="K2805" t="s">
        <v>13</v>
      </c>
    </row>
    <row r="2806" spans="2:11" ht="13" x14ac:dyDescent="0.15">
      <c r="B2806" s="29" t="s">
        <v>3559</v>
      </c>
      <c r="C2806" s="29" t="s">
        <v>951</v>
      </c>
      <c r="D2806" s="31">
        <f>SUMIFS(D2807:D3130,K2807:K3130,"0",B2807:B3130,"5 1 3 5 3 12 31111 6 M78 07000*")-SUMIFS(E2807:E3130,K2807:K3130,"0",B2807:B3130,"5 1 3 5 3 12 31111 6 M78 07000*")</f>
        <v>0</v>
      </c>
      <c r="E2806"/>
      <c r="F2806" s="31">
        <f>SUMIFS(F2807:F3130,K2807:K3130,"0",B2807:B3130,"5 1 3 5 3 12 31111 6 M78 07000*")</f>
        <v>20868.41</v>
      </c>
      <c r="G2806" s="31">
        <f>SUMIFS(G2807:G3130,K2807:K3130,"0",B2807:B3130,"5 1 3 5 3 12 31111 6 M78 07000*")</f>
        <v>0</v>
      </c>
      <c r="H2806" s="31">
        <f t="shared" si="44"/>
        <v>20868.41</v>
      </c>
      <c r="I2806" s="31"/>
      <c r="K2806" t="s">
        <v>13</v>
      </c>
    </row>
    <row r="2807" spans="2:11" ht="13" x14ac:dyDescent="0.15">
      <c r="B2807" s="29" t="s">
        <v>3560</v>
      </c>
      <c r="C2807" s="29" t="s">
        <v>588</v>
      </c>
      <c r="D2807" s="31">
        <f>SUMIFS(D2808:D3130,K2808:K3130,"0",B2808:B3130,"5 1 3 5 3 12 31111 6 M78 07000 151*")-SUMIFS(E2808:E3130,K2808:K3130,"0",B2808:B3130,"5 1 3 5 3 12 31111 6 M78 07000 151*")</f>
        <v>0</v>
      </c>
      <c r="E2807"/>
      <c r="F2807" s="31">
        <f>SUMIFS(F2808:F3130,K2808:K3130,"0",B2808:B3130,"5 1 3 5 3 12 31111 6 M78 07000 151*")</f>
        <v>20868.41</v>
      </c>
      <c r="G2807" s="31">
        <f>SUMIFS(G2808:G3130,K2808:K3130,"0",B2808:B3130,"5 1 3 5 3 12 31111 6 M78 07000 151*")</f>
        <v>0</v>
      </c>
      <c r="H2807" s="31">
        <f t="shared" si="44"/>
        <v>20868.41</v>
      </c>
      <c r="I2807" s="31"/>
      <c r="K2807" t="s">
        <v>13</v>
      </c>
    </row>
    <row r="2808" spans="2:11" ht="13" x14ac:dyDescent="0.15">
      <c r="B2808" s="29" t="s">
        <v>3561</v>
      </c>
      <c r="C2808" s="29" t="s">
        <v>812</v>
      </c>
      <c r="D2808" s="31">
        <f>SUMIFS(D2809:D3130,K2809:K3130,"0",B2809:B3130,"5 1 3 5 3 12 31111 6 M78 07000 151 00E*")-SUMIFS(E2809:E3130,K2809:K3130,"0",B2809:B3130,"5 1 3 5 3 12 31111 6 M78 07000 151 00E*")</f>
        <v>0</v>
      </c>
      <c r="E2808"/>
      <c r="F2808" s="31">
        <f>SUMIFS(F2809:F3130,K2809:K3130,"0",B2809:B3130,"5 1 3 5 3 12 31111 6 M78 07000 151 00E*")</f>
        <v>20868.41</v>
      </c>
      <c r="G2808" s="31">
        <f>SUMIFS(G2809:G3130,K2809:K3130,"0",B2809:B3130,"5 1 3 5 3 12 31111 6 M78 07000 151 00E*")</f>
        <v>0</v>
      </c>
      <c r="H2808" s="31">
        <f t="shared" si="44"/>
        <v>20868.41</v>
      </c>
      <c r="I2808" s="31"/>
      <c r="K2808" t="s">
        <v>13</v>
      </c>
    </row>
    <row r="2809" spans="2:11" ht="13" x14ac:dyDescent="0.15">
      <c r="B2809" s="29" t="s">
        <v>3562</v>
      </c>
      <c r="C2809" s="29" t="s">
        <v>32</v>
      </c>
      <c r="D2809" s="31">
        <f>SUMIFS(D2810:D3130,K2810:K3130,"0",B2810:B3130,"5 1 3 5 3 12 31111 6 M78 07000 151 00E 001*")-SUMIFS(E2810:E3130,K2810:K3130,"0",B2810:B3130,"5 1 3 5 3 12 31111 6 M78 07000 151 00E 001*")</f>
        <v>0</v>
      </c>
      <c r="E2809"/>
      <c r="F2809" s="31">
        <f>SUMIFS(F2810:F3130,K2810:K3130,"0",B2810:B3130,"5 1 3 5 3 12 31111 6 M78 07000 151 00E 001*")</f>
        <v>20868.41</v>
      </c>
      <c r="G2809" s="31">
        <f>SUMIFS(G2810:G3130,K2810:K3130,"0",B2810:B3130,"5 1 3 5 3 12 31111 6 M78 07000 151 00E 001*")</f>
        <v>0</v>
      </c>
      <c r="H2809" s="31">
        <f t="shared" si="44"/>
        <v>20868.41</v>
      </c>
      <c r="I2809" s="31"/>
      <c r="K2809" t="s">
        <v>13</v>
      </c>
    </row>
    <row r="2810" spans="2:11" ht="13" x14ac:dyDescent="0.15">
      <c r="B2810" s="29" t="s">
        <v>3563</v>
      </c>
      <c r="C2810" s="29" t="s">
        <v>3564</v>
      </c>
      <c r="D2810" s="31">
        <f>SUMIFS(D2811:D3130,K2811:K3130,"0",B2811:B3130,"5 1 3 5 3 12 31111 6 M78 07000 151 00E 001 35301*")-SUMIFS(E2811:E3130,K2811:K3130,"0",B2811:B3130,"5 1 3 5 3 12 31111 6 M78 07000 151 00E 001 35301*")</f>
        <v>0</v>
      </c>
      <c r="E2810"/>
      <c r="F2810" s="31">
        <f>SUMIFS(F2811:F3130,K2811:K3130,"0",B2811:B3130,"5 1 3 5 3 12 31111 6 M78 07000 151 00E 001 35301*")</f>
        <v>20868.41</v>
      </c>
      <c r="G2810" s="31">
        <f>SUMIFS(G2811:G3130,K2811:K3130,"0",B2811:B3130,"5 1 3 5 3 12 31111 6 M78 07000 151 00E 001 35301*")</f>
        <v>0</v>
      </c>
      <c r="H2810" s="31">
        <f t="shared" si="44"/>
        <v>20868.41</v>
      </c>
      <c r="I2810" s="31"/>
      <c r="K2810" t="s">
        <v>13</v>
      </c>
    </row>
    <row r="2811" spans="2:11" ht="22" x14ac:dyDescent="0.15">
      <c r="B2811" s="29" t="s">
        <v>3565</v>
      </c>
      <c r="C2811" s="29" t="s">
        <v>1567</v>
      </c>
      <c r="D2811" s="31">
        <f>SUMIFS(D2812:D3130,K2812:K3130,"0",B2812:B3130,"5 1 3 5 3 12 31111 6 M78 07000 151 00E 001 35301 011*")-SUMIFS(E2812:E3130,K2812:K3130,"0",B2812:B3130,"5 1 3 5 3 12 31111 6 M78 07000 151 00E 001 35301 011*")</f>
        <v>0</v>
      </c>
      <c r="E2811"/>
      <c r="F2811" s="31">
        <f>SUMIFS(F2812:F3130,K2812:K3130,"0",B2812:B3130,"5 1 3 5 3 12 31111 6 M78 07000 151 00E 001 35301 011*")</f>
        <v>20868.41</v>
      </c>
      <c r="G2811" s="31">
        <f>SUMIFS(G2812:G3130,K2812:K3130,"0",B2812:B3130,"5 1 3 5 3 12 31111 6 M78 07000 151 00E 001 35301 011*")</f>
        <v>0</v>
      </c>
      <c r="H2811" s="31">
        <f t="shared" si="44"/>
        <v>20868.41</v>
      </c>
      <c r="I2811" s="31"/>
      <c r="K2811" t="s">
        <v>13</v>
      </c>
    </row>
    <row r="2812" spans="2:11" ht="22" x14ac:dyDescent="0.15">
      <c r="B2812" s="29" t="s">
        <v>3566</v>
      </c>
      <c r="C2812" s="29" t="s">
        <v>595</v>
      </c>
      <c r="D2812" s="31">
        <f>SUMIFS(D2813:D3130,K2813:K3130,"0",B2813:B3130,"5 1 3 5 3 12 31111 6 M78 07000 151 00E 001 35301 011 2112000*")-SUMIFS(E2813:E3130,K2813:K3130,"0",B2813:B3130,"5 1 3 5 3 12 31111 6 M78 07000 151 00E 001 35301 011 2112000*")</f>
        <v>0</v>
      </c>
      <c r="E2812"/>
      <c r="F2812" s="31">
        <f>SUMIFS(F2813:F3130,K2813:K3130,"0",B2813:B3130,"5 1 3 5 3 12 31111 6 M78 07000 151 00E 001 35301 011 2112000*")</f>
        <v>20868.41</v>
      </c>
      <c r="G2812" s="31">
        <f>SUMIFS(G2813:G3130,K2813:K3130,"0",B2813:B3130,"5 1 3 5 3 12 31111 6 M78 07000 151 00E 001 35301 011 2112000*")</f>
        <v>0</v>
      </c>
      <c r="H2812" s="31">
        <f t="shared" si="44"/>
        <v>20868.41</v>
      </c>
      <c r="I2812" s="31"/>
      <c r="K2812" t="s">
        <v>13</v>
      </c>
    </row>
    <row r="2813" spans="2:11" ht="22" x14ac:dyDescent="0.15">
      <c r="B2813" s="29" t="s">
        <v>3567</v>
      </c>
      <c r="C2813" s="29" t="s">
        <v>275</v>
      </c>
      <c r="D2813" s="31">
        <f>SUMIFS(D2814:D3130,K2814:K3130,"0",B2814:B3130,"5 1 3 5 3 12 31111 6 M78 07000 151 00E 001 35301 011 2112000 2024*")-SUMIFS(E2814:E3130,K2814:K3130,"0",B2814:B3130,"5 1 3 5 3 12 31111 6 M78 07000 151 00E 001 35301 011 2112000 2024*")</f>
        <v>0</v>
      </c>
      <c r="E2813"/>
      <c r="F2813" s="31">
        <f>SUMIFS(F2814:F3130,K2814:K3130,"0",B2814:B3130,"5 1 3 5 3 12 31111 6 M78 07000 151 00E 001 35301 011 2112000 2024*")</f>
        <v>20868.41</v>
      </c>
      <c r="G2813" s="31">
        <f>SUMIFS(G2814:G3130,K2814:K3130,"0",B2814:B3130,"5 1 3 5 3 12 31111 6 M78 07000 151 00E 001 35301 011 2112000 2024*")</f>
        <v>0</v>
      </c>
      <c r="H2813" s="31">
        <f t="shared" si="44"/>
        <v>20868.41</v>
      </c>
      <c r="I2813" s="31"/>
      <c r="K2813" t="s">
        <v>13</v>
      </c>
    </row>
    <row r="2814" spans="2:11" ht="22" x14ac:dyDescent="0.15">
      <c r="B2814" s="29" t="s">
        <v>3568</v>
      </c>
      <c r="C2814" s="29" t="s">
        <v>277</v>
      </c>
      <c r="D2814" s="31">
        <f>SUMIFS(D2815:D3130,K2815:K3130,"0",B2815:B3130,"5 1 3 5 3 12 31111 6 M78 07000 151 00E 001 35301 011 2112000 2024 00000000*")-SUMIFS(E2815:E3130,K2815:K3130,"0",B2815:B3130,"5 1 3 5 3 12 31111 6 M78 07000 151 00E 001 35301 011 2112000 2024 00000000*")</f>
        <v>0</v>
      </c>
      <c r="E2814"/>
      <c r="F2814" s="31">
        <f>SUMIFS(F2815:F3130,K2815:K3130,"0",B2815:B3130,"5 1 3 5 3 12 31111 6 M78 07000 151 00E 001 35301 011 2112000 2024 00000000*")</f>
        <v>20868.41</v>
      </c>
      <c r="G2814" s="31">
        <f>SUMIFS(G2815:G3130,K2815:K3130,"0",B2815:B3130,"5 1 3 5 3 12 31111 6 M78 07000 151 00E 001 35301 011 2112000 2024 00000000*")</f>
        <v>0</v>
      </c>
      <c r="H2814" s="31">
        <f t="shared" si="44"/>
        <v>20868.41</v>
      </c>
      <c r="I2814" s="31"/>
      <c r="K2814" t="s">
        <v>13</v>
      </c>
    </row>
    <row r="2815" spans="2:11" ht="22" x14ac:dyDescent="0.15">
      <c r="B2815" s="29" t="s">
        <v>3569</v>
      </c>
      <c r="C2815" s="29" t="s">
        <v>1567</v>
      </c>
      <c r="D2815" s="31">
        <f>SUMIFS(D2816:D3130,K2816:K3130,"0",B2816:B3130,"5 1 3 5 3 12 31111 6 M78 07000 151 00E 001 35301 011 2112000 2024 00000000 005*")-SUMIFS(E2816:E3130,K2816:K3130,"0",B2816:B3130,"5 1 3 5 3 12 31111 6 M78 07000 151 00E 001 35301 011 2112000 2024 00000000 005*")</f>
        <v>0</v>
      </c>
      <c r="E2815"/>
      <c r="F2815" s="31">
        <f>SUMIFS(F2816:F3130,K2816:K3130,"0",B2816:B3130,"5 1 3 5 3 12 31111 6 M78 07000 151 00E 001 35301 011 2112000 2024 00000000 005*")</f>
        <v>20868.41</v>
      </c>
      <c r="G2815" s="31">
        <f>SUMIFS(G2816:G3130,K2816:K3130,"0",B2816:B3130,"5 1 3 5 3 12 31111 6 M78 07000 151 00E 001 35301 011 2112000 2024 00000000 005*")</f>
        <v>0</v>
      </c>
      <c r="H2815" s="31">
        <f t="shared" si="44"/>
        <v>20868.41</v>
      </c>
      <c r="I2815" s="31"/>
      <c r="K2815" t="s">
        <v>13</v>
      </c>
    </row>
    <row r="2816" spans="2:11" ht="22" x14ac:dyDescent="0.15">
      <c r="B2816" s="27" t="s">
        <v>3570</v>
      </c>
      <c r="C2816" s="27" t="s">
        <v>1567</v>
      </c>
      <c r="D2816" s="30">
        <v>0</v>
      </c>
      <c r="E2816" s="30"/>
      <c r="F2816" s="30">
        <v>20868.41</v>
      </c>
      <c r="G2816" s="30">
        <v>0</v>
      </c>
      <c r="H2816" s="30">
        <f t="shared" si="44"/>
        <v>20868.41</v>
      </c>
      <c r="I2816" s="30"/>
      <c r="K2816" t="s">
        <v>37</v>
      </c>
    </row>
    <row r="2817" spans="2:11" ht="13" x14ac:dyDescent="0.15">
      <c r="B2817" s="29" t="s">
        <v>3571</v>
      </c>
      <c r="C2817" s="29" t="s">
        <v>833</v>
      </c>
      <c r="D2817" s="31">
        <f>SUMIFS(D2818:D3130,K2818:K3130,"0",B2818:B3130,"5 1 3 5 3 12 31111 6 M78 15000*")-SUMIFS(E2818:E3130,K2818:K3130,"0",B2818:B3130,"5 1 3 5 3 12 31111 6 M78 15000*")</f>
        <v>0</v>
      </c>
      <c r="E2817"/>
      <c r="F2817" s="31">
        <f>SUMIFS(F2818:F3130,K2818:K3130,"0",B2818:B3130,"5 1 3 5 3 12 31111 6 M78 15000*")</f>
        <v>219400</v>
      </c>
      <c r="G2817" s="31">
        <f>SUMIFS(G2818:G3130,K2818:K3130,"0",B2818:B3130,"5 1 3 5 3 12 31111 6 M78 15000*")</f>
        <v>0</v>
      </c>
      <c r="H2817" s="31">
        <f t="shared" si="44"/>
        <v>219400</v>
      </c>
      <c r="I2817" s="31"/>
      <c r="K2817" t="s">
        <v>13</v>
      </c>
    </row>
    <row r="2818" spans="2:11" ht="13" x14ac:dyDescent="0.15">
      <c r="B2818" s="29" t="s">
        <v>3572</v>
      </c>
      <c r="C2818" s="29" t="s">
        <v>835</v>
      </c>
      <c r="D2818" s="31">
        <f>SUMIFS(D2819:D3130,K2819:K3130,"0",B2819:B3130,"5 1 3 5 3 12 31111 6 M78 15000 171*")-SUMIFS(E2819:E3130,K2819:K3130,"0",B2819:B3130,"5 1 3 5 3 12 31111 6 M78 15000 171*")</f>
        <v>0</v>
      </c>
      <c r="E2818"/>
      <c r="F2818" s="31">
        <f>SUMIFS(F2819:F3130,K2819:K3130,"0",B2819:B3130,"5 1 3 5 3 12 31111 6 M78 15000 171*")</f>
        <v>219400</v>
      </c>
      <c r="G2818" s="31">
        <f>SUMIFS(G2819:G3130,K2819:K3130,"0",B2819:B3130,"5 1 3 5 3 12 31111 6 M78 15000 171*")</f>
        <v>0</v>
      </c>
      <c r="H2818" s="31">
        <f t="shared" si="44"/>
        <v>219400</v>
      </c>
      <c r="I2818" s="31"/>
      <c r="K2818" t="s">
        <v>13</v>
      </c>
    </row>
    <row r="2819" spans="2:11" ht="13" x14ac:dyDescent="0.15">
      <c r="B2819" s="29" t="s">
        <v>3573</v>
      </c>
      <c r="C2819" s="29" t="s">
        <v>285</v>
      </c>
      <c r="D2819" s="31">
        <f>SUMIFS(D2820:D3130,K2820:K3130,"0",B2820:B3130,"5 1 3 5 3 12 31111 6 M78 15000 171 00I*")-SUMIFS(E2820:E3130,K2820:K3130,"0",B2820:B3130,"5 1 3 5 3 12 31111 6 M78 15000 171 00I*")</f>
        <v>0</v>
      </c>
      <c r="E2819"/>
      <c r="F2819" s="31">
        <f>SUMIFS(F2820:F3130,K2820:K3130,"0",B2820:B3130,"5 1 3 5 3 12 31111 6 M78 15000 171 00I*")</f>
        <v>219400</v>
      </c>
      <c r="G2819" s="31">
        <f>SUMIFS(G2820:G3130,K2820:K3130,"0",B2820:B3130,"5 1 3 5 3 12 31111 6 M78 15000 171 00I*")</f>
        <v>0</v>
      </c>
      <c r="H2819" s="31">
        <f t="shared" si="44"/>
        <v>219400</v>
      </c>
      <c r="I2819" s="31"/>
      <c r="K2819" t="s">
        <v>13</v>
      </c>
    </row>
    <row r="2820" spans="2:11" ht="13" x14ac:dyDescent="0.15">
      <c r="B2820" s="29" t="s">
        <v>3574</v>
      </c>
      <c r="C2820" s="29" t="s">
        <v>32</v>
      </c>
      <c r="D2820" s="31">
        <f>SUMIFS(D2821:D3130,K2821:K3130,"0",B2821:B3130,"5 1 3 5 3 12 31111 6 M78 15000 171 00I 001*")-SUMIFS(E2821:E3130,K2821:K3130,"0",B2821:B3130,"5 1 3 5 3 12 31111 6 M78 15000 171 00I 001*")</f>
        <v>0</v>
      </c>
      <c r="E2820"/>
      <c r="F2820" s="31">
        <f>SUMIFS(F2821:F3130,K2821:K3130,"0",B2821:B3130,"5 1 3 5 3 12 31111 6 M78 15000 171 00I 001*")</f>
        <v>219400</v>
      </c>
      <c r="G2820" s="31">
        <f>SUMIFS(G2821:G3130,K2821:K3130,"0",B2821:B3130,"5 1 3 5 3 12 31111 6 M78 15000 171 00I 001*")</f>
        <v>0</v>
      </c>
      <c r="H2820" s="31">
        <f t="shared" si="44"/>
        <v>219400</v>
      </c>
      <c r="I2820" s="31"/>
      <c r="K2820" t="s">
        <v>13</v>
      </c>
    </row>
    <row r="2821" spans="2:11" ht="13" x14ac:dyDescent="0.15">
      <c r="B2821" s="29" t="s">
        <v>3575</v>
      </c>
      <c r="C2821" s="29" t="s">
        <v>3576</v>
      </c>
      <c r="D2821" s="31">
        <f>SUMIFS(D2822:D3130,K2822:K3130,"0",B2822:B3130,"5 1 3 5 3 12 31111 6 M78 15000 171 00I 001 35301*")-SUMIFS(E2822:E3130,K2822:K3130,"0",B2822:B3130,"5 1 3 5 3 12 31111 6 M78 15000 171 00I 001 35301*")</f>
        <v>0</v>
      </c>
      <c r="E2821"/>
      <c r="F2821" s="31">
        <f>SUMIFS(F2822:F3130,K2822:K3130,"0",B2822:B3130,"5 1 3 5 3 12 31111 6 M78 15000 171 00I 001 35301*")</f>
        <v>219400</v>
      </c>
      <c r="G2821" s="31">
        <f>SUMIFS(G2822:G3130,K2822:K3130,"0",B2822:B3130,"5 1 3 5 3 12 31111 6 M78 15000 171 00I 001 35301*")</f>
        <v>0</v>
      </c>
      <c r="H2821" s="31">
        <f t="shared" si="44"/>
        <v>219400</v>
      </c>
      <c r="I2821" s="31"/>
      <c r="K2821" t="s">
        <v>13</v>
      </c>
    </row>
    <row r="2822" spans="2:11" ht="22" x14ac:dyDescent="0.15">
      <c r="B2822" s="29" t="s">
        <v>3577</v>
      </c>
      <c r="C2822" s="29" t="s">
        <v>290</v>
      </c>
      <c r="D2822" s="31">
        <f>SUMIFS(D2823:D3130,K2823:K3130,"0",B2823:B3130,"5 1 3 5 3 12 31111 6 M78 15000 171 00I 001 35301 025*")-SUMIFS(E2823:E3130,K2823:K3130,"0",B2823:B3130,"5 1 3 5 3 12 31111 6 M78 15000 171 00I 001 35301 025*")</f>
        <v>0</v>
      </c>
      <c r="E2822"/>
      <c r="F2822" s="31">
        <f>SUMIFS(F2823:F3130,K2823:K3130,"0",B2823:B3130,"5 1 3 5 3 12 31111 6 M78 15000 171 00I 001 35301 025*")</f>
        <v>219400</v>
      </c>
      <c r="G2822" s="31">
        <f>SUMIFS(G2823:G3130,K2823:K3130,"0",B2823:B3130,"5 1 3 5 3 12 31111 6 M78 15000 171 00I 001 35301 025*")</f>
        <v>0</v>
      </c>
      <c r="H2822" s="31">
        <f t="shared" si="44"/>
        <v>219400</v>
      </c>
      <c r="I2822" s="31"/>
      <c r="K2822" t="s">
        <v>13</v>
      </c>
    </row>
    <row r="2823" spans="2:11" ht="22" x14ac:dyDescent="0.15">
      <c r="B2823" s="29" t="s">
        <v>3578</v>
      </c>
      <c r="C2823" s="29" t="s">
        <v>595</v>
      </c>
      <c r="D2823" s="31">
        <f>SUMIFS(D2824:D3130,K2824:K3130,"0",B2824:B3130,"5 1 3 5 3 12 31111 6 M78 15000 171 00I 001 35301 025 2112000*")-SUMIFS(E2824:E3130,K2824:K3130,"0",B2824:B3130,"5 1 3 5 3 12 31111 6 M78 15000 171 00I 001 35301 025 2112000*")</f>
        <v>0</v>
      </c>
      <c r="E2823"/>
      <c r="F2823" s="31">
        <f>SUMIFS(F2824:F3130,K2824:K3130,"0",B2824:B3130,"5 1 3 5 3 12 31111 6 M78 15000 171 00I 001 35301 025 2112000*")</f>
        <v>219400</v>
      </c>
      <c r="G2823" s="31">
        <f>SUMIFS(G2824:G3130,K2824:K3130,"0",B2824:B3130,"5 1 3 5 3 12 31111 6 M78 15000 171 00I 001 35301 025 2112000*")</f>
        <v>0</v>
      </c>
      <c r="H2823" s="31">
        <f t="shared" si="44"/>
        <v>219400</v>
      </c>
      <c r="I2823" s="31"/>
      <c r="K2823" t="s">
        <v>13</v>
      </c>
    </row>
    <row r="2824" spans="2:11" ht="22" x14ac:dyDescent="0.15">
      <c r="B2824" s="29" t="s">
        <v>3579</v>
      </c>
      <c r="C2824" s="29" t="s">
        <v>275</v>
      </c>
      <c r="D2824" s="31">
        <f>SUMIFS(D2825:D3130,K2825:K3130,"0",B2825:B3130,"5 1 3 5 3 12 31111 6 M78 15000 171 00I 001 35301 025 2112000 2024*")-SUMIFS(E2825:E3130,K2825:K3130,"0",B2825:B3130,"5 1 3 5 3 12 31111 6 M78 15000 171 00I 001 35301 025 2112000 2024*")</f>
        <v>0</v>
      </c>
      <c r="E2824"/>
      <c r="F2824" s="31">
        <f>SUMIFS(F2825:F3130,K2825:K3130,"0",B2825:B3130,"5 1 3 5 3 12 31111 6 M78 15000 171 00I 001 35301 025 2112000 2024*")</f>
        <v>219400</v>
      </c>
      <c r="G2824" s="31">
        <f>SUMIFS(G2825:G3130,K2825:K3130,"0",B2825:B3130,"5 1 3 5 3 12 31111 6 M78 15000 171 00I 001 35301 025 2112000 2024*")</f>
        <v>0</v>
      </c>
      <c r="H2824" s="31">
        <f t="shared" si="44"/>
        <v>219400</v>
      </c>
      <c r="I2824" s="31"/>
      <c r="K2824" t="s">
        <v>13</v>
      </c>
    </row>
    <row r="2825" spans="2:11" ht="22" x14ac:dyDescent="0.15">
      <c r="B2825" s="29" t="s">
        <v>3580</v>
      </c>
      <c r="C2825" s="29" t="s">
        <v>277</v>
      </c>
      <c r="D2825" s="31">
        <f>SUMIFS(D2826:D3130,K2826:K3130,"0",B2826:B3130,"5 1 3 5 3 12 31111 6 M78 15000 171 00I 001 35301 025 2112000 2024 00000000*")-SUMIFS(E2826:E3130,K2826:K3130,"0",B2826:B3130,"5 1 3 5 3 12 31111 6 M78 15000 171 00I 001 35301 025 2112000 2024 00000000*")</f>
        <v>0</v>
      </c>
      <c r="E2825"/>
      <c r="F2825" s="31">
        <f>SUMIFS(F2826:F3130,K2826:K3130,"0",B2826:B3130,"5 1 3 5 3 12 31111 6 M78 15000 171 00I 001 35301 025 2112000 2024 00000000*")</f>
        <v>219400</v>
      </c>
      <c r="G2825" s="31">
        <f>SUMIFS(G2826:G3130,K2826:K3130,"0",B2826:B3130,"5 1 3 5 3 12 31111 6 M78 15000 171 00I 001 35301 025 2112000 2024 00000000*")</f>
        <v>0</v>
      </c>
      <c r="H2825" s="31">
        <f t="shared" si="44"/>
        <v>219400</v>
      </c>
      <c r="I2825" s="31"/>
      <c r="K2825" t="s">
        <v>13</v>
      </c>
    </row>
    <row r="2826" spans="2:11" ht="22" x14ac:dyDescent="0.15">
      <c r="B2826" s="29" t="s">
        <v>3581</v>
      </c>
      <c r="C2826" s="29" t="s">
        <v>581</v>
      </c>
      <c r="D2826" s="31">
        <f>SUMIFS(D2827:D3130,K2827:K3130,"0",B2827:B3130,"5 1 3 5 3 12 31111 6 M78 15000 171 00I 001 35301 025 2112000 2024 00000000 003*")-SUMIFS(E2827:E3130,K2827:K3130,"0",B2827:B3130,"5 1 3 5 3 12 31111 6 M78 15000 171 00I 001 35301 025 2112000 2024 00000000 003*")</f>
        <v>0</v>
      </c>
      <c r="E2826"/>
      <c r="F2826" s="31">
        <f>SUMIFS(F2827:F3130,K2827:K3130,"0",B2827:B3130,"5 1 3 5 3 12 31111 6 M78 15000 171 00I 001 35301 025 2112000 2024 00000000 003*")</f>
        <v>219400</v>
      </c>
      <c r="G2826" s="31">
        <f>SUMIFS(G2827:G3130,K2827:K3130,"0",B2827:B3130,"5 1 3 5 3 12 31111 6 M78 15000 171 00I 001 35301 025 2112000 2024 00000000 003*")</f>
        <v>0</v>
      </c>
      <c r="H2826" s="31">
        <f t="shared" si="44"/>
        <v>219400</v>
      </c>
      <c r="I2826" s="31"/>
      <c r="K2826" t="s">
        <v>13</v>
      </c>
    </row>
    <row r="2827" spans="2:11" ht="22" x14ac:dyDescent="0.15">
      <c r="B2827" s="27" t="s">
        <v>3582</v>
      </c>
      <c r="C2827" s="27" t="s">
        <v>3583</v>
      </c>
      <c r="D2827" s="30">
        <v>0</v>
      </c>
      <c r="E2827" s="30"/>
      <c r="F2827" s="30">
        <v>70500</v>
      </c>
      <c r="G2827" s="30">
        <v>0</v>
      </c>
      <c r="H2827" s="30">
        <f t="shared" ref="H2827:H2890" si="45">D2827 + F2827 - G2827</f>
        <v>70500</v>
      </c>
      <c r="I2827" s="30"/>
      <c r="K2827" t="s">
        <v>37</v>
      </c>
    </row>
    <row r="2828" spans="2:11" ht="22" x14ac:dyDescent="0.15">
      <c r="B2828" s="27" t="s">
        <v>3584</v>
      </c>
      <c r="C2828" s="27" t="s">
        <v>3585</v>
      </c>
      <c r="D2828" s="30">
        <v>0</v>
      </c>
      <c r="E2828" s="30"/>
      <c r="F2828" s="30">
        <v>148900</v>
      </c>
      <c r="G2828" s="30">
        <v>0</v>
      </c>
      <c r="H2828" s="30">
        <f t="shared" si="45"/>
        <v>148900</v>
      </c>
      <c r="I2828" s="30"/>
      <c r="K2828" t="s">
        <v>37</v>
      </c>
    </row>
    <row r="2829" spans="2:11" ht="13" x14ac:dyDescent="0.15">
      <c r="B2829" s="29" t="s">
        <v>3586</v>
      </c>
      <c r="C2829" s="29" t="s">
        <v>3587</v>
      </c>
      <c r="D2829" s="31">
        <f>SUMIFS(D2830:D3130,K2830:K3130,"0",B2830:B3130,"5 1 3 5 5*")-SUMIFS(E2830:E3130,K2830:K3130,"0",B2830:B3130,"5 1 3 5 5*")</f>
        <v>0</v>
      </c>
      <c r="E2829"/>
      <c r="F2829" s="31">
        <f>SUMIFS(F2830:F3130,K2830:K3130,"0",B2830:B3130,"5 1 3 5 5*")</f>
        <v>2257540.5700000003</v>
      </c>
      <c r="G2829" s="31">
        <f>SUMIFS(G2830:G3130,K2830:K3130,"0",B2830:B3130,"5 1 3 5 5*")</f>
        <v>0</v>
      </c>
      <c r="H2829" s="31">
        <f t="shared" si="45"/>
        <v>2257540.5700000003</v>
      </c>
      <c r="I2829" s="31"/>
      <c r="K2829" t="s">
        <v>13</v>
      </c>
    </row>
    <row r="2830" spans="2:11" ht="13" x14ac:dyDescent="0.15">
      <c r="B2830" s="29" t="s">
        <v>3588</v>
      </c>
      <c r="C2830" s="29" t="s">
        <v>24</v>
      </c>
      <c r="D2830" s="31">
        <f>SUMIFS(D2831:D3130,K2831:K3130,"0",B2831:B3130,"5 1 3 5 5 12*")-SUMIFS(E2831:E3130,K2831:K3130,"0",B2831:B3130,"5 1 3 5 5 12*")</f>
        <v>0</v>
      </c>
      <c r="E2830"/>
      <c r="F2830" s="31">
        <f>SUMIFS(F2831:F3130,K2831:K3130,"0",B2831:B3130,"5 1 3 5 5 12*")</f>
        <v>2257540.5700000003</v>
      </c>
      <c r="G2830" s="31">
        <f>SUMIFS(G2831:G3130,K2831:K3130,"0",B2831:B3130,"5 1 3 5 5 12*")</f>
        <v>0</v>
      </c>
      <c r="H2830" s="31">
        <f t="shared" si="45"/>
        <v>2257540.5700000003</v>
      </c>
      <c r="I2830" s="31"/>
      <c r="K2830" t="s">
        <v>13</v>
      </c>
    </row>
    <row r="2831" spans="2:11" ht="13" x14ac:dyDescent="0.15">
      <c r="B2831" s="29" t="s">
        <v>3589</v>
      </c>
      <c r="C2831" s="29" t="s">
        <v>26</v>
      </c>
      <c r="D2831" s="31">
        <f>SUMIFS(D2832:D3130,K2832:K3130,"0",B2832:B3130,"5 1 3 5 5 12 31111*")-SUMIFS(E2832:E3130,K2832:K3130,"0",B2832:B3130,"5 1 3 5 5 12 31111*")</f>
        <v>0</v>
      </c>
      <c r="E2831"/>
      <c r="F2831" s="31">
        <f>SUMIFS(F2832:F3130,K2832:K3130,"0",B2832:B3130,"5 1 3 5 5 12 31111*")</f>
        <v>2257540.5700000003</v>
      </c>
      <c r="G2831" s="31">
        <f>SUMIFS(G2832:G3130,K2832:K3130,"0",B2832:B3130,"5 1 3 5 5 12 31111*")</f>
        <v>0</v>
      </c>
      <c r="H2831" s="31">
        <f t="shared" si="45"/>
        <v>2257540.5700000003</v>
      </c>
      <c r="I2831" s="31"/>
      <c r="K2831" t="s">
        <v>13</v>
      </c>
    </row>
    <row r="2832" spans="2:11" ht="13" x14ac:dyDescent="0.15">
      <c r="B2832" s="29" t="s">
        <v>3590</v>
      </c>
      <c r="C2832" s="29" t="s">
        <v>28</v>
      </c>
      <c r="D2832" s="31">
        <f>SUMIFS(D2833:D3130,K2833:K3130,"0",B2833:B3130,"5 1 3 5 5 12 31111 6*")-SUMIFS(E2833:E3130,K2833:K3130,"0",B2833:B3130,"5 1 3 5 5 12 31111 6*")</f>
        <v>0</v>
      </c>
      <c r="E2832"/>
      <c r="F2832" s="31">
        <f>SUMIFS(F2833:F3130,K2833:K3130,"0",B2833:B3130,"5 1 3 5 5 12 31111 6*")</f>
        <v>2257540.5700000003</v>
      </c>
      <c r="G2832" s="31">
        <f>SUMIFS(G2833:G3130,K2833:K3130,"0",B2833:B3130,"5 1 3 5 5 12 31111 6*")</f>
        <v>0</v>
      </c>
      <c r="H2832" s="31">
        <f t="shared" si="45"/>
        <v>2257540.5700000003</v>
      </c>
      <c r="I2832" s="31"/>
      <c r="K2832" t="s">
        <v>13</v>
      </c>
    </row>
    <row r="2833" spans="2:11" ht="13" x14ac:dyDescent="0.15">
      <c r="B2833" s="29" t="s">
        <v>3591</v>
      </c>
      <c r="C2833" s="29" t="s">
        <v>1567</v>
      </c>
      <c r="D2833" s="31">
        <f>SUMIFS(D2834:D3130,K2834:K3130,"0",B2834:B3130,"5 1 3 5 5 12 31111 6 M78*")-SUMIFS(E2834:E3130,K2834:K3130,"0",B2834:B3130,"5 1 3 5 5 12 31111 6 M78*")</f>
        <v>0</v>
      </c>
      <c r="E2833"/>
      <c r="F2833" s="31">
        <f>SUMIFS(F2834:F3130,K2834:K3130,"0",B2834:B3130,"5 1 3 5 5 12 31111 6 M78*")</f>
        <v>2257540.5700000003</v>
      </c>
      <c r="G2833" s="31">
        <f>SUMIFS(G2834:G3130,K2834:K3130,"0",B2834:B3130,"5 1 3 5 5 12 31111 6 M78*")</f>
        <v>0</v>
      </c>
      <c r="H2833" s="31">
        <f t="shared" si="45"/>
        <v>2257540.5700000003</v>
      </c>
      <c r="I2833" s="31"/>
      <c r="K2833" t="s">
        <v>13</v>
      </c>
    </row>
    <row r="2834" spans="2:11" ht="13" x14ac:dyDescent="0.15">
      <c r="B2834" s="29" t="s">
        <v>3592</v>
      </c>
      <c r="C2834" s="29" t="s">
        <v>8</v>
      </c>
      <c r="D2834" s="31">
        <f>SUMIFS(D2835:D3130,K2835:K3130,"0",B2835:B3130,"5 1 3 5 5 12 31111 6 M78 07000*")-SUMIFS(E2835:E3130,K2835:K3130,"0",B2835:B3130,"5 1 3 5 5 12 31111 6 M78 07000*")</f>
        <v>0</v>
      </c>
      <c r="E2834"/>
      <c r="F2834" s="31">
        <f>SUMIFS(F2835:F3130,K2835:K3130,"0",B2835:B3130,"5 1 3 5 5 12 31111 6 M78 07000*")</f>
        <v>588349.96</v>
      </c>
      <c r="G2834" s="31">
        <f>SUMIFS(G2835:G3130,K2835:K3130,"0",B2835:B3130,"5 1 3 5 5 12 31111 6 M78 07000*")</f>
        <v>0</v>
      </c>
      <c r="H2834" s="31">
        <f t="shared" si="45"/>
        <v>588349.96</v>
      </c>
      <c r="I2834" s="31"/>
      <c r="K2834" t="s">
        <v>13</v>
      </c>
    </row>
    <row r="2835" spans="2:11" ht="13" x14ac:dyDescent="0.15">
      <c r="B2835" s="29" t="s">
        <v>3593</v>
      </c>
      <c r="C2835" s="29" t="s">
        <v>588</v>
      </c>
      <c r="D2835" s="31">
        <f>SUMIFS(D2836:D3130,K2836:K3130,"0",B2836:B3130,"5 1 3 5 5 12 31111 6 M78 07000 151*")-SUMIFS(E2836:E3130,K2836:K3130,"0",B2836:B3130,"5 1 3 5 5 12 31111 6 M78 07000 151*")</f>
        <v>0</v>
      </c>
      <c r="E2835"/>
      <c r="F2835" s="31">
        <f>SUMIFS(F2836:F3130,K2836:K3130,"0",B2836:B3130,"5 1 3 5 5 12 31111 6 M78 07000 151*")</f>
        <v>588349.96</v>
      </c>
      <c r="G2835" s="31">
        <f>SUMIFS(G2836:G3130,K2836:K3130,"0",B2836:B3130,"5 1 3 5 5 12 31111 6 M78 07000 151*")</f>
        <v>0</v>
      </c>
      <c r="H2835" s="31">
        <f t="shared" si="45"/>
        <v>588349.96</v>
      </c>
      <c r="I2835" s="31"/>
      <c r="K2835" t="s">
        <v>13</v>
      </c>
    </row>
    <row r="2836" spans="2:11" ht="13" x14ac:dyDescent="0.15">
      <c r="B2836" s="29" t="s">
        <v>3594</v>
      </c>
      <c r="C2836" s="29" t="s">
        <v>265</v>
      </c>
      <c r="D2836" s="31">
        <f>SUMIFS(D2837:D3130,K2837:K3130,"0",B2837:B3130,"5 1 3 5 5 12 31111 6 M78 07000 151 00C*")-SUMIFS(E2837:E3130,K2837:K3130,"0",B2837:B3130,"5 1 3 5 5 12 31111 6 M78 07000 151 00C*")</f>
        <v>0</v>
      </c>
      <c r="E2836"/>
      <c r="F2836" s="31">
        <f>SUMIFS(F2837:F3130,K2837:K3130,"0",B2837:B3130,"5 1 3 5 5 12 31111 6 M78 07000 151 00C*")</f>
        <v>588349.96</v>
      </c>
      <c r="G2836" s="31">
        <f>SUMIFS(G2837:G3130,K2837:K3130,"0",B2837:B3130,"5 1 3 5 5 12 31111 6 M78 07000 151 00C*")</f>
        <v>0</v>
      </c>
      <c r="H2836" s="31">
        <f t="shared" si="45"/>
        <v>588349.96</v>
      </c>
      <c r="I2836" s="31"/>
      <c r="K2836" t="s">
        <v>13</v>
      </c>
    </row>
    <row r="2837" spans="2:11" ht="13" x14ac:dyDescent="0.15">
      <c r="B2837" s="29" t="s">
        <v>3595</v>
      </c>
      <c r="C2837" s="29" t="s">
        <v>32</v>
      </c>
      <c r="D2837" s="31">
        <f>SUMIFS(D2838:D3130,K2838:K3130,"0",B2838:B3130,"5 1 3 5 5 12 31111 6 M78 07000 151 00C 001*")-SUMIFS(E2838:E3130,K2838:K3130,"0",B2838:B3130,"5 1 3 5 5 12 31111 6 M78 07000 151 00C 001*")</f>
        <v>0</v>
      </c>
      <c r="E2837"/>
      <c r="F2837" s="31">
        <f>SUMIFS(F2838:F3130,K2838:K3130,"0",B2838:B3130,"5 1 3 5 5 12 31111 6 M78 07000 151 00C 001*")</f>
        <v>588349.96</v>
      </c>
      <c r="G2837" s="31">
        <f>SUMIFS(G2838:G3130,K2838:K3130,"0",B2838:B3130,"5 1 3 5 5 12 31111 6 M78 07000 151 00C 001*")</f>
        <v>0</v>
      </c>
      <c r="H2837" s="31">
        <f t="shared" si="45"/>
        <v>588349.96</v>
      </c>
      <c r="I2837" s="31"/>
      <c r="K2837" t="s">
        <v>13</v>
      </c>
    </row>
    <row r="2838" spans="2:11" ht="22" x14ac:dyDescent="0.15">
      <c r="B2838" s="29" t="s">
        <v>3596</v>
      </c>
      <c r="C2838" s="29" t="s">
        <v>3597</v>
      </c>
      <c r="D2838" s="31">
        <f>SUMIFS(D2839:D3130,K2839:K3130,"0",B2839:B3130,"5 1 3 5 5 12 31111 6 M78 07000 151 00C 001 35501*")-SUMIFS(E2839:E3130,K2839:K3130,"0",B2839:B3130,"5 1 3 5 5 12 31111 6 M78 07000 151 00C 001 35501*")</f>
        <v>0</v>
      </c>
      <c r="E2838"/>
      <c r="F2838" s="31">
        <f>SUMIFS(F2839:F3130,K2839:K3130,"0",B2839:B3130,"5 1 3 5 5 12 31111 6 M78 07000 151 00C 001 35501*")</f>
        <v>588349.96</v>
      </c>
      <c r="G2838" s="31">
        <f>SUMIFS(G2839:G3130,K2839:K3130,"0",B2839:B3130,"5 1 3 5 5 12 31111 6 M78 07000 151 00C 001 35501*")</f>
        <v>0</v>
      </c>
      <c r="H2838" s="31">
        <f t="shared" si="45"/>
        <v>588349.96</v>
      </c>
      <c r="I2838" s="31"/>
      <c r="K2838" t="s">
        <v>13</v>
      </c>
    </row>
    <row r="2839" spans="2:11" ht="22" x14ac:dyDescent="0.15">
      <c r="B2839" s="29" t="s">
        <v>3598</v>
      </c>
      <c r="C2839" s="29" t="s">
        <v>271</v>
      </c>
      <c r="D2839" s="31">
        <f>SUMIFS(D2840:D3130,K2840:K3130,"0",B2840:B3130,"5 1 3 5 5 12 31111 6 M78 07000 151 00C 001 35501 015*")-SUMIFS(E2840:E3130,K2840:K3130,"0",B2840:B3130,"5 1 3 5 5 12 31111 6 M78 07000 151 00C 001 35501 015*")</f>
        <v>0</v>
      </c>
      <c r="E2839"/>
      <c r="F2839" s="31">
        <f>SUMIFS(F2840:F3130,K2840:K3130,"0",B2840:B3130,"5 1 3 5 5 12 31111 6 M78 07000 151 00C 001 35501 015*")</f>
        <v>588349.96</v>
      </c>
      <c r="G2839" s="31">
        <f>SUMIFS(G2840:G3130,K2840:K3130,"0",B2840:B3130,"5 1 3 5 5 12 31111 6 M78 07000 151 00C 001 35501 015*")</f>
        <v>0</v>
      </c>
      <c r="H2839" s="31">
        <f t="shared" si="45"/>
        <v>588349.96</v>
      </c>
      <c r="I2839" s="31"/>
      <c r="K2839" t="s">
        <v>13</v>
      </c>
    </row>
    <row r="2840" spans="2:11" ht="22" x14ac:dyDescent="0.15">
      <c r="B2840" s="29" t="s">
        <v>3599</v>
      </c>
      <c r="C2840" s="29" t="s">
        <v>595</v>
      </c>
      <c r="D2840" s="31">
        <f>SUMIFS(D2841:D3130,K2841:K3130,"0",B2841:B3130,"5 1 3 5 5 12 31111 6 M78 07000 151 00C 001 35501 015 2112000*")-SUMIFS(E2841:E3130,K2841:K3130,"0",B2841:B3130,"5 1 3 5 5 12 31111 6 M78 07000 151 00C 001 35501 015 2112000*")</f>
        <v>0</v>
      </c>
      <c r="E2840"/>
      <c r="F2840" s="31">
        <f>SUMIFS(F2841:F3130,K2841:K3130,"0",B2841:B3130,"5 1 3 5 5 12 31111 6 M78 07000 151 00C 001 35501 015 2112000*")</f>
        <v>588349.96</v>
      </c>
      <c r="G2840" s="31">
        <f>SUMIFS(G2841:G3130,K2841:K3130,"0",B2841:B3130,"5 1 3 5 5 12 31111 6 M78 07000 151 00C 001 35501 015 2112000*")</f>
        <v>0</v>
      </c>
      <c r="H2840" s="31">
        <f t="shared" si="45"/>
        <v>588349.96</v>
      </c>
      <c r="I2840" s="31"/>
      <c r="K2840" t="s">
        <v>13</v>
      </c>
    </row>
    <row r="2841" spans="2:11" ht="22" x14ac:dyDescent="0.15">
      <c r="B2841" s="29" t="s">
        <v>3600</v>
      </c>
      <c r="C2841" s="29" t="s">
        <v>275</v>
      </c>
      <c r="D2841" s="31">
        <f>SUMIFS(D2842:D3130,K2842:K3130,"0",B2842:B3130,"5 1 3 5 5 12 31111 6 M78 07000 151 00C 001 35501 015 2112000 2024*")-SUMIFS(E2842:E3130,K2842:K3130,"0",B2842:B3130,"5 1 3 5 5 12 31111 6 M78 07000 151 00C 001 35501 015 2112000 2024*")</f>
        <v>0</v>
      </c>
      <c r="E2841"/>
      <c r="F2841" s="31">
        <f>SUMIFS(F2842:F3130,K2842:K3130,"0",B2842:B3130,"5 1 3 5 5 12 31111 6 M78 07000 151 00C 001 35501 015 2112000 2024*")</f>
        <v>588349.96</v>
      </c>
      <c r="G2841" s="31">
        <f>SUMIFS(G2842:G3130,K2842:K3130,"0",B2842:B3130,"5 1 3 5 5 12 31111 6 M78 07000 151 00C 001 35501 015 2112000 2024*")</f>
        <v>0</v>
      </c>
      <c r="H2841" s="31">
        <f t="shared" si="45"/>
        <v>588349.96</v>
      </c>
      <c r="I2841" s="31"/>
      <c r="K2841" t="s">
        <v>13</v>
      </c>
    </row>
    <row r="2842" spans="2:11" ht="22" x14ac:dyDescent="0.15">
      <c r="B2842" s="29" t="s">
        <v>3601</v>
      </c>
      <c r="C2842" s="29" t="s">
        <v>277</v>
      </c>
      <c r="D2842" s="31">
        <f>SUMIFS(D2843:D3130,K2843:K3130,"0",B2843:B3130,"5 1 3 5 5 12 31111 6 M78 07000 151 00C 001 35501 015 2112000 2024 00000000*")-SUMIFS(E2843:E3130,K2843:K3130,"0",B2843:B3130,"5 1 3 5 5 12 31111 6 M78 07000 151 00C 001 35501 015 2112000 2024 00000000*")</f>
        <v>0</v>
      </c>
      <c r="E2842"/>
      <c r="F2842" s="31">
        <f>SUMIFS(F2843:F3130,K2843:K3130,"0",B2843:B3130,"5 1 3 5 5 12 31111 6 M78 07000 151 00C 001 35501 015 2112000 2024 00000000*")</f>
        <v>588349.96</v>
      </c>
      <c r="G2842" s="31">
        <f>SUMIFS(G2843:G3130,K2843:K3130,"0",B2843:B3130,"5 1 3 5 5 12 31111 6 M78 07000 151 00C 001 35501 015 2112000 2024 00000000*")</f>
        <v>0</v>
      </c>
      <c r="H2842" s="31">
        <f t="shared" si="45"/>
        <v>588349.96</v>
      </c>
      <c r="I2842" s="31"/>
      <c r="K2842" t="s">
        <v>13</v>
      </c>
    </row>
    <row r="2843" spans="2:11" ht="22" x14ac:dyDescent="0.15">
      <c r="B2843" s="29" t="s">
        <v>3602</v>
      </c>
      <c r="C2843" s="29" t="s">
        <v>32</v>
      </c>
      <c r="D2843" s="31">
        <f>SUMIFS(D2844:D3130,K2844:K3130,"0",B2844:B3130,"5 1 3 5 5 12 31111 6 M78 07000 151 00C 001 35501 015 2112000 2024 00000000 001*")-SUMIFS(E2844:E3130,K2844:K3130,"0",B2844:B3130,"5 1 3 5 5 12 31111 6 M78 07000 151 00C 001 35501 015 2112000 2024 00000000 001*")</f>
        <v>0</v>
      </c>
      <c r="E2843"/>
      <c r="F2843" s="31">
        <f>SUMIFS(F2844:F3130,K2844:K3130,"0",B2844:B3130,"5 1 3 5 5 12 31111 6 M78 07000 151 00C 001 35501 015 2112000 2024 00000000 001*")</f>
        <v>588349.96</v>
      </c>
      <c r="G2843" s="31">
        <f>SUMIFS(G2844:G3130,K2844:K3130,"0",B2844:B3130,"5 1 3 5 5 12 31111 6 M78 07000 151 00C 001 35501 015 2112000 2024 00000000 001*")</f>
        <v>0</v>
      </c>
      <c r="H2843" s="31">
        <f t="shared" si="45"/>
        <v>588349.96</v>
      </c>
      <c r="I2843" s="31"/>
      <c r="K2843" t="s">
        <v>13</v>
      </c>
    </row>
    <row r="2844" spans="2:11" ht="22" x14ac:dyDescent="0.15">
      <c r="B2844" s="27" t="s">
        <v>3603</v>
      </c>
      <c r="C2844" s="27" t="s">
        <v>3604</v>
      </c>
      <c r="D2844" s="30">
        <v>0</v>
      </c>
      <c r="E2844" s="30"/>
      <c r="F2844" s="30">
        <v>588349.96</v>
      </c>
      <c r="G2844" s="30">
        <v>0</v>
      </c>
      <c r="H2844" s="30">
        <f t="shared" si="45"/>
        <v>588349.96</v>
      </c>
      <c r="I2844" s="30"/>
      <c r="K2844" t="s">
        <v>37</v>
      </c>
    </row>
    <row r="2845" spans="2:11" ht="13" x14ac:dyDescent="0.15">
      <c r="B2845" s="29" t="s">
        <v>3605</v>
      </c>
      <c r="C2845" s="29" t="s">
        <v>261</v>
      </c>
      <c r="D2845" s="31">
        <f>SUMIFS(D2846:D3130,K2846:K3130,"0",B2846:B3130,"5 1 3 5 5 12 31111 6 M78 10000*")-SUMIFS(E2846:E3130,K2846:K3130,"0",B2846:B3130,"5 1 3 5 5 12 31111 6 M78 10000*")</f>
        <v>0</v>
      </c>
      <c r="E2845"/>
      <c r="F2845" s="31">
        <f>SUMIFS(F2846:F3130,K2846:K3130,"0",B2846:B3130,"5 1 3 5 5 12 31111 6 M78 10000*")</f>
        <v>1051962.6000000001</v>
      </c>
      <c r="G2845" s="31">
        <f>SUMIFS(G2846:G3130,K2846:K3130,"0",B2846:B3130,"5 1 3 5 5 12 31111 6 M78 10000*")</f>
        <v>0</v>
      </c>
      <c r="H2845" s="31">
        <f t="shared" si="45"/>
        <v>1051962.6000000001</v>
      </c>
      <c r="I2845" s="31"/>
      <c r="K2845" t="s">
        <v>13</v>
      </c>
    </row>
    <row r="2846" spans="2:11" ht="13" x14ac:dyDescent="0.15">
      <c r="B2846" s="29" t="s">
        <v>3606</v>
      </c>
      <c r="C2846" s="29" t="s">
        <v>588</v>
      </c>
      <c r="D2846" s="31">
        <f>SUMIFS(D2847:D3130,K2847:K3130,"0",B2847:B3130,"5 1 3 5 5 12 31111 6 M78 10000 151*")-SUMIFS(E2847:E3130,K2847:K3130,"0",B2847:B3130,"5 1 3 5 5 12 31111 6 M78 10000 151*")</f>
        <v>0</v>
      </c>
      <c r="E2846"/>
      <c r="F2846" s="31">
        <f>SUMIFS(F2847:F3130,K2847:K3130,"0",B2847:B3130,"5 1 3 5 5 12 31111 6 M78 10000 151*")</f>
        <v>1051962.6000000001</v>
      </c>
      <c r="G2846" s="31">
        <f>SUMIFS(G2847:G3130,K2847:K3130,"0",B2847:B3130,"5 1 3 5 5 12 31111 6 M78 10000 151*")</f>
        <v>0</v>
      </c>
      <c r="H2846" s="31">
        <f t="shared" si="45"/>
        <v>1051962.6000000001</v>
      </c>
      <c r="I2846" s="31"/>
      <c r="K2846" t="s">
        <v>13</v>
      </c>
    </row>
    <row r="2847" spans="2:11" ht="13" x14ac:dyDescent="0.15">
      <c r="B2847" s="29" t="s">
        <v>3607</v>
      </c>
      <c r="C2847" s="29" t="s">
        <v>285</v>
      </c>
      <c r="D2847" s="31">
        <f>SUMIFS(D2848:D3130,K2848:K3130,"0",B2848:B3130,"5 1 3 5 5 12 31111 6 M78 10000 151 00I*")-SUMIFS(E2848:E3130,K2848:K3130,"0",B2848:B3130,"5 1 3 5 5 12 31111 6 M78 10000 151 00I*")</f>
        <v>0</v>
      </c>
      <c r="E2847"/>
      <c r="F2847" s="31">
        <f>SUMIFS(F2848:F3130,K2848:K3130,"0",B2848:B3130,"5 1 3 5 5 12 31111 6 M78 10000 151 00I*")</f>
        <v>1051962.6000000001</v>
      </c>
      <c r="G2847" s="31">
        <f>SUMIFS(G2848:G3130,K2848:K3130,"0",B2848:B3130,"5 1 3 5 5 12 31111 6 M78 10000 151 00I*")</f>
        <v>0</v>
      </c>
      <c r="H2847" s="31">
        <f t="shared" si="45"/>
        <v>1051962.6000000001</v>
      </c>
      <c r="I2847" s="31"/>
      <c r="K2847" t="s">
        <v>13</v>
      </c>
    </row>
    <row r="2848" spans="2:11" ht="13" x14ac:dyDescent="0.15">
      <c r="B2848" s="29" t="s">
        <v>3608</v>
      </c>
      <c r="C2848" s="29" t="s">
        <v>32</v>
      </c>
      <c r="D2848" s="31">
        <f>SUMIFS(D2849:D3130,K2849:K3130,"0",B2849:B3130,"5 1 3 5 5 12 31111 6 M78 10000 151 00I 001*")-SUMIFS(E2849:E3130,K2849:K3130,"0",B2849:B3130,"5 1 3 5 5 12 31111 6 M78 10000 151 00I 001*")</f>
        <v>0</v>
      </c>
      <c r="E2848"/>
      <c r="F2848" s="31">
        <f>SUMIFS(F2849:F3130,K2849:K3130,"0",B2849:B3130,"5 1 3 5 5 12 31111 6 M78 10000 151 00I 001*")</f>
        <v>1051962.6000000001</v>
      </c>
      <c r="G2848" s="31">
        <f>SUMIFS(G2849:G3130,K2849:K3130,"0",B2849:B3130,"5 1 3 5 5 12 31111 6 M78 10000 151 00I 001*")</f>
        <v>0</v>
      </c>
      <c r="H2848" s="31">
        <f t="shared" si="45"/>
        <v>1051962.6000000001</v>
      </c>
      <c r="I2848" s="31"/>
      <c r="K2848" t="s">
        <v>13</v>
      </c>
    </row>
    <row r="2849" spans="2:11" ht="22" x14ac:dyDescent="0.15">
      <c r="B2849" s="29" t="s">
        <v>3609</v>
      </c>
      <c r="C2849" s="29" t="s">
        <v>3597</v>
      </c>
      <c r="D2849" s="31">
        <f>SUMIFS(D2850:D3130,K2850:K3130,"0",B2850:B3130,"5 1 3 5 5 12 31111 6 M78 10000 151 00I 001 35501*")-SUMIFS(E2850:E3130,K2850:K3130,"0",B2850:B3130,"5 1 3 5 5 12 31111 6 M78 10000 151 00I 001 35501*")</f>
        <v>0</v>
      </c>
      <c r="E2849"/>
      <c r="F2849" s="31">
        <f>SUMIFS(F2850:F3130,K2850:K3130,"0",B2850:B3130,"5 1 3 5 5 12 31111 6 M78 10000 151 00I 001 35501*")</f>
        <v>1051962.6000000001</v>
      </c>
      <c r="G2849" s="31">
        <f>SUMIFS(G2850:G3130,K2850:K3130,"0",B2850:B3130,"5 1 3 5 5 12 31111 6 M78 10000 151 00I 001 35501*")</f>
        <v>0</v>
      </c>
      <c r="H2849" s="31">
        <f t="shared" si="45"/>
        <v>1051962.6000000001</v>
      </c>
      <c r="I2849" s="31"/>
      <c r="K2849" t="s">
        <v>13</v>
      </c>
    </row>
    <row r="2850" spans="2:11" ht="22" x14ac:dyDescent="0.15">
      <c r="B2850" s="29" t="s">
        <v>3610</v>
      </c>
      <c r="C2850" s="29" t="s">
        <v>290</v>
      </c>
      <c r="D2850" s="31">
        <f>SUMIFS(D2851:D3130,K2851:K3130,"0",B2851:B3130,"5 1 3 5 5 12 31111 6 M78 10000 151 00I 001 35501 025*")-SUMIFS(E2851:E3130,K2851:K3130,"0",B2851:B3130,"5 1 3 5 5 12 31111 6 M78 10000 151 00I 001 35501 025*")</f>
        <v>0</v>
      </c>
      <c r="E2850"/>
      <c r="F2850" s="31">
        <f>SUMIFS(F2851:F3130,K2851:K3130,"0",B2851:B3130,"5 1 3 5 5 12 31111 6 M78 10000 151 00I 001 35501 025*")</f>
        <v>1051962.6000000001</v>
      </c>
      <c r="G2850" s="31">
        <f>SUMIFS(G2851:G3130,K2851:K3130,"0",B2851:B3130,"5 1 3 5 5 12 31111 6 M78 10000 151 00I 001 35501 025*")</f>
        <v>0</v>
      </c>
      <c r="H2850" s="31">
        <f t="shared" si="45"/>
        <v>1051962.6000000001</v>
      </c>
      <c r="I2850" s="31"/>
      <c r="K2850" t="s">
        <v>13</v>
      </c>
    </row>
    <row r="2851" spans="2:11" ht="22" x14ac:dyDescent="0.15">
      <c r="B2851" s="29" t="s">
        <v>3611</v>
      </c>
      <c r="C2851" s="29" t="s">
        <v>595</v>
      </c>
      <c r="D2851" s="31">
        <f>SUMIFS(D2852:D3130,K2852:K3130,"0",B2852:B3130,"5 1 3 5 5 12 31111 6 M78 10000 151 00I 001 35501 025 2112000*")-SUMIFS(E2852:E3130,K2852:K3130,"0",B2852:B3130,"5 1 3 5 5 12 31111 6 M78 10000 151 00I 001 35501 025 2112000*")</f>
        <v>0</v>
      </c>
      <c r="E2851"/>
      <c r="F2851" s="31">
        <f>SUMIFS(F2852:F3130,K2852:K3130,"0",B2852:B3130,"5 1 3 5 5 12 31111 6 M78 10000 151 00I 001 35501 025 2112000*")</f>
        <v>1051962.6000000001</v>
      </c>
      <c r="G2851" s="31">
        <f>SUMIFS(G2852:G3130,K2852:K3130,"0",B2852:B3130,"5 1 3 5 5 12 31111 6 M78 10000 151 00I 001 35501 025 2112000*")</f>
        <v>0</v>
      </c>
      <c r="H2851" s="31">
        <f t="shared" si="45"/>
        <v>1051962.6000000001</v>
      </c>
      <c r="I2851" s="31"/>
      <c r="K2851" t="s">
        <v>13</v>
      </c>
    </row>
    <row r="2852" spans="2:11" ht="22" x14ac:dyDescent="0.15">
      <c r="B2852" s="29" t="s">
        <v>3612</v>
      </c>
      <c r="C2852" s="29" t="s">
        <v>275</v>
      </c>
      <c r="D2852" s="31">
        <f>SUMIFS(D2853:D3130,K2853:K3130,"0",B2853:B3130,"5 1 3 5 5 12 31111 6 M78 10000 151 00I 001 35501 025 2112000 2024*")-SUMIFS(E2853:E3130,K2853:K3130,"0",B2853:B3130,"5 1 3 5 5 12 31111 6 M78 10000 151 00I 001 35501 025 2112000 2024*")</f>
        <v>0</v>
      </c>
      <c r="E2852"/>
      <c r="F2852" s="31">
        <f>SUMIFS(F2853:F3130,K2853:K3130,"0",B2853:B3130,"5 1 3 5 5 12 31111 6 M78 10000 151 00I 001 35501 025 2112000 2024*")</f>
        <v>1051962.6000000001</v>
      </c>
      <c r="G2852" s="31">
        <f>SUMIFS(G2853:G3130,K2853:K3130,"0",B2853:B3130,"5 1 3 5 5 12 31111 6 M78 10000 151 00I 001 35501 025 2112000 2024*")</f>
        <v>0</v>
      </c>
      <c r="H2852" s="31">
        <f t="shared" si="45"/>
        <v>1051962.6000000001</v>
      </c>
      <c r="I2852" s="31"/>
      <c r="K2852" t="s">
        <v>13</v>
      </c>
    </row>
    <row r="2853" spans="2:11" ht="22" x14ac:dyDescent="0.15">
      <c r="B2853" s="29" t="s">
        <v>3613</v>
      </c>
      <c r="C2853" s="29" t="s">
        <v>277</v>
      </c>
      <c r="D2853" s="31">
        <f>SUMIFS(D2854:D3130,K2854:K3130,"0",B2854:B3130,"5 1 3 5 5 12 31111 6 M78 10000 151 00I 001 35501 025 2112000 2024 00000000*")-SUMIFS(E2854:E3130,K2854:K3130,"0",B2854:B3130,"5 1 3 5 5 12 31111 6 M78 10000 151 00I 001 35501 025 2112000 2024 00000000*")</f>
        <v>0</v>
      </c>
      <c r="E2853"/>
      <c r="F2853" s="31">
        <f>SUMIFS(F2854:F3130,K2854:K3130,"0",B2854:B3130,"5 1 3 5 5 12 31111 6 M78 10000 151 00I 001 35501 025 2112000 2024 00000000*")</f>
        <v>1051962.6000000001</v>
      </c>
      <c r="G2853" s="31">
        <f>SUMIFS(G2854:G3130,K2854:K3130,"0",B2854:B3130,"5 1 3 5 5 12 31111 6 M78 10000 151 00I 001 35501 025 2112000 2024 00000000*")</f>
        <v>0</v>
      </c>
      <c r="H2853" s="31">
        <f t="shared" si="45"/>
        <v>1051962.6000000001</v>
      </c>
      <c r="I2853" s="31"/>
      <c r="K2853" t="s">
        <v>13</v>
      </c>
    </row>
    <row r="2854" spans="2:11" ht="22" x14ac:dyDescent="0.15">
      <c r="B2854" s="29" t="s">
        <v>3614</v>
      </c>
      <c r="C2854" s="29" t="s">
        <v>295</v>
      </c>
      <c r="D2854" s="31">
        <f>SUMIFS(D2855:D3130,K2855:K3130,"0",B2855:B3130,"5 1 3 5 5 12 31111 6 M78 10000 151 00I 001 35501 025 2112000 2024 00000000 002*")-SUMIFS(E2855:E3130,K2855:K3130,"0",B2855:B3130,"5 1 3 5 5 12 31111 6 M78 10000 151 00I 001 35501 025 2112000 2024 00000000 002*")</f>
        <v>0</v>
      </c>
      <c r="E2854"/>
      <c r="F2854" s="31">
        <f>SUMIFS(F2855:F3130,K2855:K3130,"0",B2855:B3130,"5 1 3 5 5 12 31111 6 M78 10000 151 00I 001 35501 025 2112000 2024 00000000 002*")</f>
        <v>1051962.6000000001</v>
      </c>
      <c r="G2854" s="31">
        <f>SUMIFS(G2855:G3130,K2855:K3130,"0",B2855:B3130,"5 1 3 5 5 12 31111 6 M78 10000 151 00I 001 35501 025 2112000 2024 00000000 002*")</f>
        <v>0</v>
      </c>
      <c r="H2854" s="31">
        <f t="shared" si="45"/>
        <v>1051962.6000000001</v>
      </c>
      <c r="I2854" s="31"/>
      <c r="K2854" t="s">
        <v>13</v>
      </c>
    </row>
    <row r="2855" spans="2:11" ht="22" x14ac:dyDescent="0.15">
      <c r="B2855" s="27" t="s">
        <v>3615</v>
      </c>
      <c r="C2855" s="27" t="s">
        <v>3616</v>
      </c>
      <c r="D2855" s="30">
        <v>0</v>
      </c>
      <c r="E2855" s="30"/>
      <c r="F2855" s="30">
        <v>1051962.6000000001</v>
      </c>
      <c r="G2855" s="30">
        <v>0</v>
      </c>
      <c r="H2855" s="30">
        <f t="shared" si="45"/>
        <v>1051962.6000000001</v>
      </c>
      <c r="I2855" s="30"/>
      <c r="K2855" t="s">
        <v>37</v>
      </c>
    </row>
    <row r="2856" spans="2:11" ht="13" x14ac:dyDescent="0.15">
      <c r="B2856" s="29" t="s">
        <v>3617</v>
      </c>
      <c r="C2856" s="29" t="s">
        <v>833</v>
      </c>
      <c r="D2856" s="31">
        <f>SUMIFS(D2857:D3130,K2857:K3130,"0",B2857:B3130,"5 1 3 5 5 12 31111 6 M78 15000*")-SUMIFS(E2857:E3130,K2857:K3130,"0",B2857:B3130,"5 1 3 5 5 12 31111 6 M78 15000*")</f>
        <v>0</v>
      </c>
      <c r="E2856"/>
      <c r="F2856" s="31">
        <f>SUMIFS(F2857:F3130,K2857:K3130,"0",B2857:B3130,"5 1 3 5 5 12 31111 6 M78 15000*")</f>
        <v>617228.01</v>
      </c>
      <c r="G2856" s="31">
        <f>SUMIFS(G2857:G3130,K2857:K3130,"0",B2857:B3130,"5 1 3 5 5 12 31111 6 M78 15000*")</f>
        <v>0</v>
      </c>
      <c r="H2856" s="31">
        <f t="shared" si="45"/>
        <v>617228.01</v>
      </c>
      <c r="I2856" s="31"/>
      <c r="K2856" t="s">
        <v>13</v>
      </c>
    </row>
    <row r="2857" spans="2:11" ht="13" x14ac:dyDescent="0.15">
      <c r="B2857" s="29" t="s">
        <v>3618</v>
      </c>
      <c r="C2857" s="29" t="s">
        <v>835</v>
      </c>
      <c r="D2857" s="31">
        <f>SUMIFS(D2858:D3130,K2858:K3130,"0",B2858:B3130,"5 1 3 5 5 12 31111 6 M78 15000 171*")-SUMIFS(E2858:E3130,K2858:K3130,"0",B2858:B3130,"5 1 3 5 5 12 31111 6 M78 15000 171*")</f>
        <v>0</v>
      </c>
      <c r="E2857"/>
      <c r="F2857" s="31">
        <f>SUMIFS(F2858:F3130,K2858:K3130,"0",B2858:B3130,"5 1 3 5 5 12 31111 6 M78 15000 171*")</f>
        <v>617228.01</v>
      </c>
      <c r="G2857" s="31">
        <f>SUMIFS(G2858:G3130,K2858:K3130,"0",B2858:B3130,"5 1 3 5 5 12 31111 6 M78 15000 171*")</f>
        <v>0</v>
      </c>
      <c r="H2857" s="31">
        <f t="shared" si="45"/>
        <v>617228.01</v>
      </c>
      <c r="I2857" s="31"/>
      <c r="K2857" t="s">
        <v>13</v>
      </c>
    </row>
    <row r="2858" spans="2:11" ht="13" x14ac:dyDescent="0.15">
      <c r="B2858" s="29" t="s">
        <v>3619</v>
      </c>
      <c r="C2858" s="29" t="s">
        <v>285</v>
      </c>
      <c r="D2858" s="31">
        <f>SUMIFS(D2859:D3130,K2859:K3130,"0",B2859:B3130,"5 1 3 5 5 12 31111 6 M78 15000 171 00I*")-SUMIFS(E2859:E3130,K2859:K3130,"0",B2859:B3130,"5 1 3 5 5 12 31111 6 M78 15000 171 00I*")</f>
        <v>0</v>
      </c>
      <c r="E2858"/>
      <c r="F2858" s="31">
        <f>SUMIFS(F2859:F3130,K2859:K3130,"0",B2859:B3130,"5 1 3 5 5 12 31111 6 M78 15000 171 00I*")</f>
        <v>617228.01</v>
      </c>
      <c r="G2858" s="31">
        <f>SUMIFS(G2859:G3130,K2859:K3130,"0",B2859:B3130,"5 1 3 5 5 12 31111 6 M78 15000 171 00I*")</f>
        <v>0</v>
      </c>
      <c r="H2858" s="31">
        <f t="shared" si="45"/>
        <v>617228.01</v>
      </c>
      <c r="I2858" s="31"/>
      <c r="K2858" t="s">
        <v>13</v>
      </c>
    </row>
    <row r="2859" spans="2:11" ht="13" x14ac:dyDescent="0.15">
      <c r="B2859" s="29" t="s">
        <v>3620</v>
      </c>
      <c r="C2859" s="29" t="s">
        <v>32</v>
      </c>
      <c r="D2859" s="31">
        <f>SUMIFS(D2860:D3130,K2860:K3130,"0",B2860:B3130,"5 1 3 5 5 12 31111 6 M78 15000 171 00I 001*")-SUMIFS(E2860:E3130,K2860:K3130,"0",B2860:B3130,"5 1 3 5 5 12 31111 6 M78 15000 171 00I 001*")</f>
        <v>0</v>
      </c>
      <c r="E2859"/>
      <c r="F2859" s="31">
        <f>SUMIFS(F2860:F3130,K2860:K3130,"0",B2860:B3130,"5 1 3 5 5 12 31111 6 M78 15000 171 00I 001*")</f>
        <v>617228.01</v>
      </c>
      <c r="G2859" s="31">
        <f>SUMIFS(G2860:G3130,K2860:K3130,"0",B2860:B3130,"5 1 3 5 5 12 31111 6 M78 15000 171 00I 001*")</f>
        <v>0</v>
      </c>
      <c r="H2859" s="31">
        <f t="shared" si="45"/>
        <v>617228.01</v>
      </c>
      <c r="I2859" s="31"/>
      <c r="K2859" t="s">
        <v>13</v>
      </c>
    </row>
    <row r="2860" spans="2:11" ht="22" x14ac:dyDescent="0.15">
      <c r="B2860" s="29" t="s">
        <v>3621</v>
      </c>
      <c r="C2860" s="29" t="s">
        <v>3597</v>
      </c>
      <c r="D2860" s="31">
        <f>SUMIFS(D2861:D3130,K2861:K3130,"0",B2861:B3130,"5 1 3 5 5 12 31111 6 M78 15000 171 00I 001 35501*")-SUMIFS(E2861:E3130,K2861:K3130,"0",B2861:B3130,"5 1 3 5 5 12 31111 6 M78 15000 171 00I 001 35501*")</f>
        <v>0</v>
      </c>
      <c r="E2860"/>
      <c r="F2860" s="31">
        <f>SUMIFS(F2861:F3130,K2861:K3130,"0",B2861:B3130,"5 1 3 5 5 12 31111 6 M78 15000 171 00I 001 35501*")</f>
        <v>617228.01</v>
      </c>
      <c r="G2860" s="31">
        <f>SUMIFS(G2861:G3130,K2861:K3130,"0",B2861:B3130,"5 1 3 5 5 12 31111 6 M78 15000 171 00I 001 35501*")</f>
        <v>0</v>
      </c>
      <c r="H2860" s="31">
        <f t="shared" si="45"/>
        <v>617228.01</v>
      </c>
      <c r="I2860" s="31"/>
      <c r="K2860" t="s">
        <v>13</v>
      </c>
    </row>
    <row r="2861" spans="2:11" ht="22" x14ac:dyDescent="0.15">
      <c r="B2861" s="29" t="s">
        <v>3622</v>
      </c>
      <c r="C2861" s="29" t="s">
        <v>290</v>
      </c>
      <c r="D2861" s="31">
        <f>SUMIFS(D2862:D3130,K2862:K3130,"0",B2862:B3130,"5 1 3 5 5 12 31111 6 M78 15000 171 00I 001 35501 025*")-SUMIFS(E2862:E3130,K2862:K3130,"0",B2862:B3130,"5 1 3 5 5 12 31111 6 M78 15000 171 00I 001 35501 025*")</f>
        <v>0</v>
      </c>
      <c r="E2861"/>
      <c r="F2861" s="31">
        <f>SUMIFS(F2862:F3130,K2862:K3130,"0",B2862:B3130,"5 1 3 5 5 12 31111 6 M78 15000 171 00I 001 35501 025*")</f>
        <v>617228.01</v>
      </c>
      <c r="G2861" s="31">
        <f>SUMIFS(G2862:G3130,K2862:K3130,"0",B2862:B3130,"5 1 3 5 5 12 31111 6 M78 15000 171 00I 001 35501 025*")</f>
        <v>0</v>
      </c>
      <c r="H2861" s="31">
        <f t="shared" si="45"/>
        <v>617228.01</v>
      </c>
      <c r="I2861" s="31"/>
      <c r="K2861" t="s">
        <v>13</v>
      </c>
    </row>
    <row r="2862" spans="2:11" ht="22" x14ac:dyDescent="0.15">
      <c r="B2862" s="29" t="s">
        <v>3623</v>
      </c>
      <c r="C2862" s="29" t="s">
        <v>595</v>
      </c>
      <c r="D2862" s="31">
        <f>SUMIFS(D2863:D3130,K2863:K3130,"0",B2863:B3130,"5 1 3 5 5 12 31111 6 M78 15000 171 00I 001 35501 025 2112000*")-SUMIFS(E2863:E3130,K2863:K3130,"0",B2863:B3130,"5 1 3 5 5 12 31111 6 M78 15000 171 00I 001 35501 025 2112000*")</f>
        <v>0</v>
      </c>
      <c r="E2862"/>
      <c r="F2862" s="31">
        <f>SUMIFS(F2863:F3130,K2863:K3130,"0",B2863:B3130,"5 1 3 5 5 12 31111 6 M78 15000 171 00I 001 35501 025 2112000*")</f>
        <v>617228.01</v>
      </c>
      <c r="G2862" s="31">
        <f>SUMIFS(G2863:G3130,K2863:K3130,"0",B2863:B3130,"5 1 3 5 5 12 31111 6 M78 15000 171 00I 001 35501 025 2112000*")</f>
        <v>0</v>
      </c>
      <c r="H2862" s="31">
        <f t="shared" si="45"/>
        <v>617228.01</v>
      </c>
      <c r="I2862" s="31"/>
      <c r="K2862" t="s">
        <v>13</v>
      </c>
    </row>
    <row r="2863" spans="2:11" ht="22" x14ac:dyDescent="0.15">
      <c r="B2863" s="29" t="s">
        <v>3624</v>
      </c>
      <c r="C2863" s="29" t="s">
        <v>275</v>
      </c>
      <c r="D2863" s="31">
        <f>SUMIFS(D2864:D3130,K2864:K3130,"0",B2864:B3130,"5 1 3 5 5 12 31111 6 M78 15000 171 00I 001 35501 025 2112000 2024*")-SUMIFS(E2864:E3130,K2864:K3130,"0",B2864:B3130,"5 1 3 5 5 12 31111 6 M78 15000 171 00I 001 35501 025 2112000 2024*")</f>
        <v>0</v>
      </c>
      <c r="E2863"/>
      <c r="F2863" s="31">
        <f>SUMIFS(F2864:F3130,K2864:K3130,"0",B2864:B3130,"5 1 3 5 5 12 31111 6 M78 15000 171 00I 001 35501 025 2112000 2024*")</f>
        <v>617228.01</v>
      </c>
      <c r="G2863" s="31">
        <f>SUMIFS(G2864:G3130,K2864:K3130,"0",B2864:B3130,"5 1 3 5 5 12 31111 6 M78 15000 171 00I 001 35501 025 2112000 2024*")</f>
        <v>0</v>
      </c>
      <c r="H2863" s="31">
        <f t="shared" si="45"/>
        <v>617228.01</v>
      </c>
      <c r="I2863" s="31"/>
      <c r="K2863" t="s">
        <v>13</v>
      </c>
    </row>
    <row r="2864" spans="2:11" ht="22" x14ac:dyDescent="0.15">
      <c r="B2864" s="29" t="s">
        <v>3625</v>
      </c>
      <c r="C2864" s="29" t="s">
        <v>277</v>
      </c>
      <c r="D2864" s="31">
        <f>SUMIFS(D2865:D3130,K2865:K3130,"0",B2865:B3130,"5 1 3 5 5 12 31111 6 M78 15000 171 00I 001 35501 025 2112000 2024 00000000*")-SUMIFS(E2865:E3130,K2865:K3130,"0",B2865:B3130,"5 1 3 5 5 12 31111 6 M78 15000 171 00I 001 35501 025 2112000 2024 00000000*")</f>
        <v>0</v>
      </c>
      <c r="E2864"/>
      <c r="F2864" s="31">
        <f>SUMIFS(F2865:F3130,K2865:K3130,"0",B2865:B3130,"5 1 3 5 5 12 31111 6 M78 15000 171 00I 001 35501 025 2112000 2024 00000000*")</f>
        <v>617228.01</v>
      </c>
      <c r="G2864" s="31">
        <f>SUMIFS(G2865:G3130,K2865:K3130,"0",B2865:B3130,"5 1 3 5 5 12 31111 6 M78 15000 171 00I 001 35501 025 2112000 2024 00000000*")</f>
        <v>0</v>
      </c>
      <c r="H2864" s="31">
        <f t="shared" si="45"/>
        <v>617228.01</v>
      </c>
      <c r="I2864" s="31"/>
      <c r="K2864" t="s">
        <v>13</v>
      </c>
    </row>
    <row r="2865" spans="2:11" ht="22" x14ac:dyDescent="0.15">
      <c r="B2865" s="29" t="s">
        <v>3626</v>
      </c>
      <c r="C2865" s="29" t="s">
        <v>581</v>
      </c>
      <c r="D2865" s="31">
        <f>SUMIFS(D2866:D3130,K2866:K3130,"0",B2866:B3130,"5 1 3 5 5 12 31111 6 M78 15000 171 00I 001 35501 025 2112000 2024 00000000 003*")-SUMIFS(E2866:E3130,K2866:K3130,"0",B2866:B3130,"5 1 3 5 5 12 31111 6 M78 15000 171 00I 001 35501 025 2112000 2024 00000000 003*")</f>
        <v>0</v>
      </c>
      <c r="E2865"/>
      <c r="F2865" s="31">
        <f>SUMIFS(F2866:F3130,K2866:K3130,"0",B2866:B3130,"5 1 3 5 5 12 31111 6 M78 15000 171 00I 001 35501 025 2112000 2024 00000000 003*")</f>
        <v>617228.01</v>
      </c>
      <c r="G2865" s="31">
        <f>SUMIFS(G2866:G3130,K2866:K3130,"0",B2866:B3130,"5 1 3 5 5 12 31111 6 M78 15000 171 00I 001 35501 025 2112000 2024 00000000 003*")</f>
        <v>0</v>
      </c>
      <c r="H2865" s="31">
        <f t="shared" si="45"/>
        <v>617228.01</v>
      </c>
      <c r="I2865" s="31"/>
      <c r="K2865" t="s">
        <v>13</v>
      </c>
    </row>
    <row r="2866" spans="2:11" ht="22" x14ac:dyDescent="0.15">
      <c r="B2866" s="27" t="s">
        <v>3627</v>
      </c>
      <c r="C2866" s="27" t="s">
        <v>3628</v>
      </c>
      <c r="D2866" s="30">
        <v>0</v>
      </c>
      <c r="E2866" s="30"/>
      <c r="F2866" s="30">
        <v>617228.01</v>
      </c>
      <c r="G2866" s="30">
        <v>0</v>
      </c>
      <c r="H2866" s="30">
        <f t="shared" si="45"/>
        <v>617228.01</v>
      </c>
      <c r="I2866" s="30"/>
      <c r="K2866" t="s">
        <v>37</v>
      </c>
    </row>
    <row r="2867" spans="2:11" ht="13" x14ac:dyDescent="0.15">
      <c r="B2867" s="29" t="s">
        <v>3629</v>
      </c>
      <c r="C2867" s="29" t="s">
        <v>3630</v>
      </c>
      <c r="D2867" s="31">
        <f>SUMIFS(D2868:D3130,K2868:K3130,"0",B2868:B3130,"5 1 3 6*")-SUMIFS(E2868:E3130,K2868:K3130,"0",B2868:B3130,"5 1 3 6*")</f>
        <v>0</v>
      </c>
      <c r="E2867"/>
      <c r="F2867" s="31">
        <f>SUMIFS(F2868:F3130,K2868:K3130,"0",B2868:B3130,"5 1 3 6*")</f>
        <v>84360</v>
      </c>
      <c r="G2867" s="31">
        <f>SUMIFS(G2868:G3130,K2868:K3130,"0",B2868:B3130,"5 1 3 6*")</f>
        <v>0</v>
      </c>
      <c r="H2867" s="31">
        <f t="shared" si="45"/>
        <v>84360</v>
      </c>
      <c r="I2867" s="31"/>
      <c r="K2867" t="s">
        <v>13</v>
      </c>
    </row>
    <row r="2868" spans="2:11" ht="22" x14ac:dyDescent="0.15">
      <c r="B2868" s="29" t="s">
        <v>3631</v>
      </c>
      <c r="C2868" s="29" t="s">
        <v>3632</v>
      </c>
      <c r="D2868" s="31">
        <f>SUMIFS(D2869:D3130,K2869:K3130,"0",B2869:B3130,"5 1 3 6 1*")-SUMIFS(E2869:E3130,K2869:K3130,"0",B2869:B3130,"5 1 3 6 1*")</f>
        <v>0</v>
      </c>
      <c r="E2868"/>
      <c r="F2868" s="31">
        <f>SUMIFS(F2869:F3130,K2869:K3130,"0",B2869:B3130,"5 1 3 6 1*")</f>
        <v>84360</v>
      </c>
      <c r="G2868" s="31">
        <f>SUMIFS(G2869:G3130,K2869:K3130,"0",B2869:B3130,"5 1 3 6 1*")</f>
        <v>0</v>
      </c>
      <c r="H2868" s="31">
        <f t="shared" si="45"/>
        <v>84360</v>
      </c>
      <c r="I2868" s="31"/>
      <c r="K2868" t="s">
        <v>13</v>
      </c>
    </row>
    <row r="2869" spans="2:11" ht="13" x14ac:dyDescent="0.15">
      <c r="B2869" s="29" t="s">
        <v>3633</v>
      </c>
      <c r="C2869" s="29" t="s">
        <v>24</v>
      </c>
      <c r="D2869" s="31">
        <f>SUMIFS(D2870:D3130,K2870:K3130,"0",B2870:B3130,"5 1 3 6 1 12*")-SUMIFS(E2870:E3130,K2870:K3130,"0",B2870:B3130,"5 1 3 6 1 12*")</f>
        <v>0</v>
      </c>
      <c r="E2869"/>
      <c r="F2869" s="31">
        <f>SUMIFS(F2870:F3130,K2870:K3130,"0",B2870:B3130,"5 1 3 6 1 12*")</f>
        <v>84360</v>
      </c>
      <c r="G2869" s="31">
        <f>SUMIFS(G2870:G3130,K2870:K3130,"0",B2870:B3130,"5 1 3 6 1 12*")</f>
        <v>0</v>
      </c>
      <c r="H2869" s="31">
        <f t="shared" si="45"/>
        <v>84360</v>
      </c>
      <c r="I2869" s="31"/>
      <c r="K2869" t="s">
        <v>13</v>
      </c>
    </row>
    <row r="2870" spans="2:11" ht="13" x14ac:dyDescent="0.15">
      <c r="B2870" s="29" t="s">
        <v>3634</v>
      </c>
      <c r="C2870" s="29" t="s">
        <v>26</v>
      </c>
      <c r="D2870" s="31">
        <f>SUMIFS(D2871:D3130,K2871:K3130,"0",B2871:B3130,"5 1 3 6 1 12 31111*")-SUMIFS(E2871:E3130,K2871:K3130,"0",B2871:B3130,"5 1 3 6 1 12 31111*")</f>
        <v>0</v>
      </c>
      <c r="E2870"/>
      <c r="F2870" s="31">
        <f>SUMIFS(F2871:F3130,K2871:K3130,"0",B2871:B3130,"5 1 3 6 1 12 31111*")</f>
        <v>84360</v>
      </c>
      <c r="G2870" s="31">
        <f>SUMIFS(G2871:G3130,K2871:K3130,"0",B2871:B3130,"5 1 3 6 1 12 31111*")</f>
        <v>0</v>
      </c>
      <c r="H2870" s="31">
        <f t="shared" si="45"/>
        <v>84360</v>
      </c>
      <c r="I2870" s="31"/>
      <c r="K2870" t="s">
        <v>13</v>
      </c>
    </row>
    <row r="2871" spans="2:11" ht="13" x14ac:dyDescent="0.15">
      <c r="B2871" s="29" t="s">
        <v>3635</v>
      </c>
      <c r="C2871" s="29" t="s">
        <v>28</v>
      </c>
      <c r="D2871" s="31">
        <f>SUMIFS(D2872:D3130,K2872:K3130,"0",B2872:B3130,"5 1 3 6 1 12 31111 6*")-SUMIFS(E2872:E3130,K2872:K3130,"0",B2872:B3130,"5 1 3 6 1 12 31111 6*")</f>
        <v>0</v>
      </c>
      <c r="E2871"/>
      <c r="F2871" s="31">
        <f>SUMIFS(F2872:F3130,K2872:K3130,"0",B2872:B3130,"5 1 3 6 1 12 31111 6*")</f>
        <v>84360</v>
      </c>
      <c r="G2871" s="31">
        <f>SUMIFS(G2872:G3130,K2872:K3130,"0",B2872:B3130,"5 1 3 6 1 12 31111 6*")</f>
        <v>0</v>
      </c>
      <c r="H2871" s="31">
        <f t="shared" si="45"/>
        <v>84360</v>
      </c>
      <c r="I2871" s="31"/>
      <c r="K2871" t="s">
        <v>13</v>
      </c>
    </row>
    <row r="2872" spans="2:11" ht="13" x14ac:dyDescent="0.15">
      <c r="B2872" s="29" t="s">
        <v>3636</v>
      </c>
      <c r="C2872" s="29" t="s">
        <v>1567</v>
      </c>
      <c r="D2872" s="31">
        <f>SUMIFS(D2873:D3130,K2873:K3130,"0",B2873:B3130,"5 1 3 6 1 12 31111 6 M78*")-SUMIFS(E2873:E3130,K2873:K3130,"0",B2873:B3130,"5 1 3 6 1 12 31111 6 M78*")</f>
        <v>0</v>
      </c>
      <c r="E2872"/>
      <c r="F2872" s="31">
        <f>SUMIFS(F2873:F3130,K2873:K3130,"0",B2873:B3130,"5 1 3 6 1 12 31111 6 M78*")</f>
        <v>84360</v>
      </c>
      <c r="G2872" s="31">
        <f>SUMIFS(G2873:G3130,K2873:K3130,"0",B2873:B3130,"5 1 3 6 1 12 31111 6 M78*")</f>
        <v>0</v>
      </c>
      <c r="H2872" s="31">
        <f t="shared" si="45"/>
        <v>84360</v>
      </c>
      <c r="I2872" s="31"/>
      <c r="K2872" t="s">
        <v>13</v>
      </c>
    </row>
    <row r="2873" spans="2:11" ht="13" x14ac:dyDescent="0.15">
      <c r="B2873" s="29" t="s">
        <v>3637</v>
      </c>
      <c r="C2873" s="29" t="s">
        <v>8</v>
      </c>
      <c r="D2873" s="31">
        <f>SUMIFS(D2874:D3130,K2874:K3130,"0",B2874:B3130,"5 1 3 6 1 12 31111 6 M78 07000*")-SUMIFS(E2874:E3130,K2874:K3130,"0",B2874:B3130,"5 1 3 6 1 12 31111 6 M78 07000*")</f>
        <v>0</v>
      </c>
      <c r="E2873"/>
      <c r="F2873" s="31">
        <f>SUMIFS(F2874:F3130,K2874:K3130,"0",B2874:B3130,"5 1 3 6 1 12 31111 6 M78 07000*")</f>
        <v>84360</v>
      </c>
      <c r="G2873" s="31">
        <f>SUMIFS(G2874:G3130,K2874:K3130,"0",B2874:B3130,"5 1 3 6 1 12 31111 6 M78 07000*")</f>
        <v>0</v>
      </c>
      <c r="H2873" s="31">
        <f t="shared" si="45"/>
        <v>84360</v>
      </c>
      <c r="I2873" s="31"/>
      <c r="K2873" t="s">
        <v>13</v>
      </c>
    </row>
    <row r="2874" spans="2:11" ht="13" x14ac:dyDescent="0.15">
      <c r="B2874" s="29" t="s">
        <v>3638</v>
      </c>
      <c r="C2874" s="29" t="s">
        <v>588</v>
      </c>
      <c r="D2874" s="31">
        <f>SUMIFS(D2875:D3130,K2875:K3130,"0",B2875:B3130,"5 1 3 6 1 12 31111 6 M78 07000 151*")-SUMIFS(E2875:E3130,K2875:K3130,"0",B2875:B3130,"5 1 3 6 1 12 31111 6 M78 07000 151*")</f>
        <v>0</v>
      </c>
      <c r="E2874"/>
      <c r="F2874" s="31">
        <f>SUMIFS(F2875:F3130,K2875:K3130,"0",B2875:B3130,"5 1 3 6 1 12 31111 6 M78 07000 151*")</f>
        <v>84360</v>
      </c>
      <c r="G2874" s="31">
        <f>SUMIFS(G2875:G3130,K2875:K3130,"0",B2875:B3130,"5 1 3 6 1 12 31111 6 M78 07000 151*")</f>
        <v>0</v>
      </c>
      <c r="H2874" s="31">
        <f t="shared" si="45"/>
        <v>84360</v>
      </c>
      <c r="I2874" s="31"/>
      <c r="K2874" t="s">
        <v>13</v>
      </c>
    </row>
    <row r="2875" spans="2:11" ht="13" x14ac:dyDescent="0.15">
      <c r="B2875" s="29" t="s">
        <v>3639</v>
      </c>
      <c r="C2875" s="29" t="s">
        <v>265</v>
      </c>
      <c r="D2875" s="31">
        <f>SUMIFS(D2876:D3130,K2876:K3130,"0",B2876:B3130,"5 1 3 6 1 12 31111 6 M78 07000 151 00C*")-SUMIFS(E2876:E3130,K2876:K3130,"0",B2876:B3130,"5 1 3 6 1 12 31111 6 M78 07000 151 00C*")</f>
        <v>0</v>
      </c>
      <c r="E2875"/>
      <c r="F2875" s="31">
        <f>SUMIFS(F2876:F3130,K2876:K3130,"0",B2876:B3130,"5 1 3 6 1 12 31111 6 M78 07000 151 00C*")</f>
        <v>84360</v>
      </c>
      <c r="G2875" s="31">
        <f>SUMIFS(G2876:G3130,K2876:K3130,"0",B2876:B3130,"5 1 3 6 1 12 31111 6 M78 07000 151 00C*")</f>
        <v>0</v>
      </c>
      <c r="H2875" s="31">
        <f t="shared" si="45"/>
        <v>84360</v>
      </c>
      <c r="I2875" s="31"/>
      <c r="K2875" t="s">
        <v>13</v>
      </c>
    </row>
    <row r="2876" spans="2:11" ht="13" x14ac:dyDescent="0.15">
      <c r="B2876" s="29" t="s">
        <v>3640</v>
      </c>
      <c r="C2876" s="29" t="s">
        <v>32</v>
      </c>
      <c r="D2876" s="31">
        <f>SUMIFS(D2877:D3130,K2877:K3130,"0",B2877:B3130,"5 1 3 6 1 12 31111 6 M78 07000 151 00C 001*")-SUMIFS(E2877:E3130,K2877:K3130,"0",B2877:B3130,"5 1 3 6 1 12 31111 6 M78 07000 151 00C 001*")</f>
        <v>0</v>
      </c>
      <c r="E2876"/>
      <c r="F2876" s="31">
        <f>SUMIFS(F2877:F3130,K2877:K3130,"0",B2877:B3130,"5 1 3 6 1 12 31111 6 M78 07000 151 00C 001*")</f>
        <v>84360</v>
      </c>
      <c r="G2876" s="31">
        <f>SUMIFS(G2877:G3130,K2877:K3130,"0",B2877:B3130,"5 1 3 6 1 12 31111 6 M78 07000 151 00C 001*")</f>
        <v>0</v>
      </c>
      <c r="H2876" s="31">
        <f t="shared" si="45"/>
        <v>84360</v>
      </c>
      <c r="I2876" s="31"/>
      <c r="K2876" t="s">
        <v>13</v>
      </c>
    </row>
    <row r="2877" spans="2:11" ht="22" x14ac:dyDescent="0.15">
      <c r="B2877" s="29" t="s">
        <v>3641</v>
      </c>
      <c r="C2877" s="29" t="s">
        <v>3642</v>
      </c>
      <c r="D2877" s="31">
        <f>SUMIFS(D2878:D3130,K2878:K3130,"0",B2878:B3130,"5 1 3 6 1 12 31111 6 M78 07000 151 00C 001 36101*")-SUMIFS(E2878:E3130,K2878:K3130,"0",B2878:B3130,"5 1 3 6 1 12 31111 6 M78 07000 151 00C 001 36101*")</f>
        <v>0</v>
      </c>
      <c r="E2877"/>
      <c r="F2877" s="31">
        <f>SUMIFS(F2878:F3130,K2878:K3130,"0",B2878:B3130,"5 1 3 6 1 12 31111 6 M78 07000 151 00C 001 36101*")</f>
        <v>84360</v>
      </c>
      <c r="G2877" s="31">
        <f>SUMIFS(G2878:G3130,K2878:K3130,"0",B2878:B3130,"5 1 3 6 1 12 31111 6 M78 07000 151 00C 001 36101*")</f>
        <v>0</v>
      </c>
      <c r="H2877" s="31">
        <f t="shared" si="45"/>
        <v>84360</v>
      </c>
      <c r="I2877" s="31"/>
      <c r="K2877" t="s">
        <v>13</v>
      </c>
    </row>
    <row r="2878" spans="2:11" ht="22" x14ac:dyDescent="0.15">
      <c r="B2878" s="29" t="s">
        <v>3643</v>
      </c>
      <c r="C2878" s="29" t="s">
        <v>271</v>
      </c>
      <c r="D2878" s="31">
        <f>SUMIFS(D2879:D3130,K2879:K3130,"0",B2879:B3130,"5 1 3 6 1 12 31111 6 M78 07000 151 00C 001 36101 015*")-SUMIFS(E2879:E3130,K2879:K3130,"0",B2879:B3130,"5 1 3 6 1 12 31111 6 M78 07000 151 00C 001 36101 015*")</f>
        <v>0</v>
      </c>
      <c r="E2878"/>
      <c r="F2878" s="31">
        <f>SUMIFS(F2879:F3130,K2879:K3130,"0",B2879:B3130,"5 1 3 6 1 12 31111 6 M78 07000 151 00C 001 36101 015*")</f>
        <v>84360</v>
      </c>
      <c r="G2878" s="31">
        <f>SUMIFS(G2879:G3130,K2879:K3130,"0",B2879:B3130,"5 1 3 6 1 12 31111 6 M78 07000 151 00C 001 36101 015*")</f>
        <v>0</v>
      </c>
      <c r="H2878" s="31">
        <f t="shared" si="45"/>
        <v>84360</v>
      </c>
      <c r="I2878" s="31"/>
      <c r="K2878" t="s">
        <v>13</v>
      </c>
    </row>
    <row r="2879" spans="2:11" ht="22" x14ac:dyDescent="0.15">
      <c r="B2879" s="29" t="s">
        <v>3644</v>
      </c>
      <c r="C2879" s="29" t="s">
        <v>595</v>
      </c>
      <c r="D2879" s="31">
        <f>SUMIFS(D2880:D3130,K2880:K3130,"0",B2880:B3130,"5 1 3 6 1 12 31111 6 M78 07000 151 00C 001 36101 015 2112000*")-SUMIFS(E2880:E3130,K2880:K3130,"0",B2880:B3130,"5 1 3 6 1 12 31111 6 M78 07000 151 00C 001 36101 015 2112000*")</f>
        <v>0</v>
      </c>
      <c r="E2879"/>
      <c r="F2879" s="31">
        <f>SUMIFS(F2880:F3130,K2880:K3130,"0",B2880:B3130,"5 1 3 6 1 12 31111 6 M78 07000 151 00C 001 36101 015 2112000*")</f>
        <v>84360</v>
      </c>
      <c r="G2879" s="31">
        <f>SUMIFS(G2880:G3130,K2880:K3130,"0",B2880:B3130,"5 1 3 6 1 12 31111 6 M78 07000 151 00C 001 36101 015 2112000*")</f>
        <v>0</v>
      </c>
      <c r="H2879" s="31">
        <f t="shared" si="45"/>
        <v>84360</v>
      </c>
      <c r="I2879" s="31"/>
      <c r="K2879" t="s">
        <v>13</v>
      </c>
    </row>
    <row r="2880" spans="2:11" ht="22" x14ac:dyDescent="0.15">
      <c r="B2880" s="29" t="s">
        <v>3645</v>
      </c>
      <c r="C2880" s="29" t="s">
        <v>275</v>
      </c>
      <c r="D2880" s="31">
        <f>SUMIFS(D2881:D3130,K2881:K3130,"0",B2881:B3130,"5 1 3 6 1 12 31111 6 M78 07000 151 00C 001 36101 015 2112000 2024*")-SUMIFS(E2881:E3130,K2881:K3130,"0",B2881:B3130,"5 1 3 6 1 12 31111 6 M78 07000 151 00C 001 36101 015 2112000 2024*")</f>
        <v>0</v>
      </c>
      <c r="E2880"/>
      <c r="F2880" s="31">
        <f>SUMIFS(F2881:F3130,K2881:K3130,"0",B2881:B3130,"5 1 3 6 1 12 31111 6 M78 07000 151 00C 001 36101 015 2112000 2024*")</f>
        <v>84360</v>
      </c>
      <c r="G2880" s="31">
        <f>SUMIFS(G2881:G3130,K2881:K3130,"0",B2881:B3130,"5 1 3 6 1 12 31111 6 M78 07000 151 00C 001 36101 015 2112000 2024*")</f>
        <v>0</v>
      </c>
      <c r="H2880" s="31">
        <f t="shared" si="45"/>
        <v>84360</v>
      </c>
      <c r="I2880" s="31"/>
      <c r="K2880" t="s">
        <v>13</v>
      </c>
    </row>
    <row r="2881" spans="2:11" ht="22" x14ac:dyDescent="0.15">
      <c r="B2881" s="29" t="s">
        <v>3646</v>
      </c>
      <c r="C2881" s="29" t="s">
        <v>277</v>
      </c>
      <c r="D2881" s="31">
        <f>SUMIFS(D2882:D3130,K2882:K3130,"0",B2882:B3130,"5 1 3 6 1 12 31111 6 M78 07000 151 00C 001 36101 015 2112000 2024 00000000*")-SUMIFS(E2882:E3130,K2882:K3130,"0",B2882:B3130,"5 1 3 6 1 12 31111 6 M78 07000 151 00C 001 36101 015 2112000 2024 00000000*")</f>
        <v>0</v>
      </c>
      <c r="E2881"/>
      <c r="F2881" s="31">
        <f>SUMIFS(F2882:F3130,K2882:K3130,"0",B2882:B3130,"5 1 3 6 1 12 31111 6 M78 07000 151 00C 001 36101 015 2112000 2024 00000000*")</f>
        <v>84360</v>
      </c>
      <c r="G2881" s="31">
        <f>SUMIFS(G2882:G3130,K2882:K3130,"0",B2882:B3130,"5 1 3 6 1 12 31111 6 M78 07000 151 00C 001 36101 015 2112000 2024 00000000*")</f>
        <v>0</v>
      </c>
      <c r="H2881" s="31">
        <f t="shared" si="45"/>
        <v>84360</v>
      </c>
      <c r="I2881" s="31"/>
      <c r="K2881" t="s">
        <v>13</v>
      </c>
    </row>
    <row r="2882" spans="2:11" ht="22" x14ac:dyDescent="0.15">
      <c r="B2882" s="29" t="s">
        <v>3647</v>
      </c>
      <c r="C2882" s="29" t="s">
        <v>32</v>
      </c>
      <c r="D2882" s="31">
        <f>SUMIFS(D2883:D3130,K2883:K3130,"0",B2883:B3130,"5 1 3 6 1 12 31111 6 M78 07000 151 00C 001 36101 015 2112000 2024 00000000 001*")-SUMIFS(E2883:E3130,K2883:K3130,"0",B2883:B3130,"5 1 3 6 1 12 31111 6 M78 07000 151 00C 001 36101 015 2112000 2024 00000000 001*")</f>
        <v>0</v>
      </c>
      <c r="E2882"/>
      <c r="F2882" s="31">
        <f>SUMIFS(F2883:F3130,K2883:K3130,"0",B2883:B3130,"5 1 3 6 1 12 31111 6 M78 07000 151 00C 001 36101 015 2112000 2024 00000000 001*")</f>
        <v>84360</v>
      </c>
      <c r="G2882" s="31">
        <f>SUMIFS(G2883:G3130,K2883:K3130,"0",B2883:B3130,"5 1 3 6 1 12 31111 6 M78 07000 151 00C 001 36101 015 2112000 2024 00000000 001*")</f>
        <v>0</v>
      </c>
      <c r="H2882" s="31">
        <f t="shared" si="45"/>
        <v>84360</v>
      </c>
      <c r="I2882" s="31"/>
      <c r="K2882" t="s">
        <v>13</v>
      </c>
    </row>
    <row r="2883" spans="2:11" ht="22" x14ac:dyDescent="0.15">
      <c r="B2883" s="27" t="s">
        <v>3648</v>
      </c>
      <c r="C2883" s="27" t="s">
        <v>3649</v>
      </c>
      <c r="D2883" s="30">
        <v>0</v>
      </c>
      <c r="E2883" s="30"/>
      <c r="F2883" s="30">
        <v>84360</v>
      </c>
      <c r="G2883" s="30">
        <v>0</v>
      </c>
      <c r="H2883" s="30">
        <f t="shared" si="45"/>
        <v>84360</v>
      </c>
      <c r="I2883" s="30"/>
      <c r="K2883" t="s">
        <v>37</v>
      </c>
    </row>
    <row r="2884" spans="2:11" ht="13" x14ac:dyDescent="0.15">
      <c r="B2884" s="29" t="s">
        <v>3650</v>
      </c>
      <c r="C2884" s="29" t="s">
        <v>3651</v>
      </c>
      <c r="D2884" s="31">
        <f>SUMIFS(D2885:D3130,K2885:K3130,"0",B2885:B3130,"5 1 3 7*")-SUMIFS(E2885:E3130,K2885:K3130,"0",B2885:B3130,"5 1 3 7*")</f>
        <v>0</v>
      </c>
      <c r="E2884"/>
      <c r="F2884" s="31">
        <f>SUMIFS(F2885:F3130,K2885:K3130,"0",B2885:B3130,"5 1 3 7*")</f>
        <v>33302.51</v>
      </c>
      <c r="G2884" s="31">
        <f>SUMIFS(G2885:G3130,K2885:K3130,"0",B2885:B3130,"5 1 3 7*")</f>
        <v>0</v>
      </c>
      <c r="H2884" s="31">
        <f t="shared" si="45"/>
        <v>33302.51</v>
      </c>
      <c r="I2884" s="31"/>
      <c r="K2884" t="s">
        <v>13</v>
      </c>
    </row>
    <row r="2885" spans="2:11" ht="13" x14ac:dyDescent="0.15">
      <c r="B2885" s="29" t="s">
        <v>3652</v>
      </c>
      <c r="C2885" s="29" t="s">
        <v>3653</v>
      </c>
      <c r="D2885" s="31">
        <f>SUMIFS(D2886:D3130,K2886:K3130,"0",B2886:B3130,"5 1 3 7 5*")-SUMIFS(E2886:E3130,K2886:K3130,"0",B2886:B3130,"5 1 3 7 5*")</f>
        <v>0</v>
      </c>
      <c r="E2885"/>
      <c r="F2885" s="31">
        <f>SUMIFS(F2886:F3130,K2886:K3130,"0",B2886:B3130,"5 1 3 7 5*")</f>
        <v>33302.51</v>
      </c>
      <c r="G2885" s="31">
        <f>SUMIFS(G2886:G3130,K2886:K3130,"0",B2886:B3130,"5 1 3 7 5*")</f>
        <v>0</v>
      </c>
      <c r="H2885" s="31">
        <f t="shared" si="45"/>
        <v>33302.51</v>
      </c>
      <c r="I2885" s="31"/>
      <c r="K2885" t="s">
        <v>13</v>
      </c>
    </row>
    <row r="2886" spans="2:11" ht="13" x14ac:dyDescent="0.15">
      <c r="B2886" s="29" t="s">
        <v>3654</v>
      </c>
      <c r="C2886" s="29" t="s">
        <v>24</v>
      </c>
      <c r="D2886" s="31">
        <f>SUMIFS(D2887:D3130,K2887:K3130,"0",B2887:B3130,"5 1 3 7 5 12*")-SUMIFS(E2887:E3130,K2887:K3130,"0",B2887:B3130,"5 1 3 7 5 12*")</f>
        <v>0</v>
      </c>
      <c r="E2886"/>
      <c r="F2886" s="31">
        <f>SUMIFS(F2887:F3130,K2887:K3130,"0",B2887:B3130,"5 1 3 7 5 12*")</f>
        <v>33302.51</v>
      </c>
      <c r="G2886" s="31">
        <f>SUMIFS(G2887:G3130,K2887:K3130,"0",B2887:B3130,"5 1 3 7 5 12*")</f>
        <v>0</v>
      </c>
      <c r="H2886" s="31">
        <f t="shared" si="45"/>
        <v>33302.51</v>
      </c>
      <c r="I2886" s="31"/>
      <c r="K2886" t="s">
        <v>13</v>
      </c>
    </row>
    <row r="2887" spans="2:11" ht="13" x14ac:dyDescent="0.15">
      <c r="B2887" s="29" t="s">
        <v>3655</v>
      </c>
      <c r="C2887" s="29" t="s">
        <v>26</v>
      </c>
      <c r="D2887" s="31">
        <f>SUMIFS(D2888:D3130,K2888:K3130,"0",B2888:B3130,"5 1 3 7 5 12 31111*")-SUMIFS(E2888:E3130,K2888:K3130,"0",B2888:B3130,"5 1 3 7 5 12 31111*")</f>
        <v>0</v>
      </c>
      <c r="E2887"/>
      <c r="F2887" s="31">
        <f>SUMIFS(F2888:F3130,K2888:K3130,"0",B2888:B3130,"5 1 3 7 5 12 31111*")</f>
        <v>33302.51</v>
      </c>
      <c r="G2887" s="31">
        <f>SUMIFS(G2888:G3130,K2888:K3130,"0",B2888:B3130,"5 1 3 7 5 12 31111*")</f>
        <v>0</v>
      </c>
      <c r="H2887" s="31">
        <f t="shared" si="45"/>
        <v>33302.51</v>
      </c>
      <c r="I2887" s="31"/>
      <c r="K2887" t="s">
        <v>13</v>
      </c>
    </row>
    <row r="2888" spans="2:11" ht="13" x14ac:dyDescent="0.15">
      <c r="B2888" s="29" t="s">
        <v>3656</v>
      </c>
      <c r="C2888" s="29" t="s">
        <v>28</v>
      </c>
      <c r="D2888" s="31">
        <f>SUMIFS(D2889:D3130,K2889:K3130,"0",B2889:B3130,"5 1 3 7 5 12 31111 6*")-SUMIFS(E2889:E3130,K2889:K3130,"0",B2889:B3130,"5 1 3 7 5 12 31111 6*")</f>
        <v>0</v>
      </c>
      <c r="E2888"/>
      <c r="F2888" s="31">
        <f>SUMIFS(F2889:F3130,K2889:K3130,"0",B2889:B3130,"5 1 3 7 5 12 31111 6*")</f>
        <v>33302.51</v>
      </c>
      <c r="G2888" s="31">
        <f>SUMIFS(G2889:G3130,K2889:K3130,"0",B2889:B3130,"5 1 3 7 5 12 31111 6*")</f>
        <v>0</v>
      </c>
      <c r="H2888" s="31">
        <f t="shared" si="45"/>
        <v>33302.51</v>
      </c>
      <c r="I2888" s="31"/>
      <c r="K2888" t="s">
        <v>13</v>
      </c>
    </row>
    <row r="2889" spans="2:11" ht="13" x14ac:dyDescent="0.15">
      <c r="B2889" s="29" t="s">
        <v>3657</v>
      </c>
      <c r="C2889" s="29" t="s">
        <v>1567</v>
      </c>
      <c r="D2889" s="31">
        <f>SUMIFS(D2890:D3130,K2890:K3130,"0",B2890:B3130,"5 1 3 7 5 12 31111 6 M78*")-SUMIFS(E2890:E3130,K2890:K3130,"0",B2890:B3130,"5 1 3 7 5 12 31111 6 M78*")</f>
        <v>0</v>
      </c>
      <c r="E2889"/>
      <c r="F2889" s="31">
        <f>SUMIFS(F2890:F3130,K2890:K3130,"0",B2890:B3130,"5 1 3 7 5 12 31111 6 M78*")</f>
        <v>33302.51</v>
      </c>
      <c r="G2889" s="31">
        <f>SUMIFS(G2890:G3130,K2890:K3130,"0",B2890:B3130,"5 1 3 7 5 12 31111 6 M78*")</f>
        <v>0</v>
      </c>
      <c r="H2889" s="31">
        <f t="shared" si="45"/>
        <v>33302.51</v>
      </c>
      <c r="I2889" s="31"/>
      <c r="K2889" t="s">
        <v>13</v>
      </c>
    </row>
    <row r="2890" spans="2:11" ht="13" x14ac:dyDescent="0.15">
      <c r="B2890" s="29" t="s">
        <v>3658</v>
      </c>
      <c r="C2890" s="29" t="s">
        <v>8</v>
      </c>
      <c r="D2890" s="31">
        <f>SUMIFS(D2891:D3130,K2891:K3130,"0",B2891:B3130,"5 1 3 7 5 12 31111 6 M78 07000*")-SUMIFS(E2891:E3130,K2891:K3130,"0",B2891:B3130,"5 1 3 7 5 12 31111 6 M78 07000*")</f>
        <v>0</v>
      </c>
      <c r="E2890"/>
      <c r="F2890" s="31">
        <f>SUMIFS(F2891:F3130,K2891:K3130,"0",B2891:B3130,"5 1 3 7 5 12 31111 6 M78 07000*")</f>
        <v>33302.51</v>
      </c>
      <c r="G2890" s="31">
        <f>SUMIFS(G2891:G3130,K2891:K3130,"0",B2891:B3130,"5 1 3 7 5 12 31111 6 M78 07000*")</f>
        <v>0</v>
      </c>
      <c r="H2890" s="31">
        <f t="shared" si="45"/>
        <v>33302.51</v>
      </c>
      <c r="I2890" s="31"/>
      <c r="K2890" t="s">
        <v>13</v>
      </c>
    </row>
    <row r="2891" spans="2:11" ht="13" x14ac:dyDescent="0.15">
      <c r="B2891" s="29" t="s">
        <v>3659</v>
      </c>
      <c r="C2891" s="29" t="s">
        <v>588</v>
      </c>
      <c r="D2891" s="31">
        <f>SUMIFS(D2892:D3130,K2892:K3130,"0",B2892:B3130,"5 1 3 7 5 12 31111 6 M78 07000 151*")-SUMIFS(E2892:E3130,K2892:K3130,"0",B2892:B3130,"5 1 3 7 5 12 31111 6 M78 07000 151*")</f>
        <v>0</v>
      </c>
      <c r="E2891"/>
      <c r="F2891" s="31">
        <f>SUMIFS(F2892:F3130,K2892:K3130,"0",B2892:B3130,"5 1 3 7 5 12 31111 6 M78 07000 151*")</f>
        <v>33302.51</v>
      </c>
      <c r="G2891" s="31">
        <f>SUMIFS(G2892:G3130,K2892:K3130,"0",B2892:B3130,"5 1 3 7 5 12 31111 6 M78 07000 151*")</f>
        <v>0</v>
      </c>
      <c r="H2891" s="31">
        <f t="shared" ref="H2891:H2954" si="46">D2891 + F2891 - G2891</f>
        <v>33302.51</v>
      </c>
      <c r="I2891" s="31"/>
      <c r="K2891" t="s">
        <v>13</v>
      </c>
    </row>
    <row r="2892" spans="2:11" ht="13" x14ac:dyDescent="0.15">
      <c r="B2892" s="29" t="s">
        <v>3660</v>
      </c>
      <c r="C2892" s="29" t="s">
        <v>265</v>
      </c>
      <c r="D2892" s="31">
        <f>SUMIFS(D2893:D3130,K2893:K3130,"0",B2893:B3130,"5 1 3 7 5 12 31111 6 M78 07000 151 00C*")-SUMIFS(E2893:E3130,K2893:K3130,"0",B2893:B3130,"5 1 3 7 5 12 31111 6 M78 07000 151 00C*")</f>
        <v>0</v>
      </c>
      <c r="E2892"/>
      <c r="F2892" s="31">
        <f>SUMIFS(F2893:F3130,K2893:K3130,"0",B2893:B3130,"5 1 3 7 5 12 31111 6 M78 07000 151 00C*")</f>
        <v>33302.51</v>
      </c>
      <c r="G2892" s="31">
        <f>SUMIFS(G2893:G3130,K2893:K3130,"0",B2893:B3130,"5 1 3 7 5 12 31111 6 M78 07000 151 00C*")</f>
        <v>0</v>
      </c>
      <c r="H2892" s="31">
        <f t="shared" si="46"/>
        <v>33302.51</v>
      </c>
      <c r="I2892" s="31"/>
      <c r="K2892" t="s">
        <v>13</v>
      </c>
    </row>
    <row r="2893" spans="2:11" ht="13" x14ac:dyDescent="0.15">
      <c r="B2893" s="29" t="s">
        <v>3661</v>
      </c>
      <c r="C2893" s="29" t="s">
        <v>32</v>
      </c>
      <c r="D2893" s="31">
        <f>SUMIFS(D2894:D3130,K2894:K3130,"0",B2894:B3130,"5 1 3 7 5 12 31111 6 M78 07000 151 00C 001*")-SUMIFS(E2894:E3130,K2894:K3130,"0",B2894:B3130,"5 1 3 7 5 12 31111 6 M78 07000 151 00C 001*")</f>
        <v>0</v>
      </c>
      <c r="E2893"/>
      <c r="F2893" s="31">
        <f>SUMIFS(F2894:F3130,K2894:K3130,"0",B2894:B3130,"5 1 3 7 5 12 31111 6 M78 07000 151 00C 001*")</f>
        <v>33302.51</v>
      </c>
      <c r="G2893" s="31">
        <f>SUMIFS(G2894:G3130,K2894:K3130,"0",B2894:B3130,"5 1 3 7 5 12 31111 6 M78 07000 151 00C 001*")</f>
        <v>0</v>
      </c>
      <c r="H2893" s="31">
        <f t="shared" si="46"/>
        <v>33302.51</v>
      </c>
      <c r="I2893" s="31"/>
      <c r="K2893" t="s">
        <v>13</v>
      </c>
    </row>
    <row r="2894" spans="2:11" ht="13" x14ac:dyDescent="0.15">
      <c r="B2894" s="29" t="s">
        <v>3662</v>
      </c>
      <c r="C2894" s="29" t="s">
        <v>3663</v>
      </c>
      <c r="D2894" s="31">
        <f>SUMIFS(D2895:D3130,K2895:K3130,"0",B2895:B3130,"5 1 3 7 5 12 31111 6 M78 07000 151 00C 001 37501*")-SUMIFS(E2895:E3130,K2895:K3130,"0",B2895:B3130,"5 1 3 7 5 12 31111 6 M78 07000 151 00C 001 37501*")</f>
        <v>0</v>
      </c>
      <c r="E2894"/>
      <c r="F2894" s="31">
        <f>SUMIFS(F2895:F3130,K2895:K3130,"0",B2895:B3130,"5 1 3 7 5 12 31111 6 M78 07000 151 00C 001 37501*")</f>
        <v>33302.51</v>
      </c>
      <c r="G2894" s="31">
        <f>SUMIFS(G2895:G3130,K2895:K3130,"0",B2895:B3130,"5 1 3 7 5 12 31111 6 M78 07000 151 00C 001 37501*")</f>
        <v>0</v>
      </c>
      <c r="H2894" s="31">
        <f t="shared" si="46"/>
        <v>33302.51</v>
      </c>
      <c r="I2894" s="31"/>
      <c r="K2894" t="s">
        <v>13</v>
      </c>
    </row>
    <row r="2895" spans="2:11" ht="22" x14ac:dyDescent="0.15">
      <c r="B2895" s="29" t="s">
        <v>3664</v>
      </c>
      <c r="C2895" s="29" t="s">
        <v>271</v>
      </c>
      <c r="D2895" s="31">
        <f>SUMIFS(D2896:D3130,K2896:K3130,"0",B2896:B3130,"5 1 3 7 5 12 31111 6 M78 07000 151 00C 001 37501 015*")-SUMIFS(E2896:E3130,K2896:K3130,"0",B2896:B3130,"5 1 3 7 5 12 31111 6 M78 07000 151 00C 001 37501 015*")</f>
        <v>0</v>
      </c>
      <c r="E2895"/>
      <c r="F2895" s="31">
        <f>SUMIFS(F2896:F3130,K2896:K3130,"0",B2896:B3130,"5 1 3 7 5 12 31111 6 M78 07000 151 00C 001 37501 015*")</f>
        <v>33302.51</v>
      </c>
      <c r="G2895" s="31">
        <f>SUMIFS(G2896:G3130,K2896:K3130,"0",B2896:B3130,"5 1 3 7 5 12 31111 6 M78 07000 151 00C 001 37501 015*")</f>
        <v>0</v>
      </c>
      <c r="H2895" s="31">
        <f t="shared" si="46"/>
        <v>33302.51</v>
      </c>
      <c r="I2895" s="31"/>
      <c r="K2895" t="s">
        <v>13</v>
      </c>
    </row>
    <row r="2896" spans="2:11" ht="22" x14ac:dyDescent="0.15">
      <c r="B2896" s="29" t="s">
        <v>3665</v>
      </c>
      <c r="C2896" s="29" t="s">
        <v>595</v>
      </c>
      <c r="D2896" s="31">
        <f>SUMIFS(D2897:D3130,K2897:K3130,"0",B2897:B3130,"5 1 3 7 5 12 31111 6 M78 07000 151 00C 001 37501 015 2112000*")-SUMIFS(E2897:E3130,K2897:K3130,"0",B2897:B3130,"5 1 3 7 5 12 31111 6 M78 07000 151 00C 001 37501 015 2112000*")</f>
        <v>0</v>
      </c>
      <c r="E2896"/>
      <c r="F2896" s="31">
        <f>SUMIFS(F2897:F3130,K2897:K3130,"0",B2897:B3130,"5 1 3 7 5 12 31111 6 M78 07000 151 00C 001 37501 015 2112000*")</f>
        <v>33302.51</v>
      </c>
      <c r="G2896" s="31">
        <f>SUMIFS(G2897:G3130,K2897:K3130,"0",B2897:B3130,"5 1 3 7 5 12 31111 6 M78 07000 151 00C 001 37501 015 2112000*")</f>
        <v>0</v>
      </c>
      <c r="H2896" s="31">
        <f t="shared" si="46"/>
        <v>33302.51</v>
      </c>
      <c r="I2896" s="31"/>
      <c r="K2896" t="s">
        <v>13</v>
      </c>
    </row>
    <row r="2897" spans="2:11" ht="22" x14ac:dyDescent="0.15">
      <c r="B2897" s="29" t="s">
        <v>3666</v>
      </c>
      <c r="C2897" s="29" t="s">
        <v>275</v>
      </c>
      <c r="D2897" s="31">
        <f>SUMIFS(D2898:D3130,K2898:K3130,"0",B2898:B3130,"5 1 3 7 5 12 31111 6 M78 07000 151 00C 001 37501 015 2112000 2024*")-SUMIFS(E2898:E3130,K2898:K3130,"0",B2898:B3130,"5 1 3 7 5 12 31111 6 M78 07000 151 00C 001 37501 015 2112000 2024*")</f>
        <v>0</v>
      </c>
      <c r="E2897"/>
      <c r="F2897" s="31">
        <f>SUMIFS(F2898:F3130,K2898:K3130,"0",B2898:B3130,"5 1 3 7 5 12 31111 6 M78 07000 151 00C 001 37501 015 2112000 2024*")</f>
        <v>33302.51</v>
      </c>
      <c r="G2897" s="31">
        <f>SUMIFS(G2898:G3130,K2898:K3130,"0",B2898:B3130,"5 1 3 7 5 12 31111 6 M78 07000 151 00C 001 37501 015 2112000 2024*")</f>
        <v>0</v>
      </c>
      <c r="H2897" s="31">
        <f t="shared" si="46"/>
        <v>33302.51</v>
      </c>
      <c r="I2897" s="31"/>
      <c r="K2897" t="s">
        <v>13</v>
      </c>
    </row>
    <row r="2898" spans="2:11" ht="22" x14ac:dyDescent="0.15">
      <c r="B2898" s="29" t="s">
        <v>3667</v>
      </c>
      <c r="C2898" s="29" t="s">
        <v>277</v>
      </c>
      <c r="D2898" s="31">
        <f>SUMIFS(D2899:D3130,K2899:K3130,"0",B2899:B3130,"5 1 3 7 5 12 31111 6 M78 07000 151 00C 001 37501 015 2112000 2024 00000000*")-SUMIFS(E2899:E3130,K2899:K3130,"0",B2899:B3130,"5 1 3 7 5 12 31111 6 M78 07000 151 00C 001 37501 015 2112000 2024 00000000*")</f>
        <v>0</v>
      </c>
      <c r="E2898"/>
      <c r="F2898" s="31">
        <f>SUMIFS(F2899:F3130,K2899:K3130,"0",B2899:B3130,"5 1 3 7 5 12 31111 6 M78 07000 151 00C 001 37501 015 2112000 2024 00000000*")</f>
        <v>33302.51</v>
      </c>
      <c r="G2898" s="31">
        <f>SUMIFS(G2899:G3130,K2899:K3130,"0",B2899:B3130,"5 1 3 7 5 12 31111 6 M78 07000 151 00C 001 37501 015 2112000 2024 00000000*")</f>
        <v>0</v>
      </c>
      <c r="H2898" s="31">
        <f t="shared" si="46"/>
        <v>33302.51</v>
      </c>
      <c r="I2898" s="31"/>
      <c r="K2898" t="s">
        <v>13</v>
      </c>
    </row>
    <row r="2899" spans="2:11" ht="22" x14ac:dyDescent="0.15">
      <c r="B2899" s="29" t="s">
        <v>3668</v>
      </c>
      <c r="C2899" s="29" t="s">
        <v>32</v>
      </c>
      <c r="D2899" s="31">
        <f>SUMIFS(D2900:D3130,K2900:K3130,"0",B2900:B3130,"5 1 3 7 5 12 31111 6 M78 07000 151 00C 001 37501 015 2112000 2024 00000000 001*")-SUMIFS(E2900:E3130,K2900:K3130,"0",B2900:B3130,"5 1 3 7 5 12 31111 6 M78 07000 151 00C 001 37501 015 2112000 2024 00000000 001*")</f>
        <v>0</v>
      </c>
      <c r="E2899"/>
      <c r="F2899" s="31">
        <f>SUMIFS(F2900:F3130,K2900:K3130,"0",B2900:B3130,"5 1 3 7 5 12 31111 6 M78 07000 151 00C 001 37501 015 2112000 2024 00000000 001*")</f>
        <v>33302.51</v>
      </c>
      <c r="G2899" s="31">
        <f>SUMIFS(G2900:G3130,K2900:K3130,"0",B2900:B3130,"5 1 3 7 5 12 31111 6 M78 07000 151 00C 001 37501 015 2112000 2024 00000000 001*")</f>
        <v>0</v>
      </c>
      <c r="H2899" s="31">
        <f t="shared" si="46"/>
        <v>33302.51</v>
      </c>
      <c r="I2899" s="31"/>
      <c r="K2899" t="s">
        <v>13</v>
      </c>
    </row>
    <row r="2900" spans="2:11" ht="22" x14ac:dyDescent="0.15">
      <c r="B2900" s="27" t="s">
        <v>3669</v>
      </c>
      <c r="C2900" s="27" t="s">
        <v>3670</v>
      </c>
      <c r="D2900" s="30">
        <v>0</v>
      </c>
      <c r="E2900" s="30"/>
      <c r="F2900" s="30">
        <v>33302.51</v>
      </c>
      <c r="G2900" s="30">
        <v>0</v>
      </c>
      <c r="H2900" s="30">
        <f t="shared" si="46"/>
        <v>33302.51</v>
      </c>
      <c r="I2900" s="30"/>
      <c r="K2900" t="s">
        <v>37</v>
      </c>
    </row>
    <row r="2901" spans="2:11" ht="13" x14ac:dyDescent="0.15">
      <c r="B2901" s="29" t="s">
        <v>3671</v>
      </c>
      <c r="C2901" s="29" t="s">
        <v>3672</v>
      </c>
      <c r="D2901" s="31">
        <f>SUMIFS(D2902:D3130,K2902:K3130,"0",B2902:B3130,"5 1 3 8*")-SUMIFS(E2902:E3130,K2902:K3130,"0",B2902:B3130,"5 1 3 8*")</f>
        <v>0</v>
      </c>
      <c r="E2901"/>
      <c r="F2901" s="31">
        <f>SUMIFS(F2902:F3130,K2902:K3130,"0",B2902:B3130,"5 1 3 8*")</f>
        <v>1095135.94</v>
      </c>
      <c r="G2901" s="31">
        <f>SUMIFS(G2902:G3130,K2902:K3130,"0",B2902:B3130,"5 1 3 8*")</f>
        <v>24747.5</v>
      </c>
      <c r="H2901" s="31">
        <f t="shared" si="46"/>
        <v>1070388.44</v>
      </c>
      <c r="I2901" s="31"/>
      <c r="K2901" t="s">
        <v>13</v>
      </c>
    </row>
    <row r="2902" spans="2:11" ht="13" x14ac:dyDescent="0.15">
      <c r="B2902" s="29" t="s">
        <v>3673</v>
      </c>
      <c r="C2902" s="29" t="s">
        <v>3674</v>
      </c>
      <c r="D2902" s="31">
        <f>SUMIFS(D2903:D3130,K2903:K3130,"0",B2903:B3130,"5 1 3 8 2*")-SUMIFS(E2903:E3130,K2903:K3130,"0",B2903:B3130,"5 1 3 8 2*")</f>
        <v>0</v>
      </c>
      <c r="E2902"/>
      <c r="F2902" s="31">
        <f>SUMIFS(F2903:F3130,K2903:K3130,"0",B2903:B3130,"5 1 3 8 2*")</f>
        <v>921923.51</v>
      </c>
      <c r="G2902" s="31">
        <f>SUMIFS(G2903:G3130,K2903:K3130,"0",B2903:B3130,"5 1 3 8 2*")</f>
        <v>10171</v>
      </c>
      <c r="H2902" s="31">
        <f t="shared" si="46"/>
        <v>911752.51</v>
      </c>
      <c r="I2902" s="31"/>
      <c r="K2902" t="s">
        <v>13</v>
      </c>
    </row>
    <row r="2903" spans="2:11" ht="13" x14ac:dyDescent="0.15">
      <c r="B2903" s="29" t="s">
        <v>3675</v>
      </c>
      <c r="C2903" s="29" t="s">
        <v>24</v>
      </c>
      <c r="D2903" s="31">
        <f>SUMIFS(D2904:D3130,K2904:K3130,"0",B2904:B3130,"5 1 3 8 2 12*")-SUMIFS(E2904:E3130,K2904:K3130,"0",B2904:B3130,"5 1 3 8 2 12*")</f>
        <v>0</v>
      </c>
      <c r="E2903"/>
      <c r="F2903" s="31">
        <f>SUMIFS(F2904:F3130,K2904:K3130,"0",B2904:B3130,"5 1 3 8 2 12*")</f>
        <v>921923.51</v>
      </c>
      <c r="G2903" s="31">
        <f>SUMIFS(G2904:G3130,K2904:K3130,"0",B2904:B3130,"5 1 3 8 2 12*")</f>
        <v>10171</v>
      </c>
      <c r="H2903" s="31">
        <f t="shared" si="46"/>
        <v>911752.51</v>
      </c>
      <c r="I2903" s="31"/>
      <c r="K2903" t="s">
        <v>13</v>
      </c>
    </row>
    <row r="2904" spans="2:11" ht="13" x14ac:dyDescent="0.15">
      <c r="B2904" s="29" t="s">
        <v>3676</v>
      </c>
      <c r="C2904" s="29" t="s">
        <v>26</v>
      </c>
      <c r="D2904" s="31">
        <f>SUMIFS(D2905:D3130,K2905:K3130,"0",B2905:B3130,"5 1 3 8 2 12 31111*")-SUMIFS(E2905:E3130,K2905:K3130,"0",B2905:B3130,"5 1 3 8 2 12 31111*")</f>
        <v>0</v>
      </c>
      <c r="E2904"/>
      <c r="F2904" s="31">
        <f>SUMIFS(F2905:F3130,K2905:K3130,"0",B2905:B3130,"5 1 3 8 2 12 31111*")</f>
        <v>921923.51</v>
      </c>
      <c r="G2904" s="31">
        <f>SUMIFS(G2905:G3130,K2905:K3130,"0",B2905:B3130,"5 1 3 8 2 12 31111*")</f>
        <v>10171</v>
      </c>
      <c r="H2904" s="31">
        <f t="shared" si="46"/>
        <v>911752.51</v>
      </c>
      <c r="I2904" s="31"/>
      <c r="K2904" t="s">
        <v>13</v>
      </c>
    </row>
    <row r="2905" spans="2:11" ht="13" x14ac:dyDescent="0.15">
      <c r="B2905" s="29" t="s">
        <v>3677</v>
      </c>
      <c r="C2905" s="29" t="s">
        <v>28</v>
      </c>
      <c r="D2905" s="31">
        <f>SUMIFS(D2906:D3130,K2906:K3130,"0",B2906:B3130,"5 1 3 8 2 12 31111 6*")-SUMIFS(E2906:E3130,K2906:K3130,"0",B2906:B3130,"5 1 3 8 2 12 31111 6*")</f>
        <v>0</v>
      </c>
      <c r="E2905"/>
      <c r="F2905" s="31">
        <f>SUMIFS(F2906:F3130,K2906:K3130,"0",B2906:B3130,"5 1 3 8 2 12 31111 6*")</f>
        <v>921923.51</v>
      </c>
      <c r="G2905" s="31">
        <f>SUMIFS(G2906:G3130,K2906:K3130,"0",B2906:B3130,"5 1 3 8 2 12 31111 6*")</f>
        <v>10171</v>
      </c>
      <c r="H2905" s="31">
        <f t="shared" si="46"/>
        <v>911752.51</v>
      </c>
      <c r="I2905" s="31"/>
      <c r="K2905" t="s">
        <v>13</v>
      </c>
    </row>
    <row r="2906" spans="2:11" ht="13" x14ac:dyDescent="0.15">
      <c r="B2906" s="29" t="s">
        <v>3678</v>
      </c>
      <c r="C2906" s="29" t="s">
        <v>1567</v>
      </c>
      <c r="D2906" s="31">
        <f>SUMIFS(D2907:D3130,K2907:K3130,"0",B2907:B3130,"5 1 3 8 2 12 31111 6 M78*")-SUMIFS(E2907:E3130,K2907:K3130,"0",B2907:B3130,"5 1 3 8 2 12 31111 6 M78*")</f>
        <v>0</v>
      </c>
      <c r="E2906"/>
      <c r="F2906" s="31">
        <f>SUMIFS(F2907:F3130,K2907:K3130,"0",B2907:B3130,"5 1 3 8 2 12 31111 6 M78*")</f>
        <v>921923.51</v>
      </c>
      <c r="G2906" s="31">
        <f>SUMIFS(G2907:G3130,K2907:K3130,"0",B2907:B3130,"5 1 3 8 2 12 31111 6 M78*")</f>
        <v>10171</v>
      </c>
      <c r="H2906" s="31">
        <f t="shared" si="46"/>
        <v>911752.51</v>
      </c>
      <c r="I2906" s="31"/>
      <c r="K2906" t="s">
        <v>13</v>
      </c>
    </row>
    <row r="2907" spans="2:11" ht="13" x14ac:dyDescent="0.15">
      <c r="B2907" s="29" t="s">
        <v>3679</v>
      </c>
      <c r="C2907" s="29" t="s">
        <v>8</v>
      </c>
      <c r="D2907" s="31">
        <f>SUMIFS(D2908:D3130,K2908:K3130,"0",B2908:B3130,"5 1 3 8 2 12 31111 6 M78 07000*")-SUMIFS(E2908:E3130,K2908:K3130,"0",B2908:B3130,"5 1 3 8 2 12 31111 6 M78 07000*")</f>
        <v>0</v>
      </c>
      <c r="E2907"/>
      <c r="F2907" s="31">
        <f>SUMIFS(F2908:F3130,K2908:K3130,"0",B2908:B3130,"5 1 3 8 2 12 31111 6 M78 07000*")</f>
        <v>921923.51</v>
      </c>
      <c r="G2907" s="31">
        <f>SUMIFS(G2908:G3130,K2908:K3130,"0",B2908:B3130,"5 1 3 8 2 12 31111 6 M78 07000*")</f>
        <v>10171</v>
      </c>
      <c r="H2907" s="31">
        <f t="shared" si="46"/>
        <v>911752.51</v>
      </c>
      <c r="I2907" s="31"/>
      <c r="K2907" t="s">
        <v>13</v>
      </c>
    </row>
    <row r="2908" spans="2:11" ht="13" x14ac:dyDescent="0.15">
      <c r="B2908" s="29" t="s">
        <v>3680</v>
      </c>
      <c r="C2908" s="29" t="s">
        <v>588</v>
      </c>
      <c r="D2908" s="31">
        <f>SUMIFS(D2909:D3130,K2909:K3130,"0",B2909:B3130,"5 1 3 8 2 12 31111 6 M78 07000 151*")-SUMIFS(E2909:E3130,K2909:K3130,"0",B2909:B3130,"5 1 3 8 2 12 31111 6 M78 07000 151*")</f>
        <v>0</v>
      </c>
      <c r="E2908"/>
      <c r="F2908" s="31">
        <f>SUMIFS(F2909:F3130,K2909:K3130,"0",B2909:B3130,"5 1 3 8 2 12 31111 6 M78 07000 151*")</f>
        <v>921923.51</v>
      </c>
      <c r="G2908" s="31">
        <f>SUMIFS(G2909:G3130,K2909:K3130,"0",B2909:B3130,"5 1 3 8 2 12 31111 6 M78 07000 151*")</f>
        <v>10171</v>
      </c>
      <c r="H2908" s="31">
        <f t="shared" si="46"/>
        <v>911752.51</v>
      </c>
      <c r="I2908" s="31"/>
      <c r="K2908" t="s">
        <v>13</v>
      </c>
    </row>
    <row r="2909" spans="2:11" ht="13" x14ac:dyDescent="0.15">
      <c r="B2909" s="29" t="s">
        <v>3681</v>
      </c>
      <c r="C2909" s="29" t="s">
        <v>265</v>
      </c>
      <c r="D2909" s="31">
        <f>SUMIFS(D2910:D3130,K2910:K3130,"0",B2910:B3130,"5 1 3 8 2 12 31111 6 M78 07000 151 00C*")-SUMIFS(E2910:E3130,K2910:K3130,"0",B2910:B3130,"5 1 3 8 2 12 31111 6 M78 07000 151 00C*")</f>
        <v>0</v>
      </c>
      <c r="E2909"/>
      <c r="F2909" s="31">
        <f>SUMIFS(F2910:F3130,K2910:K3130,"0",B2910:B3130,"5 1 3 8 2 12 31111 6 M78 07000 151 00C*")</f>
        <v>921923.51</v>
      </c>
      <c r="G2909" s="31">
        <f>SUMIFS(G2910:G3130,K2910:K3130,"0",B2910:B3130,"5 1 3 8 2 12 31111 6 M78 07000 151 00C*")</f>
        <v>10171</v>
      </c>
      <c r="H2909" s="31">
        <f t="shared" si="46"/>
        <v>911752.51</v>
      </c>
      <c r="I2909" s="31"/>
      <c r="K2909" t="s">
        <v>13</v>
      </c>
    </row>
    <row r="2910" spans="2:11" ht="13" x14ac:dyDescent="0.15">
      <c r="B2910" s="29" t="s">
        <v>3682</v>
      </c>
      <c r="C2910" s="29" t="s">
        <v>32</v>
      </c>
      <c r="D2910" s="31">
        <f>SUMIFS(D2911:D3130,K2911:K3130,"0",B2911:B3130,"5 1 3 8 2 12 31111 6 M78 07000 151 00C 001*")-SUMIFS(E2911:E3130,K2911:K3130,"0",B2911:B3130,"5 1 3 8 2 12 31111 6 M78 07000 151 00C 001*")</f>
        <v>0</v>
      </c>
      <c r="E2910"/>
      <c r="F2910" s="31">
        <f>SUMIFS(F2911:F3130,K2911:K3130,"0",B2911:B3130,"5 1 3 8 2 12 31111 6 M78 07000 151 00C 001*")</f>
        <v>921923.51</v>
      </c>
      <c r="G2910" s="31">
        <f>SUMIFS(G2911:G3130,K2911:K3130,"0",B2911:B3130,"5 1 3 8 2 12 31111 6 M78 07000 151 00C 001*")</f>
        <v>10171</v>
      </c>
      <c r="H2910" s="31">
        <f t="shared" si="46"/>
        <v>911752.51</v>
      </c>
      <c r="I2910" s="31"/>
      <c r="K2910" t="s">
        <v>13</v>
      </c>
    </row>
    <row r="2911" spans="2:11" ht="13" x14ac:dyDescent="0.15">
      <c r="B2911" s="29" t="s">
        <v>3683</v>
      </c>
      <c r="C2911" s="29" t="s">
        <v>3684</v>
      </c>
      <c r="D2911" s="31">
        <f>SUMIFS(D2912:D3130,K2912:K3130,"0",B2912:B3130,"5 1 3 8 2 12 31111 6 M78 07000 151 00C 001 38201*")-SUMIFS(E2912:E3130,K2912:K3130,"0",B2912:B3130,"5 1 3 8 2 12 31111 6 M78 07000 151 00C 001 38201*")</f>
        <v>0</v>
      </c>
      <c r="E2911"/>
      <c r="F2911" s="31">
        <f>SUMIFS(F2912:F3130,K2912:K3130,"0",B2912:B3130,"5 1 3 8 2 12 31111 6 M78 07000 151 00C 001 38201*")</f>
        <v>921923.51</v>
      </c>
      <c r="G2911" s="31">
        <f>SUMIFS(G2912:G3130,K2912:K3130,"0",B2912:B3130,"5 1 3 8 2 12 31111 6 M78 07000 151 00C 001 38201*")</f>
        <v>10171</v>
      </c>
      <c r="H2911" s="31">
        <f t="shared" si="46"/>
        <v>911752.51</v>
      </c>
      <c r="I2911" s="31"/>
      <c r="K2911" t="s">
        <v>13</v>
      </c>
    </row>
    <row r="2912" spans="2:11" ht="22" x14ac:dyDescent="0.15">
      <c r="B2912" s="29" t="s">
        <v>3685</v>
      </c>
      <c r="C2912" s="29" t="s">
        <v>271</v>
      </c>
      <c r="D2912" s="31">
        <f>SUMIFS(D2913:D3130,K2913:K3130,"0",B2913:B3130,"5 1 3 8 2 12 31111 6 M78 07000 151 00C 001 38201 015*")-SUMIFS(E2913:E3130,K2913:K3130,"0",B2913:B3130,"5 1 3 8 2 12 31111 6 M78 07000 151 00C 001 38201 015*")</f>
        <v>0</v>
      </c>
      <c r="E2912"/>
      <c r="F2912" s="31">
        <f>SUMIFS(F2913:F3130,K2913:K3130,"0",B2913:B3130,"5 1 3 8 2 12 31111 6 M78 07000 151 00C 001 38201 015*")</f>
        <v>921923.51</v>
      </c>
      <c r="G2912" s="31">
        <f>SUMIFS(G2913:G3130,K2913:K3130,"0",B2913:B3130,"5 1 3 8 2 12 31111 6 M78 07000 151 00C 001 38201 015*")</f>
        <v>10171</v>
      </c>
      <c r="H2912" s="31">
        <f t="shared" si="46"/>
        <v>911752.51</v>
      </c>
      <c r="I2912" s="31"/>
      <c r="K2912" t="s">
        <v>13</v>
      </c>
    </row>
    <row r="2913" spans="2:11" ht="22" x14ac:dyDescent="0.15">
      <c r="B2913" s="29" t="s">
        <v>3686</v>
      </c>
      <c r="C2913" s="29" t="s">
        <v>595</v>
      </c>
      <c r="D2913" s="31">
        <f>SUMIFS(D2914:D3130,K2914:K3130,"0",B2914:B3130,"5 1 3 8 2 12 31111 6 M78 07000 151 00C 001 38201 015 2112000*")-SUMIFS(E2914:E3130,K2914:K3130,"0",B2914:B3130,"5 1 3 8 2 12 31111 6 M78 07000 151 00C 001 38201 015 2112000*")</f>
        <v>0</v>
      </c>
      <c r="E2913"/>
      <c r="F2913" s="31">
        <f>SUMIFS(F2914:F3130,K2914:K3130,"0",B2914:B3130,"5 1 3 8 2 12 31111 6 M78 07000 151 00C 001 38201 015 2112000*")</f>
        <v>921923.51</v>
      </c>
      <c r="G2913" s="31">
        <f>SUMIFS(G2914:G3130,K2914:K3130,"0",B2914:B3130,"5 1 3 8 2 12 31111 6 M78 07000 151 00C 001 38201 015 2112000*")</f>
        <v>10171</v>
      </c>
      <c r="H2913" s="31">
        <f t="shared" si="46"/>
        <v>911752.51</v>
      </c>
      <c r="I2913" s="31"/>
      <c r="K2913" t="s">
        <v>13</v>
      </c>
    </row>
    <row r="2914" spans="2:11" ht="22" x14ac:dyDescent="0.15">
      <c r="B2914" s="29" t="s">
        <v>3687</v>
      </c>
      <c r="C2914" s="29" t="s">
        <v>275</v>
      </c>
      <c r="D2914" s="31">
        <f>SUMIFS(D2915:D3130,K2915:K3130,"0",B2915:B3130,"5 1 3 8 2 12 31111 6 M78 07000 151 00C 001 38201 015 2112000 2024*")-SUMIFS(E2915:E3130,K2915:K3130,"0",B2915:B3130,"5 1 3 8 2 12 31111 6 M78 07000 151 00C 001 38201 015 2112000 2024*")</f>
        <v>0</v>
      </c>
      <c r="E2914"/>
      <c r="F2914" s="31">
        <f>SUMIFS(F2915:F3130,K2915:K3130,"0",B2915:B3130,"5 1 3 8 2 12 31111 6 M78 07000 151 00C 001 38201 015 2112000 2024*")</f>
        <v>921923.51</v>
      </c>
      <c r="G2914" s="31">
        <f>SUMIFS(G2915:G3130,K2915:K3130,"0",B2915:B3130,"5 1 3 8 2 12 31111 6 M78 07000 151 00C 001 38201 015 2112000 2024*")</f>
        <v>10171</v>
      </c>
      <c r="H2914" s="31">
        <f t="shared" si="46"/>
        <v>911752.51</v>
      </c>
      <c r="I2914" s="31"/>
      <c r="K2914" t="s">
        <v>13</v>
      </c>
    </row>
    <row r="2915" spans="2:11" ht="22" x14ac:dyDescent="0.15">
      <c r="B2915" s="29" t="s">
        <v>3688</v>
      </c>
      <c r="C2915" s="29" t="s">
        <v>277</v>
      </c>
      <c r="D2915" s="31">
        <f>SUMIFS(D2916:D3130,K2916:K3130,"0",B2916:B3130,"5 1 3 8 2 12 31111 6 M78 07000 151 00C 001 38201 015 2112000 2024 00000000*")-SUMIFS(E2916:E3130,K2916:K3130,"0",B2916:B3130,"5 1 3 8 2 12 31111 6 M78 07000 151 00C 001 38201 015 2112000 2024 00000000*")</f>
        <v>0</v>
      </c>
      <c r="E2915"/>
      <c r="F2915" s="31">
        <f>SUMIFS(F2916:F3130,K2916:K3130,"0",B2916:B3130,"5 1 3 8 2 12 31111 6 M78 07000 151 00C 001 38201 015 2112000 2024 00000000*")</f>
        <v>921923.51</v>
      </c>
      <c r="G2915" s="31">
        <f>SUMIFS(G2916:G3130,K2916:K3130,"0",B2916:B3130,"5 1 3 8 2 12 31111 6 M78 07000 151 00C 001 38201 015 2112000 2024 00000000*")</f>
        <v>10171</v>
      </c>
      <c r="H2915" s="31">
        <f t="shared" si="46"/>
        <v>911752.51</v>
      </c>
      <c r="I2915" s="31"/>
      <c r="K2915" t="s">
        <v>13</v>
      </c>
    </row>
    <row r="2916" spans="2:11" ht="22" x14ac:dyDescent="0.15">
      <c r="B2916" s="29" t="s">
        <v>3689</v>
      </c>
      <c r="C2916" s="29" t="s">
        <v>32</v>
      </c>
      <c r="D2916" s="31">
        <f>SUMIFS(D2917:D3130,K2917:K3130,"0",B2917:B3130,"5 1 3 8 2 12 31111 6 M78 07000 151 00C 001 38201 015 2112000 2024 00000000 001*")-SUMIFS(E2917:E3130,K2917:K3130,"0",B2917:B3130,"5 1 3 8 2 12 31111 6 M78 07000 151 00C 001 38201 015 2112000 2024 00000000 001*")</f>
        <v>0</v>
      </c>
      <c r="E2916"/>
      <c r="F2916" s="31">
        <f>SUMIFS(F2917:F3130,K2917:K3130,"0",B2917:B3130,"5 1 3 8 2 12 31111 6 M78 07000 151 00C 001 38201 015 2112000 2024 00000000 001*")</f>
        <v>921923.51</v>
      </c>
      <c r="G2916" s="31">
        <f>SUMIFS(G2917:G3130,K2917:K3130,"0",B2917:B3130,"5 1 3 8 2 12 31111 6 M78 07000 151 00C 001 38201 015 2112000 2024 00000000 001*")</f>
        <v>10171</v>
      </c>
      <c r="H2916" s="31">
        <f t="shared" si="46"/>
        <v>911752.51</v>
      </c>
      <c r="I2916" s="31"/>
      <c r="K2916" t="s">
        <v>13</v>
      </c>
    </row>
    <row r="2917" spans="2:11" ht="22" x14ac:dyDescent="0.15">
      <c r="B2917" s="27" t="s">
        <v>3690</v>
      </c>
      <c r="C2917" s="27" t="s">
        <v>3691</v>
      </c>
      <c r="D2917" s="30">
        <v>0</v>
      </c>
      <c r="E2917" s="30"/>
      <c r="F2917" s="30">
        <v>921923.51</v>
      </c>
      <c r="G2917" s="30">
        <v>10171</v>
      </c>
      <c r="H2917" s="30">
        <f t="shared" si="46"/>
        <v>911752.51</v>
      </c>
      <c r="I2917" s="30"/>
      <c r="K2917" t="s">
        <v>37</v>
      </c>
    </row>
    <row r="2918" spans="2:11" ht="13" x14ac:dyDescent="0.15">
      <c r="B2918" s="29" t="s">
        <v>3692</v>
      </c>
      <c r="C2918" s="29" t="s">
        <v>3693</v>
      </c>
      <c r="D2918" s="31">
        <f>SUMIFS(D2919:D3130,K2919:K3130,"0",B2919:B3130,"5 1 3 8 5*")-SUMIFS(E2919:E3130,K2919:K3130,"0",B2919:B3130,"5 1 3 8 5*")</f>
        <v>0</v>
      </c>
      <c r="E2918"/>
      <c r="F2918" s="31">
        <f>SUMIFS(F2919:F3130,K2919:K3130,"0",B2919:B3130,"5 1 3 8 5*")</f>
        <v>173212.43</v>
      </c>
      <c r="G2918" s="31">
        <f>SUMIFS(G2919:G3130,K2919:K3130,"0",B2919:B3130,"5 1 3 8 5*")</f>
        <v>14576.5</v>
      </c>
      <c r="H2918" s="31">
        <f t="shared" si="46"/>
        <v>158635.93</v>
      </c>
      <c r="I2918" s="31"/>
      <c r="K2918" t="s">
        <v>13</v>
      </c>
    </row>
    <row r="2919" spans="2:11" ht="13" x14ac:dyDescent="0.15">
      <c r="B2919" s="29" t="s">
        <v>3694</v>
      </c>
      <c r="C2919" s="29" t="s">
        <v>24</v>
      </c>
      <c r="D2919" s="31">
        <f>SUMIFS(D2920:D3130,K2920:K3130,"0",B2920:B3130,"5 1 3 8 5 12*")-SUMIFS(E2920:E3130,K2920:K3130,"0",B2920:B3130,"5 1 3 8 5 12*")</f>
        <v>0</v>
      </c>
      <c r="E2919"/>
      <c r="F2919" s="31">
        <f>SUMIFS(F2920:F3130,K2920:K3130,"0",B2920:B3130,"5 1 3 8 5 12*")</f>
        <v>173212.43</v>
      </c>
      <c r="G2919" s="31">
        <f>SUMIFS(G2920:G3130,K2920:K3130,"0",B2920:B3130,"5 1 3 8 5 12*")</f>
        <v>14576.5</v>
      </c>
      <c r="H2919" s="31">
        <f t="shared" si="46"/>
        <v>158635.93</v>
      </c>
      <c r="I2919" s="31"/>
      <c r="K2919" t="s">
        <v>13</v>
      </c>
    </row>
    <row r="2920" spans="2:11" ht="13" x14ac:dyDescent="0.15">
      <c r="B2920" s="29" t="s">
        <v>3695</v>
      </c>
      <c r="C2920" s="29" t="s">
        <v>26</v>
      </c>
      <c r="D2920" s="31">
        <f>SUMIFS(D2921:D3130,K2921:K3130,"0",B2921:B3130,"5 1 3 8 5 12 31111*")-SUMIFS(E2921:E3130,K2921:K3130,"0",B2921:B3130,"5 1 3 8 5 12 31111*")</f>
        <v>0</v>
      </c>
      <c r="E2920"/>
      <c r="F2920" s="31">
        <f>SUMIFS(F2921:F3130,K2921:K3130,"0",B2921:B3130,"5 1 3 8 5 12 31111*")</f>
        <v>173212.43</v>
      </c>
      <c r="G2920" s="31">
        <f>SUMIFS(G2921:G3130,K2921:K3130,"0",B2921:B3130,"5 1 3 8 5 12 31111*")</f>
        <v>14576.5</v>
      </c>
      <c r="H2920" s="31">
        <f t="shared" si="46"/>
        <v>158635.93</v>
      </c>
      <c r="I2920" s="31"/>
      <c r="K2920" t="s">
        <v>13</v>
      </c>
    </row>
    <row r="2921" spans="2:11" ht="13" x14ac:dyDescent="0.15">
      <c r="B2921" s="29" t="s">
        <v>3696</v>
      </c>
      <c r="C2921" s="29" t="s">
        <v>28</v>
      </c>
      <c r="D2921" s="31">
        <f>SUMIFS(D2922:D3130,K2922:K3130,"0",B2922:B3130,"5 1 3 8 5 12 31111 6*")-SUMIFS(E2922:E3130,K2922:K3130,"0",B2922:B3130,"5 1 3 8 5 12 31111 6*")</f>
        <v>0</v>
      </c>
      <c r="E2921"/>
      <c r="F2921" s="31">
        <f>SUMIFS(F2922:F3130,K2922:K3130,"0",B2922:B3130,"5 1 3 8 5 12 31111 6*")</f>
        <v>173212.43</v>
      </c>
      <c r="G2921" s="31">
        <f>SUMIFS(G2922:G3130,K2922:K3130,"0",B2922:B3130,"5 1 3 8 5 12 31111 6*")</f>
        <v>14576.5</v>
      </c>
      <c r="H2921" s="31">
        <f t="shared" si="46"/>
        <v>158635.93</v>
      </c>
      <c r="I2921" s="31"/>
      <c r="K2921" t="s">
        <v>13</v>
      </c>
    </row>
    <row r="2922" spans="2:11" ht="13" x14ac:dyDescent="0.15">
      <c r="B2922" s="29" t="s">
        <v>3697</v>
      </c>
      <c r="C2922" s="29" t="s">
        <v>1567</v>
      </c>
      <c r="D2922" s="31">
        <f>SUMIFS(D2923:D3130,K2923:K3130,"0",B2923:B3130,"5 1 3 8 5 12 31111 6 M78*")-SUMIFS(E2923:E3130,K2923:K3130,"0",B2923:B3130,"5 1 3 8 5 12 31111 6 M78*")</f>
        <v>0</v>
      </c>
      <c r="E2922"/>
      <c r="F2922" s="31">
        <f>SUMIFS(F2923:F3130,K2923:K3130,"0",B2923:B3130,"5 1 3 8 5 12 31111 6 M78*")</f>
        <v>173212.43</v>
      </c>
      <c r="G2922" s="31">
        <f>SUMIFS(G2923:G3130,K2923:K3130,"0",B2923:B3130,"5 1 3 8 5 12 31111 6 M78*")</f>
        <v>14576.5</v>
      </c>
      <c r="H2922" s="31">
        <f t="shared" si="46"/>
        <v>158635.93</v>
      </c>
      <c r="I2922" s="31"/>
      <c r="K2922" t="s">
        <v>13</v>
      </c>
    </row>
    <row r="2923" spans="2:11" ht="13" x14ac:dyDescent="0.15">
      <c r="B2923" s="29" t="s">
        <v>3698</v>
      </c>
      <c r="C2923" s="29" t="s">
        <v>8</v>
      </c>
      <c r="D2923" s="31">
        <f>SUMIFS(D2924:D3130,K2924:K3130,"0",B2924:B3130,"5 1 3 8 5 12 31111 6 M78 07000*")-SUMIFS(E2924:E3130,K2924:K3130,"0",B2924:B3130,"5 1 3 8 5 12 31111 6 M78 07000*")</f>
        <v>0</v>
      </c>
      <c r="E2923"/>
      <c r="F2923" s="31">
        <f>SUMIFS(F2924:F3130,K2924:K3130,"0",B2924:B3130,"5 1 3 8 5 12 31111 6 M78 07000*")</f>
        <v>173212.43</v>
      </c>
      <c r="G2923" s="31">
        <f>SUMIFS(G2924:G3130,K2924:K3130,"0",B2924:B3130,"5 1 3 8 5 12 31111 6 M78 07000*")</f>
        <v>14576.5</v>
      </c>
      <c r="H2923" s="31">
        <f t="shared" si="46"/>
        <v>158635.93</v>
      </c>
      <c r="I2923" s="31"/>
      <c r="K2923" t="s">
        <v>13</v>
      </c>
    </row>
    <row r="2924" spans="2:11" ht="13" x14ac:dyDescent="0.15">
      <c r="B2924" s="29" t="s">
        <v>3699</v>
      </c>
      <c r="C2924" s="29" t="s">
        <v>588</v>
      </c>
      <c r="D2924" s="31">
        <f>SUMIFS(D2925:D3130,K2925:K3130,"0",B2925:B3130,"5 1 3 8 5 12 31111 6 M78 07000 151*")-SUMIFS(E2925:E3130,K2925:K3130,"0",B2925:B3130,"5 1 3 8 5 12 31111 6 M78 07000 151*")</f>
        <v>0</v>
      </c>
      <c r="E2924"/>
      <c r="F2924" s="31">
        <f>SUMIFS(F2925:F3130,K2925:K3130,"0",B2925:B3130,"5 1 3 8 5 12 31111 6 M78 07000 151*")</f>
        <v>173212.43</v>
      </c>
      <c r="G2924" s="31">
        <f>SUMIFS(G2925:G3130,K2925:K3130,"0",B2925:B3130,"5 1 3 8 5 12 31111 6 M78 07000 151*")</f>
        <v>14576.5</v>
      </c>
      <c r="H2924" s="31">
        <f t="shared" si="46"/>
        <v>158635.93</v>
      </c>
      <c r="I2924" s="31"/>
      <c r="K2924" t="s">
        <v>13</v>
      </c>
    </row>
    <row r="2925" spans="2:11" ht="13" x14ac:dyDescent="0.15">
      <c r="B2925" s="29" t="s">
        <v>3700</v>
      </c>
      <c r="C2925" s="29" t="s">
        <v>265</v>
      </c>
      <c r="D2925" s="31">
        <f>SUMIFS(D2926:D3130,K2926:K3130,"0",B2926:B3130,"5 1 3 8 5 12 31111 6 M78 07000 151 00C*")-SUMIFS(E2926:E3130,K2926:K3130,"0",B2926:B3130,"5 1 3 8 5 12 31111 6 M78 07000 151 00C*")</f>
        <v>0</v>
      </c>
      <c r="E2925"/>
      <c r="F2925" s="31">
        <f>SUMIFS(F2926:F3130,K2926:K3130,"0",B2926:B3130,"5 1 3 8 5 12 31111 6 M78 07000 151 00C*")</f>
        <v>173212.43</v>
      </c>
      <c r="G2925" s="31">
        <f>SUMIFS(G2926:G3130,K2926:K3130,"0",B2926:B3130,"5 1 3 8 5 12 31111 6 M78 07000 151 00C*")</f>
        <v>14576.5</v>
      </c>
      <c r="H2925" s="31">
        <f t="shared" si="46"/>
        <v>158635.93</v>
      </c>
      <c r="I2925" s="31"/>
      <c r="K2925" t="s">
        <v>13</v>
      </c>
    </row>
    <row r="2926" spans="2:11" ht="13" x14ac:dyDescent="0.15">
      <c r="B2926" s="29" t="s">
        <v>3701</v>
      </c>
      <c r="C2926" s="29" t="s">
        <v>32</v>
      </c>
      <c r="D2926" s="31">
        <f>SUMIFS(D2927:D3130,K2927:K3130,"0",B2927:B3130,"5 1 3 8 5 12 31111 6 M78 07000 151 00C 001*")-SUMIFS(E2927:E3130,K2927:K3130,"0",B2927:B3130,"5 1 3 8 5 12 31111 6 M78 07000 151 00C 001*")</f>
        <v>0</v>
      </c>
      <c r="E2926"/>
      <c r="F2926" s="31">
        <f>SUMIFS(F2927:F3130,K2927:K3130,"0",B2927:B3130,"5 1 3 8 5 12 31111 6 M78 07000 151 00C 001*")</f>
        <v>173212.43</v>
      </c>
      <c r="G2926" s="31">
        <f>SUMIFS(G2927:G3130,K2927:K3130,"0",B2927:B3130,"5 1 3 8 5 12 31111 6 M78 07000 151 00C 001*")</f>
        <v>14576.5</v>
      </c>
      <c r="H2926" s="31">
        <f t="shared" si="46"/>
        <v>158635.93</v>
      </c>
      <c r="I2926" s="31"/>
      <c r="K2926" t="s">
        <v>13</v>
      </c>
    </row>
    <row r="2927" spans="2:11" ht="13" x14ac:dyDescent="0.15">
      <c r="B2927" s="29" t="s">
        <v>3702</v>
      </c>
      <c r="C2927" s="29" t="s">
        <v>3703</v>
      </c>
      <c r="D2927" s="31">
        <f>SUMIFS(D2928:D3130,K2928:K3130,"0",B2928:B3130,"5 1 3 8 5 12 31111 6 M78 07000 151 00C 001 38501*")-SUMIFS(E2928:E3130,K2928:K3130,"0",B2928:B3130,"5 1 3 8 5 12 31111 6 M78 07000 151 00C 001 38501*")</f>
        <v>0</v>
      </c>
      <c r="E2927"/>
      <c r="F2927" s="31">
        <f>SUMIFS(F2928:F3130,K2928:K3130,"0",B2928:B3130,"5 1 3 8 5 12 31111 6 M78 07000 151 00C 001 38501*")</f>
        <v>173212.43</v>
      </c>
      <c r="G2927" s="31">
        <f>SUMIFS(G2928:G3130,K2928:K3130,"0",B2928:B3130,"5 1 3 8 5 12 31111 6 M78 07000 151 00C 001 38501*")</f>
        <v>14576.5</v>
      </c>
      <c r="H2927" s="31">
        <f t="shared" si="46"/>
        <v>158635.93</v>
      </c>
      <c r="I2927" s="31"/>
      <c r="K2927" t="s">
        <v>13</v>
      </c>
    </row>
    <row r="2928" spans="2:11" ht="22" x14ac:dyDescent="0.15">
      <c r="B2928" s="29" t="s">
        <v>3704</v>
      </c>
      <c r="C2928" s="29" t="s">
        <v>271</v>
      </c>
      <c r="D2928" s="31">
        <f>SUMIFS(D2929:D3130,K2929:K3130,"0",B2929:B3130,"5 1 3 8 5 12 31111 6 M78 07000 151 00C 001 38501 015*")-SUMIFS(E2929:E3130,K2929:K3130,"0",B2929:B3130,"5 1 3 8 5 12 31111 6 M78 07000 151 00C 001 38501 015*")</f>
        <v>0</v>
      </c>
      <c r="E2928"/>
      <c r="F2928" s="31">
        <f>SUMIFS(F2929:F3130,K2929:K3130,"0",B2929:B3130,"5 1 3 8 5 12 31111 6 M78 07000 151 00C 001 38501 015*")</f>
        <v>173212.43</v>
      </c>
      <c r="G2928" s="31">
        <f>SUMIFS(G2929:G3130,K2929:K3130,"0",B2929:B3130,"5 1 3 8 5 12 31111 6 M78 07000 151 00C 001 38501 015*")</f>
        <v>14576.5</v>
      </c>
      <c r="H2928" s="31">
        <f t="shared" si="46"/>
        <v>158635.93</v>
      </c>
      <c r="I2928" s="31"/>
      <c r="K2928" t="s">
        <v>13</v>
      </c>
    </row>
    <row r="2929" spans="2:11" ht="22" x14ac:dyDescent="0.15">
      <c r="B2929" s="29" t="s">
        <v>3705</v>
      </c>
      <c r="C2929" s="29" t="s">
        <v>595</v>
      </c>
      <c r="D2929" s="31">
        <f>SUMIFS(D2930:D3130,K2930:K3130,"0",B2930:B3130,"5 1 3 8 5 12 31111 6 M78 07000 151 00C 001 38501 015 2112000*")-SUMIFS(E2930:E3130,K2930:K3130,"0",B2930:B3130,"5 1 3 8 5 12 31111 6 M78 07000 151 00C 001 38501 015 2112000*")</f>
        <v>0</v>
      </c>
      <c r="E2929"/>
      <c r="F2929" s="31">
        <f>SUMIFS(F2930:F3130,K2930:K3130,"0",B2930:B3130,"5 1 3 8 5 12 31111 6 M78 07000 151 00C 001 38501 015 2112000*")</f>
        <v>173212.43</v>
      </c>
      <c r="G2929" s="31">
        <f>SUMIFS(G2930:G3130,K2930:K3130,"0",B2930:B3130,"5 1 3 8 5 12 31111 6 M78 07000 151 00C 001 38501 015 2112000*")</f>
        <v>14576.5</v>
      </c>
      <c r="H2929" s="31">
        <f t="shared" si="46"/>
        <v>158635.93</v>
      </c>
      <c r="I2929" s="31"/>
      <c r="K2929" t="s">
        <v>13</v>
      </c>
    </row>
    <row r="2930" spans="2:11" ht="22" x14ac:dyDescent="0.15">
      <c r="B2930" s="29" t="s">
        <v>3706</v>
      </c>
      <c r="C2930" s="29" t="s">
        <v>275</v>
      </c>
      <c r="D2930" s="31">
        <f>SUMIFS(D2931:D3130,K2931:K3130,"0",B2931:B3130,"5 1 3 8 5 12 31111 6 M78 07000 151 00C 001 38501 015 2112000 2024*")-SUMIFS(E2931:E3130,K2931:K3130,"0",B2931:B3130,"5 1 3 8 5 12 31111 6 M78 07000 151 00C 001 38501 015 2112000 2024*")</f>
        <v>0</v>
      </c>
      <c r="E2930"/>
      <c r="F2930" s="31">
        <f>SUMIFS(F2931:F3130,K2931:K3130,"0",B2931:B3130,"5 1 3 8 5 12 31111 6 M78 07000 151 00C 001 38501 015 2112000 2024*")</f>
        <v>173212.43</v>
      </c>
      <c r="G2930" s="31">
        <f>SUMIFS(G2931:G3130,K2931:K3130,"0",B2931:B3130,"5 1 3 8 5 12 31111 6 M78 07000 151 00C 001 38501 015 2112000 2024*")</f>
        <v>14576.5</v>
      </c>
      <c r="H2930" s="31">
        <f t="shared" si="46"/>
        <v>158635.93</v>
      </c>
      <c r="I2930" s="31"/>
      <c r="K2930" t="s">
        <v>13</v>
      </c>
    </row>
    <row r="2931" spans="2:11" ht="22" x14ac:dyDescent="0.15">
      <c r="B2931" s="29" t="s">
        <v>3707</v>
      </c>
      <c r="C2931" s="29" t="s">
        <v>277</v>
      </c>
      <c r="D2931" s="31">
        <f>SUMIFS(D2932:D3130,K2932:K3130,"0",B2932:B3130,"5 1 3 8 5 12 31111 6 M78 07000 151 00C 001 38501 015 2112000 2024 00000000*")-SUMIFS(E2932:E3130,K2932:K3130,"0",B2932:B3130,"5 1 3 8 5 12 31111 6 M78 07000 151 00C 001 38501 015 2112000 2024 00000000*")</f>
        <v>0</v>
      </c>
      <c r="E2931"/>
      <c r="F2931" s="31">
        <f>SUMIFS(F2932:F3130,K2932:K3130,"0",B2932:B3130,"5 1 3 8 5 12 31111 6 M78 07000 151 00C 001 38501 015 2112000 2024 00000000*")</f>
        <v>173212.43</v>
      </c>
      <c r="G2931" s="31">
        <f>SUMIFS(G2932:G3130,K2932:K3130,"0",B2932:B3130,"5 1 3 8 5 12 31111 6 M78 07000 151 00C 001 38501 015 2112000 2024 00000000*")</f>
        <v>14576.5</v>
      </c>
      <c r="H2931" s="31">
        <f t="shared" si="46"/>
        <v>158635.93</v>
      </c>
      <c r="I2931" s="31"/>
      <c r="K2931" t="s">
        <v>13</v>
      </c>
    </row>
    <row r="2932" spans="2:11" ht="22" x14ac:dyDescent="0.15">
      <c r="B2932" s="29" t="s">
        <v>3708</v>
      </c>
      <c r="C2932" s="29" t="s">
        <v>32</v>
      </c>
      <c r="D2932" s="31">
        <f>SUMIFS(D2933:D3130,K2933:K3130,"0",B2933:B3130,"5 1 3 8 5 12 31111 6 M78 07000 151 00C 001 38501 015 2112000 2024 00000000 001*")-SUMIFS(E2933:E3130,K2933:K3130,"0",B2933:B3130,"5 1 3 8 5 12 31111 6 M78 07000 151 00C 001 38501 015 2112000 2024 00000000 001*")</f>
        <v>0</v>
      </c>
      <c r="E2932"/>
      <c r="F2932" s="31">
        <f>SUMIFS(F2933:F3130,K2933:K3130,"0",B2933:B3130,"5 1 3 8 5 12 31111 6 M78 07000 151 00C 001 38501 015 2112000 2024 00000000 001*")</f>
        <v>173212.43</v>
      </c>
      <c r="G2932" s="31">
        <f>SUMIFS(G2933:G3130,K2933:K3130,"0",B2933:B3130,"5 1 3 8 5 12 31111 6 M78 07000 151 00C 001 38501 015 2112000 2024 00000000 001*")</f>
        <v>14576.5</v>
      </c>
      <c r="H2932" s="31">
        <f t="shared" si="46"/>
        <v>158635.93</v>
      </c>
      <c r="I2932" s="31"/>
      <c r="K2932" t="s">
        <v>13</v>
      </c>
    </row>
    <row r="2933" spans="2:11" ht="22" x14ac:dyDescent="0.15">
      <c r="B2933" s="27" t="s">
        <v>3709</v>
      </c>
      <c r="C2933" s="27" t="s">
        <v>3710</v>
      </c>
      <c r="D2933" s="30">
        <v>0</v>
      </c>
      <c r="E2933" s="30"/>
      <c r="F2933" s="30">
        <v>173212.43</v>
      </c>
      <c r="G2933" s="30">
        <v>14576.5</v>
      </c>
      <c r="H2933" s="30">
        <f t="shared" si="46"/>
        <v>158635.93</v>
      </c>
      <c r="I2933" s="30"/>
      <c r="K2933" t="s">
        <v>37</v>
      </c>
    </row>
    <row r="2934" spans="2:11" ht="13" x14ac:dyDescent="0.15">
      <c r="B2934" s="29" t="s">
        <v>3711</v>
      </c>
      <c r="C2934" s="29" t="s">
        <v>3712</v>
      </c>
      <c r="D2934" s="31">
        <f>SUMIFS(D2935:D3130,K2935:K3130,"0",B2935:B3130,"5 1 3 9*")-SUMIFS(E2935:E3130,K2935:K3130,"0",B2935:B3130,"5 1 3 9*")</f>
        <v>0</v>
      </c>
      <c r="E2934"/>
      <c r="F2934" s="31">
        <f>SUMIFS(F2935:F3130,K2935:K3130,"0",B2935:B3130,"5 1 3 9*")</f>
        <v>647823</v>
      </c>
      <c r="G2934" s="31">
        <f>SUMIFS(G2935:G3130,K2935:K3130,"0",B2935:B3130,"5 1 3 9*")</f>
        <v>0</v>
      </c>
      <c r="H2934" s="31">
        <f t="shared" si="46"/>
        <v>647823</v>
      </c>
      <c r="I2934" s="31"/>
      <c r="K2934" t="s">
        <v>13</v>
      </c>
    </row>
    <row r="2935" spans="2:11" ht="13" x14ac:dyDescent="0.15">
      <c r="B2935" s="29" t="s">
        <v>3713</v>
      </c>
      <c r="C2935" s="29" t="s">
        <v>3714</v>
      </c>
      <c r="D2935" s="31">
        <f>SUMIFS(D2936:D3130,K2936:K3130,"0",B2936:B3130,"5 1 3 9 2*")-SUMIFS(E2936:E3130,K2936:K3130,"0",B2936:B3130,"5 1 3 9 2*")</f>
        <v>0</v>
      </c>
      <c r="E2935"/>
      <c r="F2935" s="31">
        <f>SUMIFS(F2936:F3130,K2936:K3130,"0",B2936:B3130,"5 1 3 9 2*")</f>
        <v>17657</v>
      </c>
      <c r="G2935" s="31">
        <f>SUMIFS(G2936:G3130,K2936:K3130,"0",B2936:B3130,"5 1 3 9 2*")</f>
        <v>0</v>
      </c>
      <c r="H2935" s="31">
        <f t="shared" si="46"/>
        <v>17657</v>
      </c>
      <c r="I2935" s="31"/>
      <c r="K2935" t="s">
        <v>13</v>
      </c>
    </row>
    <row r="2936" spans="2:11" ht="13" x14ac:dyDescent="0.15">
      <c r="B2936" s="29" t="s">
        <v>3715</v>
      </c>
      <c r="C2936" s="29" t="s">
        <v>24</v>
      </c>
      <c r="D2936" s="31">
        <f>SUMIFS(D2937:D3130,K2937:K3130,"0",B2937:B3130,"5 1 3 9 2 12*")-SUMIFS(E2937:E3130,K2937:K3130,"0",B2937:B3130,"5 1 3 9 2 12*")</f>
        <v>0</v>
      </c>
      <c r="E2936"/>
      <c r="F2936" s="31">
        <f>SUMIFS(F2937:F3130,K2937:K3130,"0",B2937:B3130,"5 1 3 9 2 12*")</f>
        <v>17657</v>
      </c>
      <c r="G2936" s="31">
        <f>SUMIFS(G2937:G3130,K2937:K3130,"0",B2937:B3130,"5 1 3 9 2 12*")</f>
        <v>0</v>
      </c>
      <c r="H2936" s="31">
        <f t="shared" si="46"/>
        <v>17657</v>
      </c>
      <c r="I2936" s="31"/>
      <c r="K2936" t="s">
        <v>13</v>
      </c>
    </row>
    <row r="2937" spans="2:11" ht="13" x14ac:dyDescent="0.15">
      <c r="B2937" s="29" t="s">
        <v>3716</v>
      </c>
      <c r="C2937" s="29" t="s">
        <v>26</v>
      </c>
      <c r="D2937" s="31">
        <f>SUMIFS(D2938:D3130,K2938:K3130,"0",B2938:B3130,"5 1 3 9 2 12 31111*")-SUMIFS(E2938:E3130,K2938:K3130,"0",B2938:B3130,"5 1 3 9 2 12 31111*")</f>
        <v>0</v>
      </c>
      <c r="E2937"/>
      <c r="F2937" s="31">
        <f>SUMIFS(F2938:F3130,K2938:K3130,"0",B2938:B3130,"5 1 3 9 2 12 31111*")</f>
        <v>17657</v>
      </c>
      <c r="G2937" s="31">
        <f>SUMIFS(G2938:G3130,K2938:K3130,"0",B2938:B3130,"5 1 3 9 2 12 31111*")</f>
        <v>0</v>
      </c>
      <c r="H2937" s="31">
        <f t="shared" si="46"/>
        <v>17657</v>
      </c>
      <c r="I2937" s="31"/>
      <c r="K2937" t="s">
        <v>13</v>
      </c>
    </row>
    <row r="2938" spans="2:11" ht="13" x14ac:dyDescent="0.15">
      <c r="B2938" s="29" t="s">
        <v>3717</v>
      </c>
      <c r="C2938" s="29" t="s">
        <v>28</v>
      </c>
      <c r="D2938" s="31">
        <f>SUMIFS(D2939:D3130,K2939:K3130,"0",B2939:B3130,"5 1 3 9 2 12 31111 6*")-SUMIFS(E2939:E3130,K2939:K3130,"0",B2939:B3130,"5 1 3 9 2 12 31111 6*")</f>
        <v>0</v>
      </c>
      <c r="E2938"/>
      <c r="F2938" s="31">
        <f>SUMIFS(F2939:F3130,K2939:K3130,"0",B2939:B3130,"5 1 3 9 2 12 31111 6*")</f>
        <v>17657</v>
      </c>
      <c r="G2938" s="31">
        <f>SUMIFS(G2939:G3130,K2939:K3130,"0",B2939:B3130,"5 1 3 9 2 12 31111 6*")</f>
        <v>0</v>
      </c>
      <c r="H2938" s="31">
        <f t="shared" si="46"/>
        <v>17657</v>
      </c>
      <c r="I2938" s="31"/>
      <c r="K2938" t="s">
        <v>13</v>
      </c>
    </row>
    <row r="2939" spans="2:11" ht="13" x14ac:dyDescent="0.15">
      <c r="B2939" s="29" t="s">
        <v>3718</v>
      </c>
      <c r="C2939" s="29" t="s">
        <v>1567</v>
      </c>
      <c r="D2939" s="31">
        <f>SUMIFS(D2940:D3130,K2940:K3130,"0",B2940:B3130,"5 1 3 9 2 12 31111 6 M78*")-SUMIFS(E2940:E3130,K2940:K3130,"0",B2940:B3130,"5 1 3 9 2 12 31111 6 M78*")</f>
        <v>0</v>
      </c>
      <c r="E2939"/>
      <c r="F2939" s="31">
        <f>SUMIFS(F2940:F3130,K2940:K3130,"0",B2940:B3130,"5 1 3 9 2 12 31111 6 M78*")</f>
        <v>17657</v>
      </c>
      <c r="G2939" s="31">
        <f>SUMIFS(G2940:G3130,K2940:K3130,"0",B2940:B3130,"5 1 3 9 2 12 31111 6 M78*")</f>
        <v>0</v>
      </c>
      <c r="H2939" s="31">
        <f t="shared" si="46"/>
        <v>17657</v>
      </c>
      <c r="I2939" s="31"/>
      <c r="K2939" t="s">
        <v>13</v>
      </c>
    </row>
    <row r="2940" spans="2:11" ht="13" x14ac:dyDescent="0.15">
      <c r="B2940" s="29" t="s">
        <v>3719</v>
      </c>
      <c r="C2940" s="29" t="s">
        <v>8</v>
      </c>
      <c r="D2940" s="31">
        <f>SUMIFS(D2941:D3130,K2941:K3130,"0",B2941:B3130,"5 1 3 9 2 12 31111 6 M78 07000*")-SUMIFS(E2941:E3130,K2941:K3130,"0",B2941:B3130,"5 1 3 9 2 12 31111 6 M78 07000*")</f>
        <v>0</v>
      </c>
      <c r="E2940"/>
      <c r="F2940" s="31">
        <f>SUMIFS(F2941:F3130,K2941:K3130,"0",B2941:B3130,"5 1 3 9 2 12 31111 6 M78 07000*")</f>
        <v>17657</v>
      </c>
      <c r="G2940" s="31">
        <f>SUMIFS(G2941:G3130,K2941:K3130,"0",B2941:B3130,"5 1 3 9 2 12 31111 6 M78 07000*")</f>
        <v>0</v>
      </c>
      <c r="H2940" s="31">
        <f t="shared" si="46"/>
        <v>17657</v>
      </c>
      <c r="I2940" s="31"/>
      <c r="K2940" t="s">
        <v>13</v>
      </c>
    </row>
    <row r="2941" spans="2:11" ht="13" x14ac:dyDescent="0.15">
      <c r="B2941" s="29" t="s">
        <v>3720</v>
      </c>
      <c r="C2941" s="29" t="s">
        <v>588</v>
      </c>
      <c r="D2941" s="31">
        <f>SUMIFS(D2942:D3130,K2942:K3130,"0",B2942:B3130,"5 1 3 9 2 12 31111 6 M78 07000 151*")-SUMIFS(E2942:E3130,K2942:K3130,"0",B2942:B3130,"5 1 3 9 2 12 31111 6 M78 07000 151*")</f>
        <v>0</v>
      </c>
      <c r="E2941"/>
      <c r="F2941" s="31">
        <f>SUMIFS(F2942:F3130,K2942:K3130,"0",B2942:B3130,"5 1 3 9 2 12 31111 6 M78 07000 151*")</f>
        <v>17657</v>
      </c>
      <c r="G2941" s="31">
        <f>SUMIFS(G2942:G3130,K2942:K3130,"0",B2942:B3130,"5 1 3 9 2 12 31111 6 M78 07000 151*")</f>
        <v>0</v>
      </c>
      <c r="H2941" s="31">
        <f t="shared" si="46"/>
        <v>17657</v>
      </c>
      <c r="I2941" s="31"/>
      <c r="K2941" t="s">
        <v>13</v>
      </c>
    </row>
    <row r="2942" spans="2:11" ht="13" x14ac:dyDescent="0.15">
      <c r="B2942" s="29" t="s">
        <v>3721</v>
      </c>
      <c r="C2942" s="29" t="s">
        <v>265</v>
      </c>
      <c r="D2942" s="31">
        <f>SUMIFS(D2943:D3130,K2943:K3130,"0",B2943:B3130,"5 1 3 9 2 12 31111 6 M78 07000 151 00C*")-SUMIFS(E2943:E3130,K2943:K3130,"0",B2943:B3130,"5 1 3 9 2 12 31111 6 M78 07000 151 00C*")</f>
        <v>0</v>
      </c>
      <c r="E2942"/>
      <c r="F2942" s="31">
        <f>SUMIFS(F2943:F3130,K2943:K3130,"0",B2943:B3130,"5 1 3 9 2 12 31111 6 M78 07000 151 00C*")</f>
        <v>16657</v>
      </c>
      <c r="G2942" s="31">
        <f>SUMIFS(G2943:G3130,K2943:K3130,"0",B2943:B3130,"5 1 3 9 2 12 31111 6 M78 07000 151 00C*")</f>
        <v>0</v>
      </c>
      <c r="H2942" s="31">
        <f t="shared" si="46"/>
        <v>16657</v>
      </c>
      <c r="I2942" s="31"/>
      <c r="K2942" t="s">
        <v>13</v>
      </c>
    </row>
    <row r="2943" spans="2:11" ht="13" x14ac:dyDescent="0.15">
      <c r="B2943" s="29" t="s">
        <v>3722</v>
      </c>
      <c r="C2943" s="29" t="s">
        <v>32</v>
      </c>
      <c r="D2943" s="31">
        <f>SUMIFS(D2944:D3130,K2944:K3130,"0",B2944:B3130,"5 1 3 9 2 12 31111 6 M78 07000 151 00C 001*")-SUMIFS(E2944:E3130,K2944:K3130,"0",B2944:B3130,"5 1 3 9 2 12 31111 6 M78 07000 151 00C 001*")</f>
        <v>0</v>
      </c>
      <c r="E2943"/>
      <c r="F2943" s="31">
        <f>SUMIFS(F2944:F3130,K2944:K3130,"0",B2944:B3130,"5 1 3 9 2 12 31111 6 M78 07000 151 00C 001*")</f>
        <v>16657</v>
      </c>
      <c r="G2943" s="31">
        <f>SUMIFS(G2944:G3130,K2944:K3130,"0",B2944:B3130,"5 1 3 9 2 12 31111 6 M78 07000 151 00C 001*")</f>
        <v>0</v>
      </c>
      <c r="H2943" s="31">
        <f t="shared" si="46"/>
        <v>16657</v>
      </c>
      <c r="I2943" s="31"/>
      <c r="K2943" t="s">
        <v>13</v>
      </c>
    </row>
    <row r="2944" spans="2:11" ht="13" x14ac:dyDescent="0.15">
      <c r="B2944" s="29" t="s">
        <v>3723</v>
      </c>
      <c r="C2944" s="29" t="s">
        <v>3724</v>
      </c>
      <c r="D2944" s="31">
        <f>SUMIFS(D2945:D3130,K2945:K3130,"0",B2945:B3130,"5 1 3 9 2 12 31111 6 M78 07000 151 00C 001 39201*")-SUMIFS(E2945:E3130,K2945:K3130,"0",B2945:B3130,"5 1 3 9 2 12 31111 6 M78 07000 151 00C 001 39201*")</f>
        <v>0</v>
      </c>
      <c r="E2944"/>
      <c r="F2944" s="31">
        <f>SUMIFS(F2945:F3130,K2945:K3130,"0",B2945:B3130,"5 1 3 9 2 12 31111 6 M78 07000 151 00C 001 39201*")</f>
        <v>16657</v>
      </c>
      <c r="G2944" s="31">
        <f>SUMIFS(G2945:G3130,K2945:K3130,"0",B2945:B3130,"5 1 3 9 2 12 31111 6 M78 07000 151 00C 001 39201*")</f>
        <v>0</v>
      </c>
      <c r="H2944" s="31">
        <f t="shared" si="46"/>
        <v>16657</v>
      </c>
      <c r="I2944" s="31"/>
      <c r="K2944" t="s">
        <v>13</v>
      </c>
    </row>
    <row r="2945" spans="2:11" ht="22" x14ac:dyDescent="0.15">
      <c r="B2945" s="29" t="s">
        <v>3725</v>
      </c>
      <c r="C2945" s="29" t="s">
        <v>271</v>
      </c>
      <c r="D2945" s="31">
        <f>SUMIFS(D2946:D3130,K2946:K3130,"0",B2946:B3130,"5 1 3 9 2 12 31111 6 M78 07000 151 00C 001 39201 015*")-SUMIFS(E2946:E3130,K2946:K3130,"0",B2946:B3130,"5 1 3 9 2 12 31111 6 M78 07000 151 00C 001 39201 015*")</f>
        <v>0</v>
      </c>
      <c r="E2945"/>
      <c r="F2945" s="31">
        <f>SUMIFS(F2946:F3130,K2946:K3130,"0",B2946:B3130,"5 1 3 9 2 12 31111 6 M78 07000 151 00C 001 39201 015*")</f>
        <v>16657</v>
      </c>
      <c r="G2945" s="31">
        <f>SUMIFS(G2946:G3130,K2946:K3130,"0",B2946:B3130,"5 1 3 9 2 12 31111 6 M78 07000 151 00C 001 39201 015*")</f>
        <v>0</v>
      </c>
      <c r="H2945" s="31">
        <f t="shared" si="46"/>
        <v>16657</v>
      </c>
      <c r="I2945" s="31"/>
      <c r="K2945" t="s">
        <v>13</v>
      </c>
    </row>
    <row r="2946" spans="2:11" ht="22" x14ac:dyDescent="0.15">
      <c r="B2946" s="29" t="s">
        <v>3726</v>
      </c>
      <c r="C2946" s="29" t="s">
        <v>595</v>
      </c>
      <c r="D2946" s="31">
        <f>SUMIFS(D2947:D3130,K2947:K3130,"0",B2947:B3130,"5 1 3 9 2 12 31111 6 M78 07000 151 00C 001 39201 015 2112000*")-SUMIFS(E2947:E3130,K2947:K3130,"0",B2947:B3130,"5 1 3 9 2 12 31111 6 M78 07000 151 00C 001 39201 015 2112000*")</f>
        <v>0</v>
      </c>
      <c r="E2946"/>
      <c r="F2946" s="31">
        <f>SUMIFS(F2947:F3130,K2947:K3130,"0",B2947:B3130,"5 1 3 9 2 12 31111 6 M78 07000 151 00C 001 39201 015 2112000*")</f>
        <v>16657</v>
      </c>
      <c r="G2946" s="31">
        <f>SUMIFS(G2947:G3130,K2947:K3130,"0",B2947:B3130,"5 1 3 9 2 12 31111 6 M78 07000 151 00C 001 39201 015 2112000*")</f>
        <v>0</v>
      </c>
      <c r="H2946" s="31">
        <f t="shared" si="46"/>
        <v>16657</v>
      </c>
      <c r="I2946" s="31"/>
      <c r="K2946" t="s">
        <v>13</v>
      </c>
    </row>
    <row r="2947" spans="2:11" ht="22" x14ac:dyDescent="0.15">
      <c r="B2947" s="29" t="s">
        <v>3727</v>
      </c>
      <c r="C2947" s="29" t="s">
        <v>275</v>
      </c>
      <c r="D2947" s="31">
        <f>SUMIFS(D2948:D3130,K2948:K3130,"0",B2948:B3130,"5 1 3 9 2 12 31111 6 M78 07000 151 00C 001 39201 015 2112000 2024*")-SUMIFS(E2948:E3130,K2948:K3130,"0",B2948:B3130,"5 1 3 9 2 12 31111 6 M78 07000 151 00C 001 39201 015 2112000 2024*")</f>
        <v>0</v>
      </c>
      <c r="E2947"/>
      <c r="F2947" s="31">
        <f>SUMIFS(F2948:F3130,K2948:K3130,"0",B2948:B3130,"5 1 3 9 2 12 31111 6 M78 07000 151 00C 001 39201 015 2112000 2024*")</f>
        <v>16657</v>
      </c>
      <c r="G2947" s="31">
        <f>SUMIFS(G2948:G3130,K2948:K3130,"0",B2948:B3130,"5 1 3 9 2 12 31111 6 M78 07000 151 00C 001 39201 015 2112000 2024*")</f>
        <v>0</v>
      </c>
      <c r="H2947" s="31">
        <f t="shared" si="46"/>
        <v>16657</v>
      </c>
      <c r="I2947" s="31"/>
      <c r="K2947" t="s">
        <v>13</v>
      </c>
    </row>
    <row r="2948" spans="2:11" ht="22" x14ac:dyDescent="0.15">
      <c r="B2948" s="29" t="s">
        <v>3728</v>
      </c>
      <c r="C2948" s="29" t="s">
        <v>277</v>
      </c>
      <c r="D2948" s="31">
        <f>SUMIFS(D2949:D3130,K2949:K3130,"0",B2949:B3130,"5 1 3 9 2 12 31111 6 M78 07000 151 00C 001 39201 015 2112000 2024 00000000*")-SUMIFS(E2949:E3130,K2949:K3130,"0",B2949:B3130,"5 1 3 9 2 12 31111 6 M78 07000 151 00C 001 39201 015 2112000 2024 00000000*")</f>
        <v>0</v>
      </c>
      <c r="E2948"/>
      <c r="F2948" s="31">
        <f>SUMIFS(F2949:F3130,K2949:K3130,"0",B2949:B3130,"5 1 3 9 2 12 31111 6 M78 07000 151 00C 001 39201 015 2112000 2024 00000000*")</f>
        <v>16657</v>
      </c>
      <c r="G2948" s="31">
        <f>SUMIFS(G2949:G3130,K2949:K3130,"0",B2949:B3130,"5 1 3 9 2 12 31111 6 M78 07000 151 00C 001 39201 015 2112000 2024 00000000*")</f>
        <v>0</v>
      </c>
      <c r="H2948" s="31">
        <f t="shared" si="46"/>
        <v>16657</v>
      </c>
      <c r="I2948" s="31"/>
      <c r="K2948" t="s">
        <v>13</v>
      </c>
    </row>
    <row r="2949" spans="2:11" ht="22" x14ac:dyDescent="0.15">
      <c r="B2949" s="29" t="s">
        <v>3729</v>
      </c>
      <c r="C2949" s="29" t="s">
        <v>32</v>
      </c>
      <c r="D2949" s="31">
        <f>SUMIFS(D2950:D3130,K2950:K3130,"0",B2950:B3130,"5 1 3 9 2 12 31111 6 M78 07000 151 00C 001 39201 015 2112000 2024 00000000 001*")-SUMIFS(E2950:E3130,K2950:K3130,"0",B2950:B3130,"5 1 3 9 2 12 31111 6 M78 07000 151 00C 001 39201 015 2112000 2024 00000000 001*")</f>
        <v>0</v>
      </c>
      <c r="E2949"/>
      <c r="F2949" s="31">
        <f>SUMIFS(F2950:F3130,K2950:K3130,"0",B2950:B3130,"5 1 3 9 2 12 31111 6 M78 07000 151 00C 001 39201 015 2112000 2024 00000000 001*")</f>
        <v>16657</v>
      </c>
      <c r="G2949" s="31">
        <f>SUMIFS(G2950:G3130,K2950:K3130,"0",B2950:B3130,"5 1 3 9 2 12 31111 6 M78 07000 151 00C 001 39201 015 2112000 2024 00000000 001*")</f>
        <v>0</v>
      </c>
      <c r="H2949" s="31">
        <f t="shared" si="46"/>
        <v>16657</v>
      </c>
      <c r="I2949" s="31"/>
      <c r="K2949" t="s">
        <v>13</v>
      </c>
    </row>
    <row r="2950" spans="2:11" ht="22" x14ac:dyDescent="0.15">
      <c r="B2950" s="27" t="s">
        <v>3730</v>
      </c>
      <c r="C2950" s="27" t="s">
        <v>3731</v>
      </c>
      <c r="D2950" s="30">
        <v>0</v>
      </c>
      <c r="E2950" s="30"/>
      <c r="F2950" s="30">
        <v>16657</v>
      </c>
      <c r="G2950" s="30">
        <v>0</v>
      </c>
      <c r="H2950" s="30">
        <f t="shared" si="46"/>
        <v>16657</v>
      </c>
      <c r="I2950" s="30"/>
      <c r="K2950" t="s">
        <v>37</v>
      </c>
    </row>
    <row r="2951" spans="2:11" ht="13" x14ac:dyDescent="0.15">
      <c r="B2951" s="29" t="s">
        <v>3732</v>
      </c>
      <c r="C2951" s="29" t="s">
        <v>812</v>
      </c>
      <c r="D2951" s="31">
        <f>SUMIFS(D2952:D3130,K2952:K3130,"0",B2952:B3130,"5 1 3 9 2 12 31111 6 M78 07000 151 00E*")-SUMIFS(E2952:E3130,K2952:K3130,"0",B2952:B3130,"5 1 3 9 2 12 31111 6 M78 07000 151 00E*")</f>
        <v>0</v>
      </c>
      <c r="E2951"/>
      <c r="F2951" s="31">
        <f>SUMIFS(F2952:F3130,K2952:K3130,"0",B2952:B3130,"5 1 3 9 2 12 31111 6 M78 07000 151 00E*")</f>
        <v>1000</v>
      </c>
      <c r="G2951" s="31">
        <f>SUMIFS(G2952:G3130,K2952:K3130,"0",B2952:B3130,"5 1 3 9 2 12 31111 6 M78 07000 151 00E*")</f>
        <v>0</v>
      </c>
      <c r="H2951" s="31">
        <f t="shared" si="46"/>
        <v>1000</v>
      </c>
      <c r="I2951" s="31"/>
      <c r="K2951" t="s">
        <v>13</v>
      </c>
    </row>
    <row r="2952" spans="2:11" ht="13" x14ac:dyDescent="0.15">
      <c r="B2952" s="29" t="s">
        <v>3733</v>
      </c>
      <c r="C2952" s="29" t="s">
        <v>32</v>
      </c>
      <c r="D2952" s="31">
        <f>SUMIFS(D2953:D3130,K2953:K3130,"0",B2953:B3130,"5 1 3 9 2 12 31111 6 M78 07000 151 00E 001*")-SUMIFS(E2953:E3130,K2953:K3130,"0",B2953:B3130,"5 1 3 9 2 12 31111 6 M78 07000 151 00E 001*")</f>
        <v>0</v>
      </c>
      <c r="E2952"/>
      <c r="F2952" s="31">
        <f>SUMIFS(F2953:F3130,K2953:K3130,"0",B2953:B3130,"5 1 3 9 2 12 31111 6 M78 07000 151 00E 001*")</f>
        <v>1000</v>
      </c>
      <c r="G2952" s="31">
        <f>SUMIFS(G2953:G3130,K2953:K3130,"0",B2953:B3130,"5 1 3 9 2 12 31111 6 M78 07000 151 00E 001*")</f>
        <v>0</v>
      </c>
      <c r="H2952" s="31">
        <f t="shared" si="46"/>
        <v>1000</v>
      </c>
      <c r="I2952" s="31"/>
      <c r="K2952" t="s">
        <v>13</v>
      </c>
    </row>
    <row r="2953" spans="2:11" ht="13" x14ac:dyDescent="0.15">
      <c r="B2953" s="29" t="s">
        <v>3734</v>
      </c>
      <c r="C2953" s="29" t="s">
        <v>3735</v>
      </c>
      <c r="D2953" s="31">
        <f>SUMIFS(D2954:D3130,K2954:K3130,"0",B2954:B3130,"5 1 3 9 2 12 31111 6 M78 07000 151 00E 001 39202*")-SUMIFS(E2954:E3130,K2954:K3130,"0",B2954:B3130,"5 1 3 9 2 12 31111 6 M78 07000 151 00E 001 39202*")</f>
        <v>0</v>
      </c>
      <c r="E2953"/>
      <c r="F2953" s="31">
        <f>SUMIFS(F2954:F3130,K2954:K3130,"0",B2954:B3130,"5 1 3 9 2 12 31111 6 M78 07000 151 00E 001 39202*")</f>
        <v>1000</v>
      </c>
      <c r="G2953" s="31">
        <f>SUMIFS(G2954:G3130,K2954:K3130,"0",B2954:B3130,"5 1 3 9 2 12 31111 6 M78 07000 151 00E 001 39202*")</f>
        <v>0</v>
      </c>
      <c r="H2953" s="31">
        <f t="shared" si="46"/>
        <v>1000</v>
      </c>
      <c r="I2953" s="31"/>
      <c r="K2953" t="s">
        <v>13</v>
      </c>
    </row>
    <row r="2954" spans="2:11" ht="22" x14ac:dyDescent="0.15">
      <c r="B2954" s="29" t="s">
        <v>3736</v>
      </c>
      <c r="C2954" s="29" t="s">
        <v>1567</v>
      </c>
      <c r="D2954" s="31">
        <f>SUMIFS(D2955:D3130,K2955:K3130,"0",B2955:B3130,"5 1 3 9 2 12 31111 6 M78 07000 151 00E 001 39202 011*")-SUMIFS(E2955:E3130,K2955:K3130,"0",B2955:B3130,"5 1 3 9 2 12 31111 6 M78 07000 151 00E 001 39202 011*")</f>
        <v>0</v>
      </c>
      <c r="E2954"/>
      <c r="F2954" s="31">
        <f>SUMIFS(F2955:F3130,K2955:K3130,"0",B2955:B3130,"5 1 3 9 2 12 31111 6 M78 07000 151 00E 001 39202 011*")</f>
        <v>1000</v>
      </c>
      <c r="G2954" s="31">
        <f>SUMIFS(G2955:G3130,K2955:K3130,"0",B2955:B3130,"5 1 3 9 2 12 31111 6 M78 07000 151 00E 001 39202 011*")</f>
        <v>0</v>
      </c>
      <c r="H2954" s="31">
        <f t="shared" si="46"/>
        <v>1000</v>
      </c>
      <c r="I2954" s="31"/>
      <c r="K2954" t="s">
        <v>13</v>
      </c>
    </row>
    <row r="2955" spans="2:11" ht="22" x14ac:dyDescent="0.15">
      <c r="B2955" s="29" t="s">
        <v>3737</v>
      </c>
      <c r="C2955" s="29" t="s">
        <v>595</v>
      </c>
      <c r="D2955" s="31">
        <f>SUMIFS(D2956:D3130,K2956:K3130,"0",B2956:B3130,"5 1 3 9 2 12 31111 6 M78 07000 151 00E 001 39202 011 2112000*")-SUMIFS(E2956:E3130,K2956:K3130,"0",B2956:B3130,"5 1 3 9 2 12 31111 6 M78 07000 151 00E 001 39202 011 2112000*")</f>
        <v>0</v>
      </c>
      <c r="E2955"/>
      <c r="F2955" s="31">
        <f>SUMIFS(F2956:F3130,K2956:K3130,"0",B2956:B3130,"5 1 3 9 2 12 31111 6 M78 07000 151 00E 001 39202 011 2112000*")</f>
        <v>1000</v>
      </c>
      <c r="G2955" s="31">
        <f>SUMIFS(G2956:G3130,K2956:K3130,"0",B2956:B3130,"5 1 3 9 2 12 31111 6 M78 07000 151 00E 001 39202 011 2112000*")</f>
        <v>0</v>
      </c>
      <c r="H2955" s="31">
        <f t="shared" ref="H2955:H3018" si="47">D2955 + F2955 - G2955</f>
        <v>1000</v>
      </c>
      <c r="I2955" s="31"/>
      <c r="K2955" t="s">
        <v>13</v>
      </c>
    </row>
    <row r="2956" spans="2:11" ht="22" x14ac:dyDescent="0.15">
      <c r="B2956" s="29" t="s">
        <v>3738</v>
      </c>
      <c r="C2956" s="29" t="s">
        <v>275</v>
      </c>
      <c r="D2956" s="31">
        <f>SUMIFS(D2957:D3130,K2957:K3130,"0",B2957:B3130,"5 1 3 9 2 12 31111 6 M78 07000 151 00E 001 39202 011 2112000 2024*")-SUMIFS(E2957:E3130,K2957:K3130,"0",B2957:B3130,"5 1 3 9 2 12 31111 6 M78 07000 151 00E 001 39202 011 2112000 2024*")</f>
        <v>0</v>
      </c>
      <c r="E2956"/>
      <c r="F2956" s="31">
        <f>SUMIFS(F2957:F3130,K2957:K3130,"0",B2957:B3130,"5 1 3 9 2 12 31111 6 M78 07000 151 00E 001 39202 011 2112000 2024*")</f>
        <v>1000</v>
      </c>
      <c r="G2956" s="31">
        <f>SUMIFS(G2957:G3130,K2957:K3130,"0",B2957:B3130,"5 1 3 9 2 12 31111 6 M78 07000 151 00E 001 39202 011 2112000 2024*")</f>
        <v>0</v>
      </c>
      <c r="H2956" s="31">
        <f t="shared" si="47"/>
        <v>1000</v>
      </c>
      <c r="I2956" s="31"/>
      <c r="K2956" t="s">
        <v>13</v>
      </c>
    </row>
    <row r="2957" spans="2:11" ht="22" x14ac:dyDescent="0.15">
      <c r="B2957" s="29" t="s">
        <v>3739</v>
      </c>
      <c r="C2957" s="29" t="s">
        <v>277</v>
      </c>
      <c r="D2957" s="31">
        <f>SUMIFS(D2958:D3130,K2958:K3130,"0",B2958:B3130,"5 1 3 9 2 12 31111 6 M78 07000 151 00E 001 39202 011 2112000 2024 00000000*")-SUMIFS(E2958:E3130,K2958:K3130,"0",B2958:B3130,"5 1 3 9 2 12 31111 6 M78 07000 151 00E 001 39202 011 2112000 2024 00000000*")</f>
        <v>0</v>
      </c>
      <c r="E2957"/>
      <c r="F2957" s="31">
        <f>SUMIFS(F2958:F3130,K2958:K3130,"0",B2958:B3130,"5 1 3 9 2 12 31111 6 M78 07000 151 00E 001 39202 011 2112000 2024 00000000*")</f>
        <v>1000</v>
      </c>
      <c r="G2957" s="31">
        <f>SUMIFS(G2958:G3130,K2958:K3130,"0",B2958:B3130,"5 1 3 9 2 12 31111 6 M78 07000 151 00E 001 39202 011 2112000 2024 00000000*")</f>
        <v>0</v>
      </c>
      <c r="H2957" s="31">
        <f t="shared" si="47"/>
        <v>1000</v>
      </c>
      <c r="I2957" s="31"/>
      <c r="K2957" t="s">
        <v>13</v>
      </c>
    </row>
    <row r="2958" spans="2:11" ht="22" x14ac:dyDescent="0.15">
      <c r="B2958" s="29" t="s">
        <v>3740</v>
      </c>
      <c r="C2958" s="29" t="s">
        <v>1567</v>
      </c>
      <c r="D2958" s="31">
        <f>SUMIFS(D2959:D3130,K2959:K3130,"0",B2959:B3130,"5 1 3 9 2 12 31111 6 M78 07000 151 00E 001 39202 011 2112000 2024 00000000 005*")-SUMIFS(E2959:E3130,K2959:K3130,"0",B2959:B3130,"5 1 3 9 2 12 31111 6 M78 07000 151 00E 001 39202 011 2112000 2024 00000000 005*")</f>
        <v>0</v>
      </c>
      <c r="E2958"/>
      <c r="F2958" s="31">
        <f>SUMIFS(F2959:F3130,K2959:K3130,"0",B2959:B3130,"5 1 3 9 2 12 31111 6 M78 07000 151 00E 001 39202 011 2112000 2024 00000000 005*")</f>
        <v>1000</v>
      </c>
      <c r="G2958" s="31">
        <f>SUMIFS(G2959:G3130,K2959:K3130,"0",B2959:B3130,"5 1 3 9 2 12 31111 6 M78 07000 151 00E 001 39202 011 2112000 2024 00000000 005*")</f>
        <v>0</v>
      </c>
      <c r="H2958" s="31">
        <f t="shared" si="47"/>
        <v>1000</v>
      </c>
      <c r="I2958" s="31"/>
      <c r="K2958" t="s">
        <v>13</v>
      </c>
    </row>
    <row r="2959" spans="2:11" ht="22" x14ac:dyDescent="0.15">
      <c r="B2959" s="27" t="s">
        <v>3741</v>
      </c>
      <c r="C2959" s="27" t="s">
        <v>1567</v>
      </c>
      <c r="D2959" s="30">
        <v>0</v>
      </c>
      <c r="E2959" s="30"/>
      <c r="F2959" s="30">
        <v>1000</v>
      </c>
      <c r="G2959" s="30">
        <v>0</v>
      </c>
      <c r="H2959" s="30">
        <f t="shared" si="47"/>
        <v>1000</v>
      </c>
      <c r="I2959" s="30"/>
      <c r="K2959" t="s">
        <v>37</v>
      </c>
    </row>
    <row r="2960" spans="2:11" ht="22" x14ac:dyDescent="0.15">
      <c r="B2960" s="29" t="s">
        <v>3742</v>
      </c>
      <c r="C2960" s="29" t="s">
        <v>3743</v>
      </c>
      <c r="D2960" s="31">
        <f>SUMIFS(D2961:D3130,K2961:K3130,"0",B2961:B3130,"5 1 3 9 8*")-SUMIFS(E2961:E3130,K2961:K3130,"0",B2961:B3130,"5 1 3 9 8*")</f>
        <v>0</v>
      </c>
      <c r="E2960"/>
      <c r="F2960" s="31">
        <f>SUMIFS(F2961:F3130,K2961:K3130,"0",B2961:B3130,"5 1 3 9 8*")</f>
        <v>630166</v>
      </c>
      <c r="G2960" s="31">
        <f>SUMIFS(G2961:G3130,K2961:K3130,"0",B2961:B3130,"5 1 3 9 8*")</f>
        <v>0</v>
      </c>
      <c r="H2960" s="31">
        <f t="shared" si="47"/>
        <v>630166</v>
      </c>
      <c r="I2960" s="31"/>
      <c r="K2960" t="s">
        <v>13</v>
      </c>
    </row>
    <row r="2961" spans="2:11" ht="13" x14ac:dyDescent="0.15">
      <c r="B2961" s="29" t="s">
        <v>3744</v>
      </c>
      <c r="C2961" s="29" t="s">
        <v>24</v>
      </c>
      <c r="D2961" s="31">
        <f>SUMIFS(D2962:D3130,K2962:K3130,"0",B2962:B3130,"5 1 3 9 8 12*")-SUMIFS(E2962:E3130,K2962:K3130,"0",B2962:B3130,"5 1 3 9 8 12*")</f>
        <v>0</v>
      </c>
      <c r="E2961"/>
      <c r="F2961" s="31">
        <f>SUMIFS(F2962:F3130,K2962:K3130,"0",B2962:B3130,"5 1 3 9 8 12*")</f>
        <v>630166</v>
      </c>
      <c r="G2961" s="31">
        <f>SUMIFS(G2962:G3130,K2962:K3130,"0",B2962:B3130,"5 1 3 9 8 12*")</f>
        <v>0</v>
      </c>
      <c r="H2961" s="31">
        <f t="shared" si="47"/>
        <v>630166</v>
      </c>
      <c r="I2961" s="31"/>
      <c r="K2961" t="s">
        <v>13</v>
      </c>
    </row>
    <row r="2962" spans="2:11" ht="13" x14ac:dyDescent="0.15">
      <c r="B2962" s="29" t="s">
        <v>3745</v>
      </c>
      <c r="C2962" s="29" t="s">
        <v>26</v>
      </c>
      <c r="D2962" s="31">
        <f>SUMIFS(D2963:D3130,K2963:K3130,"0",B2963:B3130,"5 1 3 9 8 12 31111*")-SUMIFS(E2963:E3130,K2963:K3130,"0",B2963:B3130,"5 1 3 9 8 12 31111*")</f>
        <v>0</v>
      </c>
      <c r="E2962"/>
      <c r="F2962" s="31">
        <f>SUMIFS(F2963:F3130,K2963:K3130,"0",B2963:B3130,"5 1 3 9 8 12 31111*")</f>
        <v>630166</v>
      </c>
      <c r="G2962" s="31">
        <f>SUMIFS(G2963:G3130,K2963:K3130,"0",B2963:B3130,"5 1 3 9 8 12 31111*")</f>
        <v>0</v>
      </c>
      <c r="H2962" s="31">
        <f t="shared" si="47"/>
        <v>630166</v>
      </c>
      <c r="I2962" s="31"/>
      <c r="K2962" t="s">
        <v>13</v>
      </c>
    </row>
    <row r="2963" spans="2:11" ht="13" x14ac:dyDescent="0.15">
      <c r="B2963" s="29" t="s">
        <v>3746</v>
      </c>
      <c r="C2963" s="29" t="s">
        <v>28</v>
      </c>
      <c r="D2963" s="31">
        <f>SUMIFS(D2964:D3130,K2964:K3130,"0",B2964:B3130,"5 1 3 9 8 12 31111 6*")-SUMIFS(E2964:E3130,K2964:K3130,"0",B2964:B3130,"5 1 3 9 8 12 31111 6*")</f>
        <v>0</v>
      </c>
      <c r="E2963"/>
      <c r="F2963" s="31">
        <f>SUMIFS(F2964:F3130,K2964:K3130,"0",B2964:B3130,"5 1 3 9 8 12 31111 6*")</f>
        <v>630166</v>
      </c>
      <c r="G2963" s="31">
        <f>SUMIFS(G2964:G3130,K2964:K3130,"0",B2964:B3130,"5 1 3 9 8 12 31111 6*")</f>
        <v>0</v>
      </c>
      <c r="H2963" s="31">
        <f t="shared" si="47"/>
        <v>630166</v>
      </c>
      <c r="I2963" s="31"/>
      <c r="K2963" t="s">
        <v>13</v>
      </c>
    </row>
    <row r="2964" spans="2:11" ht="13" x14ac:dyDescent="0.15">
      <c r="B2964" s="29" t="s">
        <v>3747</v>
      </c>
      <c r="C2964" s="29" t="s">
        <v>1567</v>
      </c>
      <c r="D2964" s="31">
        <f>SUMIFS(D2965:D3130,K2965:K3130,"0",B2965:B3130,"5 1 3 9 8 12 31111 6 M78*")-SUMIFS(E2965:E3130,K2965:K3130,"0",B2965:B3130,"5 1 3 9 8 12 31111 6 M78*")</f>
        <v>0</v>
      </c>
      <c r="E2964"/>
      <c r="F2964" s="31">
        <f>SUMIFS(F2965:F3130,K2965:K3130,"0",B2965:B3130,"5 1 3 9 8 12 31111 6 M78*")</f>
        <v>630166</v>
      </c>
      <c r="G2964" s="31">
        <f>SUMIFS(G2965:G3130,K2965:K3130,"0",B2965:B3130,"5 1 3 9 8 12 31111 6 M78*")</f>
        <v>0</v>
      </c>
      <c r="H2964" s="31">
        <f t="shared" si="47"/>
        <v>630166</v>
      </c>
      <c r="I2964" s="31"/>
      <c r="K2964" t="s">
        <v>13</v>
      </c>
    </row>
    <row r="2965" spans="2:11" ht="13" x14ac:dyDescent="0.15">
      <c r="B2965" s="29" t="s">
        <v>3748</v>
      </c>
      <c r="C2965" s="29" t="s">
        <v>8</v>
      </c>
      <c r="D2965" s="31">
        <f>SUMIFS(D2966:D3130,K2966:K3130,"0",B2966:B3130,"5 1 3 9 8 12 31111 6 M78 07000*")-SUMIFS(E2966:E3130,K2966:K3130,"0",B2966:B3130,"5 1 3 9 8 12 31111 6 M78 07000*")</f>
        <v>0</v>
      </c>
      <c r="E2965"/>
      <c r="F2965" s="31">
        <f>SUMIFS(F2966:F3130,K2966:K3130,"0",B2966:B3130,"5 1 3 9 8 12 31111 6 M78 07000*")</f>
        <v>630166</v>
      </c>
      <c r="G2965" s="31">
        <f>SUMIFS(G2966:G3130,K2966:K3130,"0",B2966:B3130,"5 1 3 9 8 12 31111 6 M78 07000*")</f>
        <v>0</v>
      </c>
      <c r="H2965" s="31">
        <f t="shared" si="47"/>
        <v>630166</v>
      </c>
      <c r="I2965" s="31"/>
      <c r="K2965" t="s">
        <v>13</v>
      </c>
    </row>
    <row r="2966" spans="2:11" ht="13" x14ac:dyDescent="0.15">
      <c r="B2966" s="29" t="s">
        <v>3749</v>
      </c>
      <c r="C2966" s="29" t="s">
        <v>588</v>
      </c>
      <c r="D2966" s="31">
        <f>SUMIFS(D2967:D3130,K2967:K3130,"0",B2967:B3130,"5 1 3 9 8 12 31111 6 M78 07000 151*")-SUMIFS(E2967:E3130,K2967:K3130,"0",B2967:B3130,"5 1 3 9 8 12 31111 6 M78 07000 151*")</f>
        <v>0</v>
      </c>
      <c r="E2966"/>
      <c r="F2966" s="31">
        <f>SUMIFS(F2967:F3130,K2967:K3130,"0",B2967:B3130,"5 1 3 9 8 12 31111 6 M78 07000 151*")</f>
        <v>630166</v>
      </c>
      <c r="G2966" s="31">
        <f>SUMIFS(G2967:G3130,K2967:K3130,"0",B2967:B3130,"5 1 3 9 8 12 31111 6 M78 07000 151*")</f>
        <v>0</v>
      </c>
      <c r="H2966" s="31">
        <f t="shared" si="47"/>
        <v>630166</v>
      </c>
      <c r="I2966" s="31"/>
      <c r="K2966" t="s">
        <v>13</v>
      </c>
    </row>
    <row r="2967" spans="2:11" ht="13" x14ac:dyDescent="0.15">
      <c r="B2967" s="29" t="s">
        <v>3750</v>
      </c>
      <c r="C2967" s="29" t="s">
        <v>265</v>
      </c>
      <c r="D2967" s="31">
        <f>SUMIFS(D2968:D3130,K2968:K3130,"0",B2968:B3130,"5 1 3 9 8 12 31111 6 M78 07000 151 00C*")-SUMIFS(E2968:E3130,K2968:K3130,"0",B2968:B3130,"5 1 3 9 8 12 31111 6 M78 07000 151 00C*")</f>
        <v>0</v>
      </c>
      <c r="E2967"/>
      <c r="F2967" s="31">
        <f>SUMIFS(F2968:F3130,K2968:K3130,"0",B2968:B3130,"5 1 3 9 8 12 31111 6 M78 07000 151 00C*")</f>
        <v>630166</v>
      </c>
      <c r="G2967" s="31">
        <f>SUMIFS(G2968:G3130,K2968:K3130,"0",B2968:B3130,"5 1 3 9 8 12 31111 6 M78 07000 151 00C*")</f>
        <v>0</v>
      </c>
      <c r="H2967" s="31">
        <f t="shared" si="47"/>
        <v>630166</v>
      </c>
      <c r="I2967" s="31"/>
      <c r="K2967" t="s">
        <v>13</v>
      </c>
    </row>
    <row r="2968" spans="2:11" ht="13" x14ac:dyDescent="0.15">
      <c r="B2968" s="29" t="s">
        <v>3751</v>
      </c>
      <c r="C2968" s="29" t="s">
        <v>32</v>
      </c>
      <c r="D2968" s="31">
        <f>SUMIFS(D2969:D3130,K2969:K3130,"0",B2969:B3130,"5 1 3 9 8 12 31111 6 M78 07000 151 00C 001*")-SUMIFS(E2969:E3130,K2969:K3130,"0",B2969:B3130,"5 1 3 9 8 12 31111 6 M78 07000 151 00C 001*")</f>
        <v>0</v>
      </c>
      <c r="E2968"/>
      <c r="F2968" s="31">
        <f>SUMIFS(F2969:F3130,K2969:K3130,"0",B2969:B3130,"5 1 3 9 8 12 31111 6 M78 07000 151 00C 001*")</f>
        <v>630166</v>
      </c>
      <c r="G2968" s="31">
        <f>SUMIFS(G2969:G3130,K2969:K3130,"0",B2969:B3130,"5 1 3 9 8 12 31111 6 M78 07000 151 00C 001*")</f>
        <v>0</v>
      </c>
      <c r="H2968" s="31">
        <f t="shared" si="47"/>
        <v>630166</v>
      </c>
      <c r="I2968" s="31"/>
      <c r="K2968" t="s">
        <v>13</v>
      </c>
    </row>
    <row r="2969" spans="2:11" ht="13" x14ac:dyDescent="0.15">
      <c r="B2969" s="29" t="s">
        <v>3752</v>
      </c>
      <c r="C2969" s="29" t="s">
        <v>3753</v>
      </c>
      <c r="D2969" s="31">
        <f>SUMIFS(D2970:D3130,K2970:K3130,"0",B2970:B3130,"5 1 3 9 8 12 31111 6 M78 07000 151 00C 001 39801*")-SUMIFS(E2970:E3130,K2970:K3130,"0",B2970:B3130,"5 1 3 9 8 12 31111 6 M78 07000 151 00C 001 39801*")</f>
        <v>0</v>
      </c>
      <c r="E2969"/>
      <c r="F2969" s="31">
        <f>SUMIFS(F2970:F3130,K2970:K3130,"0",B2970:B3130,"5 1 3 9 8 12 31111 6 M78 07000 151 00C 001 39801*")</f>
        <v>630166</v>
      </c>
      <c r="G2969" s="31">
        <f>SUMIFS(G2970:G3130,K2970:K3130,"0",B2970:B3130,"5 1 3 9 8 12 31111 6 M78 07000 151 00C 001 39801*")</f>
        <v>0</v>
      </c>
      <c r="H2969" s="31">
        <f t="shared" si="47"/>
        <v>630166</v>
      </c>
      <c r="I2969" s="31"/>
      <c r="K2969" t="s">
        <v>13</v>
      </c>
    </row>
    <row r="2970" spans="2:11" ht="22" x14ac:dyDescent="0.15">
      <c r="B2970" s="29" t="s">
        <v>3754</v>
      </c>
      <c r="C2970" s="29" t="s">
        <v>271</v>
      </c>
      <c r="D2970" s="31">
        <f>SUMIFS(D2971:D3130,K2971:K3130,"0",B2971:B3130,"5 1 3 9 8 12 31111 6 M78 07000 151 00C 001 39801 015*")-SUMIFS(E2971:E3130,K2971:K3130,"0",B2971:B3130,"5 1 3 9 8 12 31111 6 M78 07000 151 00C 001 39801 015*")</f>
        <v>0</v>
      </c>
      <c r="E2970"/>
      <c r="F2970" s="31">
        <f>SUMIFS(F2971:F3130,K2971:K3130,"0",B2971:B3130,"5 1 3 9 8 12 31111 6 M78 07000 151 00C 001 39801 015*")</f>
        <v>630166</v>
      </c>
      <c r="G2970" s="31">
        <f>SUMIFS(G2971:G3130,K2971:K3130,"0",B2971:B3130,"5 1 3 9 8 12 31111 6 M78 07000 151 00C 001 39801 015*")</f>
        <v>0</v>
      </c>
      <c r="H2970" s="31">
        <f t="shared" si="47"/>
        <v>630166</v>
      </c>
      <c r="I2970" s="31"/>
      <c r="K2970" t="s">
        <v>13</v>
      </c>
    </row>
    <row r="2971" spans="2:11" ht="22" x14ac:dyDescent="0.15">
      <c r="B2971" s="29" t="s">
        <v>3755</v>
      </c>
      <c r="C2971" s="29" t="s">
        <v>3756</v>
      </c>
      <c r="D2971" s="31">
        <f>SUMIFS(D2972:D3130,K2972:K3130,"0",B2972:B3130,"5 1 3 9 8 12 31111 6 M78 07000 151 00C 001 39801 015 2111300*")-SUMIFS(E2972:E3130,K2972:K3130,"0",B2972:B3130,"5 1 3 9 8 12 31111 6 M78 07000 151 00C 001 39801 015 2111300*")</f>
        <v>0</v>
      </c>
      <c r="E2971"/>
      <c r="F2971" s="31">
        <f>SUMIFS(F2972:F3130,K2972:K3130,"0",B2972:B3130,"5 1 3 9 8 12 31111 6 M78 07000 151 00C 001 39801 015 2111300*")</f>
        <v>630166</v>
      </c>
      <c r="G2971" s="31">
        <f>SUMIFS(G2972:G3130,K2972:K3130,"0",B2972:B3130,"5 1 3 9 8 12 31111 6 M78 07000 151 00C 001 39801 015 2111300*")</f>
        <v>0</v>
      </c>
      <c r="H2971" s="31">
        <f t="shared" si="47"/>
        <v>630166</v>
      </c>
      <c r="I2971" s="31"/>
      <c r="K2971" t="s">
        <v>13</v>
      </c>
    </row>
    <row r="2972" spans="2:11" ht="22" x14ac:dyDescent="0.15">
      <c r="B2972" s="29" t="s">
        <v>3757</v>
      </c>
      <c r="C2972" s="29" t="s">
        <v>275</v>
      </c>
      <c r="D2972" s="31">
        <f>SUMIFS(D2973:D3130,K2973:K3130,"0",B2973:B3130,"5 1 3 9 8 12 31111 6 M78 07000 151 00C 001 39801 015 2111300 2024*")-SUMIFS(E2973:E3130,K2973:K3130,"0",B2973:B3130,"5 1 3 9 8 12 31111 6 M78 07000 151 00C 001 39801 015 2111300 2024*")</f>
        <v>0</v>
      </c>
      <c r="E2972"/>
      <c r="F2972" s="31">
        <f>SUMIFS(F2973:F3130,K2973:K3130,"0",B2973:B3130,"5 1 3 9 8 12 31111 6 M78 07000 151 00C 001 39801 015 2111300 2024*")</f>
        <v>630166</v>
      </c>
      <c r="G2972" s="31">
        <f>SUMIFS(G2973:G3130,K2973:K3130,"0",B2973:B3130,"5 1 3 9 8 12 31111 6 M78 07000 151 00C 001 39801 015 2111300 2024*")</f>
        <v>0</v>
      </c>
      <c r="H2972" s="31">
        <f t="shared" si="47"/>
        <v>630166</v>
      </c>
      <c r="I2972" s="31"/>
      <c r="K2972" t="s">
        <v>13</v>
      </c>
    </row>
    <row r="2973" spans="2:11" ht="22" x14ac:dyDescent="0.15">
      <c r="B2973" s="29" t="s">
        <v>3758</v>
      </c>
      <c r="C2973" s="29" t="s">
        <v>277</v>
      </c>
      <c r="D2973" s="31">
        <f>SUMIFS(D2974:D3130,K2974:K3130,"0",B2974:B3130,"5 1 3 9 8 12 31111 6 M78 07000 151 00C 001 39801 015 2111300 2024 00000000*")-SUMIFS(E2974:E3130,K2974:K3130,"0",B2974:B3130,"5 1 3 9 8 12 31111 6 M78 07000 151 00C 001 39801 015 2111300 2024 00000000*")</f>
        <v>0</v>
      </c>
      <c r="E2973"/>
      <c r="F2973" s="31">
        <f>SUMIFS(F2974:F3130,K2974:K3130,"0",B2974:B3130,"5 1 3 9 8 12 31111 6 M78 07000 151 00C 001 39801 015 2111300 2024 00000000*")</f>
        <v>630166</v>
      </c>
      <c r="G2973" s="31">
        <f>SUMIFS(G2974:G3130,K2974:K3130,"0",B2974:B3130,"5 1 3 9 8 12 31111 6 M78 07000 151 00C 001 39801 015 2111300 2024 00000000*")</f>
        <v>0</v>
      </c>
      <c r="H2973" s="31">
        <f t="shared" si="47"/>
        <v>630166</v>
      </c>
      <c r="I2973" s="31"/>
      <c r="K2973" t="s">
        <v>13</v>
      </c>
    </row>
    <row r="2974" spans="2:11" ht="22" x14ac:dyDescent="0.15">
      <c r="B2974" s="29" t="s">
        <v>3759</v>
      </c>
      <c r="C2974" s="29" t="s">
        <v>32</v>
      </c>
      <c r="D2974" s="31">
        <f>SUMIFS(D2975:D3130,K2975:K3130,"0",B2975:B3130,"5 1 3 9 8 12 31111 6 M78 07000 151 00C 001 39801 015 2111300 2024 00000000 001*")-SUMIFS(E2975:E3130,K2975:K3130,"0",B2975:B3130,"5 1 3 9 8 12 31111 6 M78 07000 151 00C 001 39801 015 2111300 2024 00000000 001*")</f>
        <v>0</v>
      </c>
      <c r="E2974"/>
      <c r="F2974" s="31">
        <f>SUMIFS(F2975:F3130,K2975:K3130,"0",B2975:B3130,"5 1 3 9 8 12 31111 6 M78 07000 151 00C 001 39801 015 2111300 2024 00000000 001*")</f>
        <v>630166</v>
      </c>
      <c r="G2974" s="31">
        <f>SUMIFS(G2975:G3130,K2975:K3130,"0",B2975:B3130,"5 1 3 9 8 12 31111 6 M78 07000 151 00C 001 39801 015 2111300 2024 00000000 001*")</f>
        <v>0</v>
      </c>
      <c r="H2974" s="31">
        <f t="shared" si="47"/>
        <v>630166</v>
      </c>
      <c r="I2974" s="31"/>
      <c r="K2974" t="s">
        <v>13</v>
      </c>
    </row>
    <row r="2975" spans="2:11" ht="22" x14ac:dyDescent="0.15">
      <c r="B2975" s="27" t="s">
        <v>3760</v>
      </c>
      <c r="C2975" s="27" t="s">
        <v>3761</v>
      </c>
      <c r="D2975" s="30">
        <v>0</v>
      </c>
      <c r="E2975" s="30"/>
      <c r="F2975" s="30">
        <v>630166</v>
      </c>
      <c r="G2975" s="30">
        <v>0</v>
      </c>
      <c r="H2975" s="30">
        <f t="shared" si="47"/>
        <v>630166</v>
      </c>
      <c r="I2975" s="30"/>
      <c r="K2975" t="s">
        <v>37</v>
      </c>
    </row>
    <row r="2976" spans="2:11" ht="13" x14ac:dyDescent="0.15">
      <c r="B2976" s="29" t="s">
        <v>3762</v>
      </c>
      <c r="C2976" s="29" t="s">
        <v>3763</v>
      </c>
      <c r="D2976" s="31">
        <f>SUMIFS(D2977:D3130,K2977:K3130,"0",B2977:B3130,"5 2*")-SUMIFS(E2977:E3130,K2977:K3130,"0",B2977:B3130,"5 2*")</f>
        <v>0</v>
      </c>
      <c r="E2976"/>
      <c r="F2976" s="31">
        <f>SUMIFS(F2977:F3130,K2977:K3130,"0",B2977:B3130,"5 2*")</f>
        <v>2218267.8899999997</v>
      </c>
      <c r="G2976" s="31">
        <f>SUMIFS(G2977:G3130,K2977:K3130,"0",B2977:B3130,"5 2*")</f>
        <v>0</v>
      </c>
      <c r="H2976" s="31">
        <f t="shared" si="47"/>
        <v>2218267.8899999997</v>
      </c>
      <c r="I2976" s="31"/>
      <c r="K2976" t="s">
        <v>13</v>
      </c>
    </row>
    <row r="2977" spans="2:11" ht="13" x14ac:dyDescent="0.15">
      <c r="B2977" s="29" t="s">
        <v>3764</v>
      </c>
      <c r="C2977" s="29" t="s">
        <v>3765</v>
      </c>
      <c r="D2977" s="31">
        <f>SUMIFS(D2978:D3130,K2978:K3130,"0",B2978:B3130,"5 2 1*")-SUMIFS(E2978:E3130,K2978:K3130,"0",B2978:B3130,"5 2 1*")</f>
        <v>0</v>
      </c>
      <c r="E2977"/>
      <c r="F2977" s="31">
        <f>SUMIFS(F2978:F3130,K2978:K3130,"0",B2978:B3130,"5 2 1*")</f>
        <v>0</v>
      </c>
      <c r="G2977" s="31">
        <f>SUMIFS(G2978:G3130,K2978:K3130,"0",B2978:B3130,"5 2 1*")</f>
        <v>0</v>
      </c>
      <c r="H2977" s="31">
        <f t="shared" si="47"/>
        <v>0</v>
      </c>
      <c r="I2977" s="31"/>
      <c r="K2977" t="s">
        <v>13</v>
      </c>
    </row>
    <row r="2978" spans="2:11" ht="13" x14ac:dyDescent="0.15">
      <c r="B2978" s="29" t="s">
        <v>3766</v>
      </c>
      <c r="C2978" s="29" t="s">
        <v>3767</v>
      </c>
      <c r="D2978" s="31">
        <f>SUMIFS(D2979:D3130,K2979:K3130,"0",B2979:B3130,"5 2 2*")-SUMIFS(E2979:E3130,K2979:K3130,"0",B2979:B3130,"5 2 2*")</f>
        <v>0</v>
      </c>
      <c r="E2978"/>
      <c r="F2978" s="31">
        <f>SUMIFS(F2979:F3130,K2979:K3130,"0",B2979:B3130,"5 2 2*")</f>
        <v>0</v>
      </c>
      <c r="G2978" s="31">
        <f>SUMIFS(G2979:G3130,K2979:K3130,"0",B2979:B3130,"5 2 2*")</f>
        <v>0</v>
      </c>
      <c r="H2978" s="31">
        <f t="shared" si="47"/>
        <v>0</v>
      </c>
      <c r="I2978" s="31"/>
      <c r="K2978" t="s">
        <v>13</v>
      </c>
    </row>
    <row r="2979" spans="2:11" ht="13" x14ac:dyDescent="0.15">
      <c r="B2979" s="29" t="s">
        <v>3768</v>
      </c>
      <c r="C2979" s="29" t="s">
        <v>1754</v>
      </c>
      <c r="D2979" s="31">
        <f>SUMIFS(D2980:D3130,K2980:K3130,"0",B2980:B3130,"5 2 3*")-SUMIFS(E2980:E3130,K2980:K3130,"0",B2980:B3130,"5 2 3*")</f>
        <v>0</v>
      </c>
      <c r="E2979"/>
      <c r="F2979" s="31">
        <f>SUMIFS(F2980:F3130,K2980:K3130,"0",B2980:B3130,"5 2 3*")</f>
        <v>0</v>
      </c>
      <c r="G2979" s="31">
        <f>SUMIFS(G2980:G3130,K2980:K3130,"0",B2980:B3130,"5 2 3*")</f>
        <v>0</v>
      </c>
      <c r="H2979" s="31">
        <f t="shared" si="47"/>
        <v>0</v>
      </c>
      <c r="I2979" s="31"/>
      <c r="K2979" t="s">
        <v>13</v>
      </c>
    </row>
    <row r="2980" spans="2:11" ht="13" x14ac:dyDescent="0.15">
      <c r="B2980" s="29" t="s">
        <v>3769</v>
      </c>
      <c r="C2980" s="29" t="s">
        <v>1326</v>
      </c>
      <c r="D2980" s="31">
        <f>SUMIFS(D2981:D3130,K2981:K3130,"0",B2981:B3130,"5 2 4*")-SUMIFS(E2981:E3130,K2981:K3130,"0",B2981:B3130,"5 2 4*")</f>
        <v>0</v>
      </c>
      <c r="E2980"/>
      <c r="F2980" s="31">
        <f>SUMIFS(F2981:F3130,K2981:K3130,"0",B2981:B3130,"5 2 4*")</f>
        <v>2218267.8899999997</v>
      </c>
      <c r="G2980" s="31">
        <f>SUMIFS(G2981:G3130,K2981:K3130,"0",B2981:B3130,"5 2 4*")</f>
        <v>0</v>
      </c>
      <c r="H2980" s="31">
        <f t="shared" si="47"/>
        <v>2218267.8899999997</v>
      </c>
      <c r="I2980" s="31"/>
      <c r="K2980" t="s">
        <v>13</v>
      </c>
    </row>
    <row r="2981" spans="2:11" ht="13" x14ac:dyDescent="0.15">
      <c r="B2981" s="29" t="s">
        <v>3770</v>
      </c>
      <c r="C2981" s="29" t="s">
        <v>1359</v>
      </c>
      <c r="D2981" s="31">
        <f>SUMIFS(D2982:D3130,K2982:K3130,"0",B2982:B3130,"5 2 4 1*")-SUMIFS(E2982:E3130,K2982:K3130,"0",B2982:B3130,"5 2 4 1*")</f>
        <v>0</v>
      </c>
      <c r="E2981"/>
      <c r="F2981" s="31">
        <f>SUMIFS(F2982:F3130,K2982:K3130,"0",B2982:B3130,"5 2 4 1*")</f>
        <v>1980934.89</v>
      </c>
      <c r="G2981" s="31">
        <f>SUMIFS(G2982:G3130,K2982:K3130,"0",B2982:B3130,"5 2 4 1*")</f>
        <v>0</v>
      </c>
      <c r="H2981" s="31">
        <f t="shared" si="47"/>
        <v>1980934.89</v>
      </c>
      <c r="I2981" s="31"/>
      <c r="K2981" t="s">
        <v>13</v>
      </c>
    </row>
    <row r="2982" spans="2:11" ht="13" x14ac:dyDescent="0.15">
      <c r="B2982" s="29" t="s">
        <v>3771</v>
      </c>
      <c r="C2982" s="29" t="s">
        <v>1359</v>
      </c>
      <c r="D2982" s="31">
        <f>SUMIFS(D2983:D3130,K2983:K3130,"0",B2983:B3130,"5 2 4 1 1*")-SUMIFS(E2983:E3130,K2983:K3130,"0",B2983:B3130,"5 2 4 1 1*")</f>
        <v>0</v>
      </c>
      <c r="E2982"/>
      <c r="F2982" s="31">
        <f>SUMIFS(F2983:F3130,K2983:K3130,"0",B2983:B3130,"5 2 4 1 1*")</f>
        <v>1980934.89</v>
      </c>
      <c r="G2982" s="31">
        <f>SUMIFS(G2983:G3130,K2983:K3130,"0",B2983:B3130,"5 2 4 1 1*")</f>
        <v>0</v>
      </c>
      <c r="H2982" s="31">
        <f t="shared" si="47"/>
        <v>1980934.89</v>
      </c>
      <c r="I2982" s="31"/>
      <c r="K2982" t="s">
        <v>13</v>
      </c>
    </row>
    <row r="2983" spans="2:11" ht="13" x14ac:dyDescent="0.15">
      <c r="B2983" s="29" t="s">
        <v>3772</v>
      </c>
      <c r="C2983" s="29" t="s">
        <v>24</v>
      </c>
      <c r="D2983" s="31">
        <f>SUMIFS(D2984:D3130,K2984:K3130,"0",B2984:B3130,"5 2 4 1 1 12*")-SUMIFS(E2984:E3130,K2984:K3130,"0",B2984:B3130,"5 2 4 1 1 12*")</f>
        <v>0</v>
      </c>
      <c r="E2983"/>
      <c r="F2983" s="31">
        <f>SUMIFS(F2984:F3130,K2984:K3130,"0",B2984:B3130,"5 2 4 1 1 12*")</f>
        <v>1980934.89</v>
      </c>
      <c r="G2983" s="31">
        <f>SUMIFS(G2984:G3130,K2984:K3130,"0",B2984:B3130,"5 2 4 1 1 12*")</f>
        <v>0</v>
      </c>
      <c r="H2983" s="31">
        <f t="shared" si="47"/>
        <v>1980934.89</v>
      </c>
      <c r="I2983" s="31"/>
      <c r="K2983" t="s">
        <v>13</v>
      </c>
    </row>
    <row r="2984" spans="2:11" ht="13" x14ac:dyDescent="0.15">
      <c r="B2984" s="29" t="s">
        <v>3773</v>
      </c>
      <c r="C2984" s="29" t="s">
        <v>26</v>
      </c>
      <c r="D2984" s="31">
        <f>SUMIFS(D2985:D3130,K2985:K3130,"0",B2985:B3130,"5 2 4 1 1 12 31111*")-SUMIFS(E2985:E3130,K2985:K3130,"0",B2985:B3130,"5 2 4 1 1 12 31111*")</f>
        <v>0</v>
      </c>
      <c r="E2984"/>
      <c r="F2984" s="31">
        <f>SUMIFS(F2985:F3130,K2985:K3130,"0",B2985:B3130,"5 2 4 1 1 12 31111*")</f>
        <v>1980934.89</v>
      </c>
      <c r="G2984" s="31">
        <f>SUMIFS(G2985:G3130,K2985:K3130,"0",B2985:B3130,"5 2 4 1 1 12 31111*")</f>
        <v>0</v>
      </c>
      <c r="H2984" s="31">
        <f t="shared" si="47"/>
        <v>1980934.89</v>
      </c>
      <c r="I2984" s="31"/>
      <c r="K2984" t="s">
        <v>13</v>
      </c>
    </row>
    <row r="2985" spans="2:11" ht="13" x14ac:dyDescent="0.15">
      <c r="B2985" s="29" t="s">
        <v>3774</v>
      </c>
      <c r="C2985" s="29" t="s">
        <v>28</v>
      </c>
      <c r="D2985" s="31">
        <f>SUMIFS(D2986:D3130,K2986:K3130,"0",B2986:B3130,"5 2 4 1 1 12 31111 6*")-SUMIFS(E2986:E3130,K2986:K3130,"0",B2986:B3130,"5 2 4 1 1 12 31111 6*")</f>
        <v>0</v>
      </c>
      <c r="E2985"/>
      <c r="F2985" s="31">
        <f>SUMIFS(F2986:F3130,K2986:K3130,"0",B2986:B3130,"5 2 4 1 1 12 31111 6*")</f>
        <v>1980934.89</v>
      </c>
      <c r="G2985" s="31">
        <f>SUMIFS(G2986:G3130,K2986:K3130,"0",B2986:B3130,"5 2 4 1 1 12 31111 6*")</f>
        <v>0</v>
      </c>
      <c r="H2985" s="31">
        <f t="shared" si="47"/>
        <v>1980934.89</v>
      </c>
      <c r="I2985" s="31"/>
      <c r="K2985" t="s">
        <v>13</v>
      </c>
    </row>
    <row r="2986" spans="2:11" ht="13" x14ac:dyDescent="0.15">
      <c r="B2986" s="29" t="s">
        <v>3775</v>
      </c>
      <c r="C2986" s="29" t="s">
        <v>1567</v>
      </c>
      <c r="D2986" s="31">
        <f>SUMIFS(D2987:D3130,K2987:K3130,"0",B2987:B3130,"5 2 4 1 1 12 31111 6 M78*")-SUMIFS(E2987:E3130,K2987:K3130,"0",B2987:B3130,"5 2 4 1 1 12 31111 6 M78*")</f>
        <v>0</v>
      </c>
      <c r="E2986"/>
      <c r="F2986" s="31">
        <f>SUMIFS(F2987:F3130,K2987:K3130,"0",B2987:B3130,"5 2 4 1 1 12 31111 6 M78*")</f>
        <v>1980934.89</v>
      </c>
      <c r="G2986" s="31">
        <f>SUMIFS(G2987:G3130,K2987:K3130,"0",B2987:B3130,"5 2 4 1 1 12 31111 6 M78*")</f>
        <v>0</v>
      </c>
      <c r="H2986" s="31">
        <f t="shared" si="47"/>
        <v>1980934.89</v>
      </c>
      <c r="I2986" s="31"/>
      <c r="K2986" t="s">
        <v>13</v>
      </c>
    </row>
    <row r="2987" spans="2:11" ht="13" x14ac:dyDescent="0.15">
      <c r="B2987" s="29" t="s">
        <v>3776</v>
      </c>
      <c r="C2987" s="29" t="s">
        <v>8</v>
      </c>
      <c r="D2987" s="31">
        <f>SUMIFS(D2988:D3130,K2988:K3130,"0",B2988:B3130,"5 2 4 1 1 12 31111 6 M78 07000*")-SUMIFS(E2988:E3130,K2988:K3130,"0",B2988:B3130,"5 2 4 1 1 12 31111 6 M78 07000*")</f>
        <v>0</v>
      </c>
      <c r="E2987"/>
      <c r="F2987" s="31">
        <f>SUMIFS(F2988:F3130,K2988:K3130,"0",B2988:B3130,"5 2 4 1 1 12 31111 6 M78 07000*")</f>
        <v>1844934.89</v>
      </c>
      <c r="G2987" s="31">
        <f>SUMIFS(G2988:G3130,K2988:K3130,"0",B2988:B3130,"5 2 4 1 1 12 31111 6 M78 07000*")</f>
        <v>0</v>
      </c>
      <c r="H2987" s="31">
        <f t="shared" si="47"/>
        <v>1844934.89</v>
      </c>
      <c r="I2987" s="31"/>
      <c r="K2987" t="s">
        <v>13</v>
      </c>
    </row>
    <row r="2988" spans="2:11" ht="13" x14ac:dyDescent="0.15">
      <c r="B2988" s="29" t="s">
        <v>3777</v>
      </c>
      <c r="C2988" s="29" t="s">
        <v>588</v>
      </c>
      <c r="D2988" s="31">
        <f>SUMIFS(D2989:D3130,K2989:K3130,"0",B2989:B3130,"5 2 4 1 1 12 31111 6 M78 07000 151*")-SUMIFS(E2989:E3130,K2989:K3130,"0",B2989:B3130,"5 2 4 1 1 12 31111 6 M78 07000 151*")</f>
        <v>0</v>
      </c>
      <c r="E2988"/>
      <c r="F2988" s="31">
        <f>SUMIFS(F2989:F3130,K2989:K3130,"0",B2989:B3130,"5 2 4 1 1 12 31111 6 M78 07000 151*")</f>
        <v>1844934.89</v>
      </c>
      <c r="G2988" s="31">
        <f>SUMIFS(G2989:G3130,K2989:K3130,"0",B2989:B3130,"5 2 4 1 1 12 31111 6 M78 07000 151*")</f>
        <v>0</v>
      </c>
      <c r="H2988" s="31">
        <f t="shared" si="47"/>
        <v>1844934.89</v>
      </c>
      <c r="I2988" s="31"/>
      <c r="K2988" t="s">
        <v>13</v>
      </c>
    </row>
    <row r="2989" spans="2:11" ht="13" x14ac:dyDescent="0.15">
      <c r="B2989" s="29" t="s">
        <v>3778</v>
      </c>
      <c r="C2989" s="29" t="s">
        <v>265</v>
      </c>
      <c r="D2989" s="31">
        <f>SUMIFS(D2990:D3130,K2990:K3130,"0",B2990:B3130,"5 2 4 1 1 12 31111 6 M78 07000 151 00C*")-SUMIFS(E2990:E3130,K2990:K3130,"0",B2990:B3130,"5 2 4 1 1 12 31111 6 M78 07000 151 00C*")</f>
        <v>0</v>
      </c>
      <c r="E2989"/>
      <c r="F2989" s="31">
        <f>SUMIFS(F2990:F3130,K2990:K3130,"0",B2990:B3130,"5 2 4 1 1 12 31111 6 M78 07000 151 00C*")</f>
        <v>1844934.89</v>
      </c>
      <c r="G2989" s="31">
        <f>SUMIFS(G2990:G3130,K2990:K3130,"0",B2990:B3130,"5 2 4 1 1 12 31111 6 M78 07000 151 00C*")</f>
        <v>0</v>
      </c>
      <c r="H2989" s="31">
        <f t="shared" si="47"/>
        <v>1844934.89</v>
      </c>
      <c r="I2989" s="31"/>
      <c r="K2989" t="s">
        <v>13</v>
      </c>
    </row>
    <row r="2990" spans="2:11" ht="13" x14ac:dyDescent="0.15">
      <c r="B2990" s="29" t="s">
        <v>3779</v>
      </c>
      <c r="C2990" s="29" t="s">
        <v>32</v>
      </c>
      <c r="D2990" s="31">
        <f>SUMIFS(D2991:D3130,K2991:K3130,"0",B2991:B3130,"5 2 4 1 1 12 31111 6 M78 07000 151 00C 001*")-SUMIFS(E2991:E3130,K2991:K3130,"0",B2991:B3130,"5 2 4 1 1 12 31111 6 M78 07000 151 00C 001*")</f>
        <v>0</v>
      </c>
      <c r="E2990"/>
      <c r="F2990" s="31">
        <f>SUMIFS(F2991:F3130,K2991:K3130,"0",B2991:B3130,"5 2 4 1 1 12 31111 6 M78 07000 151 00C 001*")</f>
        <v>1844934.89</v>
      </c>
      <c r="G2990" s="31">
        <f>SUMIFS(G2991:G3130,K2991:K3130,"0",B2991:B3130,"5 2 4 1 1 12 31111 6 M78 07000 151 00C 001*")</f>
        <v>0</v>
      </c>
      <c r="H2990" s="31">
        <f t="shared" si="47"/>
        <v>1844934.89</v>
      </c>
      <c r="I2990" s="31"/>
      <c r="K2990" t="s">
        <v>13</v>
      </c>
    </row>
    <row r="2991" spans="2:11" ht="22" x14ac:dyDescent="0.15">
      <c r="B2991" s="29" t="s">
        <v>3780</v>
      </c>
      <c r="C2991" s="29" t="s">
        <v>3781</v>
      </c>
      <c r="D2991" s="31">
        <f>SUMIFS(D2992:D3130,K2992:K3130,"0",B2992:B3130,"5 2 4 1 1 12 31111 6 M78 07000 151 00C 001 44101*")-SUMIFS(E2992:E3130,K2992:K3130,"0",B2992:B3130,"5 2 4 1 1 12 31111 6 M78 07000 151 00C 001 44101*")</f>
        <v>0</v>
      </c>
      <c r="E2991"/>
      <c r="F2991" s="31">
        <f>SUMIFS(F2992:F3130,K2992:K3130,"0",B2992:B3130,"5 2 4 1 1 12 31111 6 M78 07000 151 00C 001 44101*")</f>
        <v>1810434.89</v>
      </c>
      <c r="G2991" s="31">
        <f>SUMIFS(G2992:G3130,K2992:K3130,"0",B2992:B3130,"5 2 4 1 1 12 31111 6 M78 07000 151 00C 001 44101*")</f>
        <v>0</v>
      </c>
      <c r="H2991" s="31">
        <f t="shared" si="47"/>
        <v>1810434.89</v>
      </c>
      <c r="I2991" s="31"/>
      <c r="K2991" t="s">
        <v>13</v>
      </c>
    </row>
    <row r="2992" spans="2:11" ht="22" x14ac:dyDescent="0.15">
      <c r="B2992" s="29" t="s">
        <v>3782</v>
      </c>
      <c r="C2992" s="29" t="s">
        <v>271</v>
      </c>
      <c r="D2992" s="31">
        <f>SUMIFS(D2993:D3130,K2993:K3130,"0",B2993:B3130,"5 2 4 1 1 12 31111 6 M78 07000 151 00C 001 44101 015*")-SUMIFS(E2993:E3130,K2993:K3130,"0",B2993:B3130,"5 2 4 1 1 12 31111 6 M78 07000 151 00C 001 44101 015*")</f>
        <v>0</v>
      </c>
      <c r="E2992"/>
      <c r="F2992" s="31">
        <f>SUMIFS(F2993:F3130,K2993:K3130,"0",B2993:B3130,"5 2 4 1 1 12 31111 6 M78 07000 151 00C 001 44101 015*")</f>
        <v>1810434.89</v>
      </c>
      <c r="G2992" s="31">
        <f>SUMIFS(G2993:G3130,K2993:K3130,"0",B2993:B3130,"5 2 4 1 1 12 31111 6 M78 07000 151 00C 001 44101 015*")</f>
        <v>0</v>
      </c>
      <c r="H2992" s="31">
        <f t="shared" si="47"/>
        <v>1810434.89</v>
      </c>
      <c r="I2992" s="31"/>
      <c r="K2992" t="s">
        <v>13</v>
      </c>
    </row>
    <row r="2993" spans="2:11" ht="22" x14ac:dyDescent="0.15">
      <c r="B2993" s="29" t="s">
        <v>3783</v>
      </c>
      <c r="C2993" s="29" t="s">
        <v>3784</v>
      </c>
      <c r="D2993" s="31">
        <f>SUMIFS(D2994:D3130,K2994:K3130,"0",B2994:B3130,"5 2 4 1 1 12 31111 6 M78 07000 151 00C 001 44101 015 2151100*")-SUMIFS(E2994:E3130,K2994:K3130,"0",B2994:B3130,"5 2 4 1 1 12 31111 6 M78 07000 151 00C 001 44101 015 2151100*")</f>
        <v>0</v>
      </c>
      <c r="E2993"/>
      <c r="F2993" s="31">
        <f>SUMIFS(F2994:F3130,K2994:K3130,"0",B2994:B3130,"5 2 4 1 1 12 31111 6 M78 07000 151 00C 001 44101 015 2151100*")</f>
        <v>1810434.89</v>
      </c>
      <c r="G2993" s="31">
        <f>SUMIFS(G2994:G3130,K2994:K3130,"0",B2994:B3130,"5 2 4 1 1 12 31111 6 M78 07000 151 00C 001 44101 015 2151100*")</f>
        <v>0</v>
      </c>
      <c r="H2993" s="31">
        <f t="shared" si="47"/>
        <v>1810434.89</v>
      </c>
      <c r="I2993" s="31"/>
      <c r="K2993" t="s">
        <v>13</v>
      </c>
    </row>
    <row r="2994" spans="2:11" ht="22" x14ac:dyDescent="0.15">
      <c r="B2994" s="29" t="s">
        <v>3785</v>
      </c>
      <c r="C2994" s="29" t="s">
        <v>275</v>
      </c>
      <c r="D2994" s="31">
        <f>SUMIFS(D2995:D3130,K2995:K3130,"0",B2995:B3130,"5 2 4 1 1 12 31111 6 M78 07000 151 00C 001 44101 015 2151100 2024*")-SUMIFS(E2995:E3130,K2995:K3130,"0",B2995:B3130,"5 2 4 1 1 12 31111 6 M78 07000 151 00C 001 44101 015 2151100 2024*")</f>
        <v>0</v>
      </c>
      <c r="E2994"/>
      <c r="F2994" s="31">
        <f>SUMIFS(F2995:F3130,K2995:K3130,"0",B2995:B3130,"5 2 4 1 1 12 31111 6 M78 07000 151 00C 001 44101 015 2151100 2024*")</f>
        <v>1810434.89</v>
      </c>
      <c r="G2994" s="31">
        <f>SUMIFS(G2995:G3130,K2995:K3130,"0",B2995:B3130,"5 2 4 1 1 12 31111 6 M78 07000 151 00C 001 44101 015 2151100 2024*")</f>
        <v>0</v>
      </c>
      <c r="H2994" s="31">
        <f t="shared" si="47"/>
        <v>1810434.89</v>
      </c>
      <c r="I2994" s="31"/>
      <c r="K2994" t="s">
        <v>13</v>
      </c>
    </row>
    <row r="2995" spans="2:11" ht="22" x14ac:dyDescent="0.15">
      <c r="B2995" s="29" t="s">
        <v>3786</v>
      </c>
      <c r="C2995" s="29" t="s">
        <v>277</v>
      </c>
      <c r="D2995" s="31">
        <f>SUMIFS(D2996:D3130,K2996:K3130,"0",B2996:B3130,"5 2 4 1 1 12 31111 6 M78 07000 151 00C 001 44101 015 2151100 2024 00000000*")-SUMIFS(E2996:E3130,K2996:K3130,"0",B2996:B3130,"5 2 4 1 1 12 31111 6 M78 07000 151 00C 001 44101 015 2151100 2024 00000000*")</f>
        <v>0</v>
      </c>
      <c r="E2995"/>
      <c r="F2995" s="31">
        <f>SUMIFS(F2996:F3130,K2996:K3130,"0",B2996:B3130,"5 2 4 1 1 12 31111 6 M78 07000 151 00C 001 44101 015 2151100 2024 00000000*")</f>
        <v>1810434.89</v>
      </c>
      <c r="G2995" s="31">
        <f>SUMIFS(G2996:G3130,K2996:K3130,"0",B2996:B3130,"5 2 4 1 1 12 31111 6 M78 07000 151 00C 001 44101 015 2151100 2024 00000000*")</f>
        <v>0</v>
      </c>
      <c r="H2995" s="31">
        <f t="shared" si="47"/>
        <v>1810434.89</v>
      </c>
      <c r="I2995" s="31"/>
      <c r="K2995" t="s">
        <v>13</v>
      </c>
    </row>
    <row r="2996" spans="2:11" ht="22" x14ac:dyDescent="0.15">
      <c r="B2996" s="29" t="s">
        <v>3787</v>
      </c>
      <c r="C2996" s="29" t="s">
        <v>32</v>
      </c>
      <c r="D2996" s="31">
        <f>SUMIFS(D2997:D3130,K2997:K3130,"0",B2997:B3130,"5 2 4 1 1 12 31111 6 M78 07000 151 00C 001 44101 015 2151100 2024 00000000 001*")-SUMIFS(E2997:E3130,K2997:K3130,"0",B2997:B3130,"5 2 4 1 1 12 31111 6 M78 07000 151 00C 001 44101 015 2151100 2024 00000000 001*")</f>
        <v>0</v>
      </c>
      <c r="E2996"/>
      <c r="F2996" s="31">
        <f>SUMIFS(F2997:F3130,K2997:K3130,"0",B2997:B3130,"5 2 4 1 1 12 31111 6 M78 07000 151 00C 001 44101 015 2151100 2024 00000000 001*")</f>
        <v>1810434.89</v>
      </c>
      <c r="G2996" s="31">
        <f>SUMIFS(G2997:G3130,K2997:K3130,"0",B2997:B3130,"5 2 4 1 1 12 31111 6 M78 07000 151 00C 001 44101 015 2151100 2024 00000000 001*")</f>
        <v>0</v>
      </c>
      <c r="H2996" s="31">
        <f t="shared" si="47"/>
        <v>1810434.89</v>
      </c>
      <c r="I2996" s="31"/>
      <c r="K2996" t="s">
        <v>13</v>
      </c>
    </row>
    <row r="2997" spans="2:11" ht="22" x14ac:dyDescent="0.15">
      <c r="B2997" s="27" t="s">
        <v>3788</v>
      </c>
      <c r="C2997" s="27" t="s">
        <v>1359</v>
      </c>
      <c r="D2997" s="30">
        <v>0</v>
      </c>
      <c r="E2997" s="30"/>
      <c r="F2997" s="30">
        <v>393690</v>
      </c>
      <c r="G2997" s="30">
        <v>0</v>
      </c>
      <c r="H2997" s="30">
        <f t="shared" si="47"/>
        <v>393690</v>
      </c>
      <c r="I2997" s="30"/>
      <c r="K2997" t="s">
        <v>37</v>
      </c>
    </row>
    <row r="2998" spans="2:11" ht="22" x14ac:dyDescent="0.15">
      <c r="B2998" s="27" t="s">
        <v>3789</v>
      </c>
      <c r="C2998" s="27" t="s">
        <v>3790</v>
      </c>
      <c r="D2998" s="30">
        <v>0</v>
      </c>
      <c r="E2998" s="30"/>
      <c r="F2998" s="30">
        <v>289500</v>
      </c>
      <c r="G2998" s="30">
        <v>0</v>
      </c>
      <c r="H2998" s="30">
        <f t="shared" si="47"/>
        <v>289500</v>
      </c>
      <c r="I2998" s="30"/>
      <c r="K2998" t="s">
        <v>37</v>
      </c>
    </row>
    <row r="2999" spans="2:11" ht="22" x14ac:dyDescent="0.15">
      <c r="B2999" s="27" t="s">
        <v>3791</v>
      </c>
      <c r="C2999" s="27" t="s">
        <v>3792</v>
      </c>
      <c r="D2999" s="30">
        <v>0</v>
      </c>
      <c r="E2999" s="30"/>
      <c r="F2999" s="30">
        <v>77000</v>
      </c>
      <c r="G2999" s="30">
        <v>0</v>
      </c>
      <c r="H2999" s="30">
        <f t="shared" si="47"/>
        <v>77000</v>
      </c>
      <c r="I2999" s="30"/>
      <c r="K2999" t="s">
        <v>37</v>
      </c>
    </row>
    <row r="3000" spans="2:11" ht="22" x14ac:dyDescent="0.15">
      <c r="B3000" s="27" t="s">
        <v>3793</v>
      </c>
      <c r="C3000" s="27" t="s">
        <v>3794</v>
      </c>
      <c r="D3000" s="30">
        <v>0</v>
      </c>
      <c r="E3000" s="30"/>
      <c r="F3000" s="30">
        <v>1050244.8899999999</v>
      </c>
      <c r="G3000" s="30">
        <v>0</v>
      </c>
      <c r="H3000" s="30">
        <f t="shared" si="47"/>
        <v>1050244.8899999999</v>
      </c>
      <c r="I3000" s="30"/>
      <c r="K3000" t="s">
        <v>37</v>
      </c>
    </row>
    <row r="3001" spans="2:11" ht="55" x14ac:dyDescent="0.15">
      <c r="B3001" s="29" t="s">
        <v>3795</v>
      </c>
      <c r="C3001" s="29" t="s">
        <v>3796</v>
      </c>
      <c r="D3001" s="31">
        <f>SUMIFS(D3002:D3130,K3002:K3130,"0",B3002:B3130,"5 2 4 1 1 12 31111 6 M78 07000 151 00C 001 44110*")-SUMIFS(E3002:E3130,K3002:K3130,"0",B3002:B3130,"5 2 4 1 1 12 31111 6 M78 07000 151 00C 001 44110*")</f>
        <v>0</v>
      </c>
      <c r="E3001"/>
      <c r="F3001" s="31">
        <f>SUMIFS(F3002:F3130,K3002:K3130,"0",B3002:B3130,"5 2 4 1 1 12 31111 6 M78 07000 151 00C 001 44110*")</f>
        <v>34500</v>
      </c>
      <c r="G3001" s="31">
        <f>SUMIFS(G3002:G3130,K3002:K3130,"0",B3002:B3130,"5 2 4 1 1 12 31111 6 M78 07000 151 00C 001 44110*")</f>
        <v>0</v>
      </c>
      <c r="H3001" s="31">
        <f t="shared" si="47"/>
        <v>34500</v>
      </c>
      <c r="I3001" s="31"/>
      <c r="K3001" t="s">
        <v>13</v>
      </c>
    </row>
    <row r="3002" spans="2:11" ht="22" x14ac:dyDescent="0.15">
      <c r="B3002" s="29" t="s">
        <v>3797</v>
      </c>
      <c r="C3002" s="29" t="s">
        <v>271</v>
      </c>
      <c r="D3002" s="31">
        <f>SUMIFS(D3003:D3130,K3003:K3130,"0",B3003:B3130,"5 2 4 1 1 12 31111 6 M78 07000 151 00C 001 44110 015*")-SUMIFS(E3003:E3130,K3003:K3130,"0",B3003:B3130,"5 2 4 1 1 12 31111 6 M78 07000 151 00C 001 44110 015*")</f>
        <v>0</v>
      </c>
      <c r="E3002"/>
      <c r="F3002" s="31">
        <f>SUMIFS(F3003:F3130,K3003:K3130,"0",B3003:B3130,"5 2 4 1 1 12 31111 6 M78 07000 151 00C 001 44110 015*")</f>
        <v>34500</v>
      </c>
      <c r="G3002" s="31">
        <f>SUMIFS(G3003:G3130,K3003:K3130,"0",B3003:B3130,"5 2 4 1 1 12 31111 6 M78 07000 151 00C 001 44110 015*")</f>
        <v>0</v>
      </c>
      <c r="H3002" s="31">
        <f t="shared" si="47"/>
        <v>34500</v>
      </c>
      <c r="I3002" s="31"/>
      <c r="K3002" t="s">
        <v>13</v>
      </c>
    </row>
    <row r="3003" spans="2:11" ht="22" x14ac:dyDescent="0.15">
      <c r="B3003" s="29" t="s">
        <v>3798</v>
      </c>
      <c r="C3003" s="29" t="s">
        <v>3784</v>
      </c>
      <c r="D3003" s="31">
        <f>SUMIFS(D3004:D3130,K3004:K3130,"0",B3004:B3130,"5 2 4 1 1 12 31111 6 M78 07000 151 00C 001 44110 015 2151100*")-SUMIFS(E3004:E3130,K3004:K3130,"0",B3004:B3130,"5 2 4 1 1 12 31111 6 M78 07000 151 00C 001 44110 015 2151100*")</f>
        <v>0</v>
      </c>
      <c r="E3003"/>
      <c r="F3003" s="31">
        <f>SUMIFS(F3004:F3130,K3004:K3130,"0",B3004:B3130,"5 2 4 1 1 12 31111 6 M78 07000 151 00C 001 44110 015 2151100*")</f>
        <v>34500</v>
      </c>
      <c r="G3003" s="31">
        <f>SUMIFS(G3004:G3130,K3004:K3130,"0",B3004:B3130,"5 2 4 1 1 12 31111 6 M78 07000 151 00C 001 44110 015 2151100*")</f>
        <v>0</v>
      </c>
      <c r="H3003" s="31">
        <f t="shared" si="47"/>
        <v>34500</v>
      </c>
      <c r="I3003" s="31"/>
      <c r="K3003" t="s">
        <v>13</v>
      </c>
    </row>
    <row r="3004" spans="2:11" ht="22" x14ac:dyDescent="0.15">
      <c r="B3004" s="29" t="s">
        <v>3799</v>
      </c>
      <c r="C3004" s="29" t="s">
        <v>275</v>
      </c>
      <c r="D3004" s="31">
        <f>SUMIFS(D3005:D3130,K3005:K3130,"0",B3005:B3130,"5 2 4 1 1 12 31111 6 M78 07000 151 00C 001 44110 015 2151100 2024*")-SUMIFS(E3005:E3130,K3005:K3130,"0",B3005:B3130,"5 2 4 1 1 12 31111 6 M78 07000 151 00C 001 44110 015 2151100 2024*")</f>
        <v>0</v>
      </c>
      <c r="E3004"/>
      <c r="F3004" s="31">
        <f>SUMIFS(F3005:F3130,K3005:K3130,"0",B3005:B3130,"5 2 4 1 1 12 31111 6 M78 07000 151 00C 001 44110 015 2151100 2024*")</f>
        <v>34500</v>
      </c>
      <c r="G3004" s="31">
        <f>SUMIFS(G3005:G3130,K3005:K3130,"0",B3005:B3130,"5 2 4 1 1 12 31111 6 M78 07000 151 00C 001 44110 015 2151100 2024*")</f>
        <v>0</v>
      </c>
      <c r="H3004" s="31">
        <f t="shared" si="47"/>
        <v>34500</v>
      </c>
      <c r="I3004" s="31"/>
      <c r="K3004" t="s">
        <v>13</v>
      </c>
    </row>
    <row r="3005" spans="2:11" ht="22" x14ac:dyDescent="0.15">
      <c r="B3005" s="29" t="s">
        <v>3800</v>
      </c>
      <c r="C3005" s="29" t="s">
        <v>277</v>
      </c>
      <c r="D3005" s="31">
        <f>SUMIFS(D3006:D3130,K3006:K3130,"0",B3006:B3130,"5 2 4 1 1 12 31111 6 M78 07000 151 00C 001 44110 015 2151100 2024 00000000*")-SUMIFS(E3006:E3130,K3006:K3130,"0",B3006:B3130,"5 2 4 1 1 12 31111 6 M78 07000 151 00C 001 44110 015 2151100 2024 00000000*")</f>
        <v>0</v>
      </c>
      <c r="E3005"/>
      <c r="F3005" s="31">
        <f>SUMIFS(F3006:F3130,K3006:K3130,"0",B3006:B3130,"5 2 4 1 1 12 31111 6 M78 07000 151 00C 001 44110 015 2151100 2024 00000000*")</f>
        <v>34500</v>
      </c>
      <c r="G3005" s="31">
        <f>SUMIFS(G3006:G3130,K3006:K3130,"0",B3006:B3130,"5 2 4 1 1 12 31111 6 M78 07000 151 00C 001 44110 015 2151100 2024 00000000*")</f>
        <v>0</v>
      </c>
      <c r="H3005" s="31">
        <f t="shared" si="47"/>
        <v>34500</v>
      </c>
      <c r="I3005" s="31"/>
      <c r="K3005" t="s">
        <v>13</v>
      </c>
    </row>
    <row r="3006" spans="2:11" ht="22" x14ac:dyDescent="0.15">
      <c r="B3006" s="29" t="s">
        <v>3801</v>
      </c>
      <c r="C3006" s="29" t="s">
        <v>32</v>
      </c>
      <c r="D3006" s="31">
        <f>SUMIFS(D3007:D3130,K3007:K3130,"0",B3007:B3130,"5 2 4 1 1 12 31111 6 M78 07000 151 00C 001 44110 015 2151100 2024 00000000 001*")-SUMIFS(E3007:E3130,K3007:K3130,"0",B3007:B3130,"5 2 4 1 1 12 31111 6 M78 07000 151 00C 001 44110 015 2151100 2024 00000000 001*")</f>
        <v>0</v>
      </c>
      <c r="E3006"/>
      <c r="F3006" s="31">
        <f>SUMIFS(F3007:F3130,K3007:K3130,"0",B3007:B3130,"5 2 4 1 1 12 31111 6 M78 07000 151 00C 001 44110 015 2151100 2024 00000000 001*")</f>
        <v>34500</v>
      </c>
      <c r="G3006" s="31">
        <f>SUMIFS(G3007:G3130,K3007:K3130,"0",B3007:B3130,"5 2 4 1 1 12 31111 6 M78 07000 151 00C 001 44110 015 2151100 2024 00000000 001*")</f>
        <v>0</v>
      </c>
      <c r="H3006" s="31">
        <f t="shared" si="47"/>
        <v>34500</v>
      </c>
      <c r="I3006" s="31"/>
      <c r="K3006" t="s">
        <v>13</v>
      </c>
    </row>
    <row r="3007" spans="2:11" ht="22" x14ac:dyDescent="0.15">
      <c r="B3007" s="27" t="s">
        <v>3802</v>
      </c>
      <c r="C3007" s="27" t="s">
        <v>3803</v>
      </c>
      <c r="D3007" s="30">
        <v>0</v>
      </c>
      <c r="E3007" s="30"/>
      <c r="F3007" s="30">
        <v>34500</v>
      </c>
      <c r="G3007" s="30">
        <v>0</v>
      </c>
      <c r="H3007" s="30">
        <f t="shared" si="47"/>
        <v>34500</v>
      </c>
      <c r="I3007" s="30"/>
      <c r="K3007" t="s">
        <v>37</v>
      </c>
    </row>
    <row r="3008" spans="2:11" ht="13" x14ac:dyDescent="0.15">
      <c r="B3008" s="29" t="s">
        <v>3804</v>
      </c>
      <c r="C3008" s="29" t="s">
        <v>833</v>
      </c>
      <c r="D3008" s="31">
        <f>SUMIFS(D3009:D3130,K3009:K3130,"0",B3009:B3130,"5 2 4 1 1 12 31111 6 M78 15000*")-SUMIFS(E3009:E3130,K3009:K3130,"0",B3009:B3130,"5 2 4 1 1 12 31111 6 M78 15000*")</f>
        <v>0</v>
      </c>
      <c r="E3008"/>
      <c r="F3008" s="31">
        <f>SUMIFS(F3009:F3130,K3009:K3130,"0",B3009:B3130,"5 2 4 1 1 12 31111 6 M78 15000*")</f>
        <v>136000</v>
      </c>
      <c r="G3008" s="31">
        <f>SUMIFS(G3009:G3130,K3009:K3130,"0",B3009:B3130,"5 2 4 1 1 12 31111 6 M78 15000*")</f>
        <v>0</v>
      </c>
      <c r="H3008" s="31">
        <f t="shared" si="47"/>
        <v>136000</v>
      </c>
      <c r="I3008" s="31"/>
      <c r="K3008" t="s">
        <v>13</v>
      </c>
    </row>
    <row r="3009" spans="2:11" ht="13" x14ac:dyDescent="0.15">
      <c r="B3009" s="29" t="s">
        <v>3805</v>
      </c>
      <c r="C3009" s="29" t="s">
        <v>835</v>
      </c>
      <c r="D3009" s="31">
        <f>SUMIFS(D3010:D3130,K3010:K3130,"0",B3010:B3130,"5 2 4 1 1 12 31111 6 M78 15000 171*")-SUMIFS(E3010:E3130,K3010:K3130,"0",B3010:B3130,"5 2 4 1 1 12 31111 6 M78 15000 171*")</f>
        <v>0</v>
      </c>
      <c r="E3009"/>
      <c r="F3009" s="31">
        <f>SUMIFS(F3010:F3130,K3010:K3130,"0",B3010:B3130,"5 2 4 1 1 12 31111 6 M78 15000 171*")</f>
        <v>136000</v>
      </c>
      <c r="G3009" s="31">
        <f>SUMIFS(G3010:G3130,K3010:K3130,"0",B3010:B3130,"5 2 4 1 1 12 31111 6 M78 15000 171*")</f>
        <v>0</v>
      </c>
      <c r="H3009" s="31">
        <f t="shared" si="47"/>
        <v>136000</v>
      </c>
      <c r="I3009" s="31"/>
      <c r="K3009" t="s">
        <v>13</v>
      </c>
    </row>
    <row r="3010" spans="2:11" ht="13" x14ac:dyDescent="0.15">
      <c r="B3010" s="29" t="s">
        <v>3806</v>
      </c>
      <c r="C3010" s="29" t="s">
        <v>285</v>
      </c>
      <c r="D3010" s="31">
        <f>SUMIFS(D3011:D3130,K3011:K3130,"0",B3011:B3130,"5 2 4 1 1 12 31111 6 M78 15000 171 00I*")-SUMIFS(E3011:E3130,K3011:K3130,"0",B3011:B3130,"5 2 4 1 1 12 31111 6 M78 15000 171 00I*")</f>
        <v>0</v>
      </c>
      <c r="E3010"/>
      <c r="F3010" s="31">
        <f>SUMIFS(F3011:F3130,K3011:K3130,"0",B3011:B3130,"5 2 4 1 1 12 31111 6 M78 15000 171 00I*")</f>
        <v>136000</v>
      </c>
      <c r="G3010" s="31">
        <f>SUMIFS(G3011:G3130,K3011:K3130,"0",B3011:B3130,"5 2 4 1 1 12 31111 6 M78 15000 171 00I*")</f>
        <v>0</v>
      </c>
      <c r="H3010" s="31">
        <f t="shared" si="47"/>
        <v>136000</v>
      </c>
      <c r="I3010" s="31"/>
      <c r="K3010" t="s">
        <v>13</v>
      </c>
    </row>
    <row r="3011" spans="2:11" ht="13" x14ac:dyDescent="0.15">
      <c r="B3011" s="29" t="s">
        <v>3807</v>
      </c>
      <c r="C3011" s="29" t="s">
        <v>32</v>
      </c>
      <c r="D3011" s="31">
        <f>SUMIFS(D3012:D3130,K3012:K3130,"0",B3012:B3130,"5 2 4 1 1 12 31111 6 M78 15000 171 00I 001*")-SUMIFS(E3012:E3130,K3012:K3130,"0",B3012:B3130,"5 2 4 1 1 12 31111 6 M78 15000 171 00I 001*")</f>
        <v>0</v>
      </c>
      <c r="E3011"/>
      <c r="F3011" s="31">
        <f>SUMIFS(F3012:F3130,K3012:K3130,"0",B3012:B3130,"5 2 4 1 1 12 31111 6 M78 15000 171 00I 001*")</f>
        <v>136000</v>
      </c>
      <c r="G3011" s="31">
        <f>SUMIFS(G3012:G3130,K3012:K3130,"0",B3012:B3130,"5 2 4 1 1 12 31111 6 M78 15000 171 00I 001*")</f>
        <v>0</v>
      </c>
      <c r="H3011" s="31">
        <f t="shared" si="47"/>
        <v>136000</v>
      </c>
      <c r="I3011" s="31"/>
      <c r="K3011" t="s">
        <v>13</v>
      </c>
    </row>
    <row r="3012" spans="2:11" ht="13" x14ac:dyDescent="0.15">
      <c r="B3012" s="29" t="s">
        <v>3808</v>
      </c>
      <c r="C3012" s="29" t="s">
        <v>1359</v>
      </c>
      <c r="D3012" s="31">
        <f>SUMIFS(D3013:D3130,K3013:K3130,"0",B3013:B3130,"5 2 4 1 1 12 31111 6 M78 15000 171 00I 001 52411*")-SUMIFS(E3013:E3130,K3013:K3130,"0",B3013:B3130,"5 2 4 1 1 12 31111 6 M78 15000 171 00I 001 52411*")</f>
        <v>0</v>
      </c>
      <c r="E3012"/>
      <c r="F3012" s="31">
        <f>SUMIFS(F3013:F3130,K3013:K3130,"0",B3013:B3130,"5 2 4 1 1 12 31111 6 M78 15000 171 00I 001 52411*")</f>
        <v>136000</v>
      </c>
      <c r="G3012" s="31">
        <f>SUMIFS(G3013:G3130,K3013:K3130,"0",B3013:B3130,"5 2 4 1 1 12 31111 6 M78 15000 171 00I 001 52411*")</f>
        <v>0</v>
      </c>
      <c r="H3012" s="31">
        <f t="shared" si="47"/>
        <v>136000</v>
      </c>
      <c r="I3012" s="31"/>
      <c r="K3012" t="s">
        <v>13</v>
      </c>
    </row>
    <row r="3013" spans="2:11" ht="22" x14ac:dyDescent="0.15">
      <c r="B3013" s="29" t="s">
        <v>3809</v>
      </c>
      <c r="C3013" s="29" t="s">
        <v>3418</v>
      </c>
      <c r="D3013" s="31">
        <f>SUMIFS(D3014:D3130,K3014:K3130,"0",B3014:B3130,"5 2 4 1 1 12 31111 6 M78 15000 171 00I 001 52411 025*")-SUMIFS(E3014:E3130,K3014:K3130,"0",B3014:B3130,"5 2 4 1 1 12 31111 6 M78 15000 171 00I 001 52411 025*")</f>
        <v>0</v>
      </c>
      <c r="E3013"/>
      <c r="F3013" s="31">
        <f>SUMIFS(F3014:F3130,K3014:K3130,"0",B3014:B3130,"5 2 4 1 1 12 31111 6 M78 15000 171 00I 001 52411 025*")</f>
        <v>136000</v>
      </c>
      <c r="G3013" s="31">
        <f>SUMIFS(G3014:G3130,K3014:K3130,"0",B3014:B3130,"5 2 4 1 1 12 31111 6 M78 15000 171 00I 001 52411 025*")</f>
        <v>0</v>
      </c>
      <c r="H3013" s="31">
        <f t="shared" si="47"/>
        <v>136000</v>
      </c>
      <c r="I3013" s="31"/>
      <c r="K3013" t="s">
        <v>13</v>
      </c>
    </row>
    <row r="3014" spans="2:11" ht="22" x14ac:dyDescent="0.15">
      <c r="B3014" s="29" t="s">
        <v>3810</v>
      </c>
      <c r="C3014" s="29" t="s">
        <v>3811</v>
      </c>
      <c r="D3014" s="31">
        <f>SUMIFS(D3015:D3130,K3015:K3130,"0",B3015:B3130,"5 2 4 1 1 12 31111 6 M78 15000 171 00I 001 52411 025 2151100*")-SUMIFS(E3015:E3130,K3015:K3130,"0",B3015:B3130,"5 2 4 1 1 12 31111 6 M78 15000 171 00I 001 52411 025 2151100*")</f>
        <v>0</v>
      </c>
      <c r="E3014"/>
      <c r="F3014" s="31">
        <f>SUMIFS(F3015:F3130,K3015:K3130,"0",B3015:B3130,"5 2 4 1 1 12 31111 6 M78 15000 171 00I 001 52411 025 2151100*")</f>
        <v>136000</v>
      </c>
      <c r="G3014" s="31">
        <f>SUMIFS(G3015:G3130,K3015:K3130,"0",B3015:B3130,"5 2 4 1 1 12 31111 6 M78 15000 171 00I 001 52411 025 2151100*")</f>
        <v>0</v>
      </c>
      <c r="H3014" s="31">
        <f t="shared" si="47"/>
        <v>136000</v>
      </c>
      <c r="I3014" s="31"/>
      <c r="K3014" t="s">
        <v>13</v>
      </c>
    </row>
    <row r="3015" spans="2:11" ht="22" x14ac:dyDescent="0.15">
      <c r="B3015" s="29" t="s">
        <v>3812</v>
      </c>
      <c r="C3015" s="29" t="s">
        <v>275</v>
      </c>
      <c r="D3015" s="31">
        <f>SUMIFS(D3016:D3130,K3016:K3130,"0",B3016:B3130,"5 2 4 1 1 12 31111 6 M78 15000 171 00I 001 52411 025 2151100 2024*")-SUMIFS(E3016:E3130,K3016:K3130,"0",B3016:B3130,"5 2 4 1 1 12 31111 6 M78 15000 171 00I 001 52411 025 2151100 2024*")</f>
        <v>0</v>
      </c>
      <c r="E3015"/>
      <c r="F3015" s="31">
        <f>SUMIFS(F3016:F3130,K3016:K3130,"0",B3016:B3130,"5 2 4 1 1 12 31111 6 M78 15000 171 00I 001 52411 025 2151100 2024*")</f>
        <v>136000</v>
      </c>
      <c r="G3015" s="31">
        <f>SUMIFS(G3016:G3130,K3016:K3130,"0",B3016:B3130,"5 2 4 1 1 12 31111 6 M78 15000 171 00I 001 52411 025 2151100 2024*")</f>
        <v>0</v>
      </c>
      <c r="H3015" s="31">
        <f t="shared" si="47"/>
        <v>136000</v>
      </c>
      <c r="I3015" s="31"/>
      <c r="K3015" t="s">
        <v>13</v>
      </c>
    </row>
    <row r="3016" spans="2:11" ht="22" x14ac:dyDescent="0.15">
      <c r="B3016" s="29" t="s">
        <v>3813</v>
      </c>
      <c r="C3016" s="29" t="s">
        <v>277</v>
      </c>
      <c r="D3016" s="31">
        <f>SUMIFS(D3017:D3130,K3017:K3130,"0",B3017:B3130,"5 2 4 1 1 12 31111 6 M78 15000 171 00I 001 52411 025 2151100 2024 00000000*")-SUMIFS(E3017:E3130,K3017:K3130,"0",B3017:B3130,"5 2 4 1 1 12 31111 6 M78 15000 171 00I 001 52411 025 2151100 2024 00000000*")</f>
        <v>0</v>
      </c>
      <c r="E3016"/>
      <c r="F3016" s="31">
        <f>SUMIFS(F3017:F3130,K3017:K3130,"0",B3017:B3130,"5 2 4 1 1 12 31111 6 M78 15000 171 00I 001 52411 025 2151100 2024 00000000*")</f>
        <v>136000</v>
      </c>
      <c r="G3016" s="31">
        <f>SUMIFS(G3017:G3130,K3017:K3130,"0",B3017:B3130,"5 2 4 1 1 12 31111 6 M78 15000 171 00I 001 52411 025 2151100 2024 00000000*")</f>
        <v>0</v>
      </c>
      <c r="H3016" s="31">
        <f t="shared" si="47"/>
        <v>136000</v>
      </c>
      <c r="I3016" s="31"/>
      <c r="K3016" t="s">
        <v>13</v>
      </c>
    </row>
    <row r="3017" spans="2:11" ht="22" x14ac:dyDescent="0.15">
      <c r="B3017" s="29" t="s">
        <v>3814</v>
      </c>
      <c r="C3017" s="29" t="s">
        <v>581</v>
      </c>
      <c r="D3017" s="31">
        <f>SUMIFS(D3018:D3130,K3018:K3130,"0",B3018:B3130,"5 2 4 1 1 12 31111 6 M78 15000 171 00I 001 52411 025 2151100 2024 00000000 003*")-SUMIFS(E3018:E3130,K3018:K3130,"0",B3018:B3130,"5 2 4 1 1 12 31111 6 M78 15000 171 00I 001 52411 025 2151100 2024 00000000 003*")</f>
        <v>0</v>
      </c>
      <c r="E3017"/>
      <c r="F3017" s="31">
        <f>SUMIFS(F3018:F3130,K3018:K3130,"0",B3018:B3130,"5 2 4 1 1 12 31111 6 M78 15000 171 00I 001 52411 025 2151100 2024 00000000 003*")</f>
        <v>136000</v>
      </c>
      <c r="G3017" s="31">
        <f>SUMIFS(G3018:G3130,K3018:K3130,"0",B3018:B3130,"5 2 4 1 1 12 31111 6 M78 15000 171 00I 001 52411 025 2151100 2024 00000000 003*")</f>
        <v>0</v>
      </c>
      <c r="H3017" s="31">
        <f t="shared" si="47"/>
        <v>136000</v>
      </c>
      <c r="I3017" s="31"/>
      <c r="K3017" t="s">
        <v>13</v>
      </c>
    </row>
    <row r="3018" spans="2:11" ht="22" x14ac:dyDescent="0.15">
      <c r="B3018" s="27" t="s">
        <v>3815</v>
      </c>
      <c r="C3018" s="27" t="s">
        <v>1359</v>
      </c>
      <c r="D3018" s="30">
        <v>0</v>
      </c>
      <c r="E3018" s="30"/>
      <c r="F3018" s="30">
        <v>136000</v>
      </c>
      <c r="G3018" s="30">
        <v>0</v>
      </c>
      <c r="H3018" s="30">
        <f t="shared" si="47"/>
        <v>136000</v>
      </c>
      <c r="I3018" s="30"/>
      <c r="K3018" t="s">
        <v>37</v>
      </c>
    </row>
    <row r="3019" spans="2:11" ht="13" x14ac:dyDescent="0.15">
      <c r="B3019" s="29" t="s">
        <v>3816</v>
      </c>
      <c r="C3019" s="29" t="s">
        <v>3817</v>
      </c>
      <c r="D3019" s="31">
        <f>SUMIFS(D3020:D3130,K3020:K3130,"0",B3020:B3130,"5 2 4 3*")-SUMIFS(E3020:E3130,K3020:K3130,"0",B3020:B3130,"5 2 4 3*")</f>
        <v>0</v>
      </c>
      <c r="E3019"/>
      <c r="F3019" s="31">
        <f>SUMIFS(F3020:F3130,K3020:K3130,"0",B3020:B3130,"5 2 4 3*")</f>
        <v>111750</v>
      </c>
      <c r="G3019" s="31">
        <f>SUMIFS(G3020:G3130,K3020:K3130,"0",B3020:B3130,"5 2 4 3*")</f>
        <v>0</v>
      </c>
      <c r="H3019" s="31">
        <f t="shared" ref="H3019:H3081" si="48">D3019 + F3019 - G3019</f>
        <v>111750</v>
      </c>
      <c r="I3019" s="31"/>
      <c r="K3019" t="s">
        <v>13</v>
      </c>
    </row>
    <row r="3020" spans="2:11" ht="13" x14ac:dyDescent="0.15">
      <c r="B3020" s="29" t="s">
        <v>3818</v>
      </c>
      <c r="C3020" s="29" t="s">
        <v>3819</v>
      </c>
      <c r="D3020" s="31">
        <f>SUMIFS(D3021:D3130,K3021:K3130,"0",B3021:B3130,"5 2 4 3 3*")-SUMIFS(E3021:E3130,K3021:K3130,"0",B3021:B3130,"5 2 4 3 3*")</f>
        <v>0</v>
      </c>
      <c r="E3020"/>
      <c r="F3020" s="31">
        <f>SUMIFS(F3021:F3130,K3021:K3130,"0",B3021:B3130,"5 2 4 3 3*")</f>
        <v>111750</v>
      </c>
      <c r="G3020" s="31">
        <f>SUMIFS(G3021:G3130,K3021:K3130,"0",B3021:B3130,"5 2 4 3 3*")</f>
        <v>0</v>
      </c>
      <c r="H3020" s="31">
        <f t="shared" si="48"/>
        <v>111750</v>
      </c>
      <c r="I3020" s="31"/>
      <c r="K3020" t="s">
        <v>13</v>
      </c>
    </row>
    <row r="3021" spans="2:11" ht="13" x14ac:dyDescent="0.15">
      <c r="B3021" s="29" t="s">
        <v>3820</v>
      </c>
      <c r="C3021" s="29" t="s">
        <v>24</v>
      </c>
      <c r="D3021" s="31">
        <f>SUMIFS(D3022:D3130,K3022:K3130,"0",B3022:B3130,"5 2 4 3 3 12*")-SUMIFS(E3022:E3130,K3022:K3130,"0",B3022:B3130,"5 2 4 3 3 12*")</f>
        <v>0</v>
      </c>
      <c r="E3021"/>
      <c r="F3021" s="31">
        <f>SUMIFS(F3022:F3130,K3022:K3130,"0",B3022:B3130,"5 2 4 3 3 12*")</f>
        <v>111750</v>
      </c>
      <c r="G3021" s="31">
        <f>SUMIFS(G3022:G3130,K3022:K3130,"0",B3022:B3130,"5 2 4 3 3 12*")</f>
        <v>0</v>
      </c>
      <c r="H3021" s="31">
        <f t="shared" si="48"/>
        <v>111750</v>
      </c>
      <c r="I3021" s="31"/>
      <c r="K3021" t="s">
        <v>13</v>
      </c>
    </row>
    <row r="3022" spans="2:11" ht="13" x14ac:dyDescent="0.15">
      <c r="B3022" s="29" t="s">
        <v>3821</v>
      </c>
      <c r="C3022" s="29" t="s">
        <v>26</v>
      </c>
      <c r="D3022" s="31">
        <f>SUMIFS(D3023:D3130,K3023:K3130,"0",B3023:B3130,"5 2 4 3 3 12 31111*")-SUMIFS(E3023:E3130,K3023:K3130,"0",B3023:B3130,"5 2 4 3 3 12 31111*")</f>
        <v>0</v>
      </c>
      <c r="E3022"/>
      <c r="F3022" s="31">
        <f>SUMIFS(F3023:F3130,K3023:K3130,"0",B3023:B3130,"5 2 4 3 3 12 31111*")</f>
        <v>111750</v>
      </c>
      <c r="G3022" s="31">
        <f>SUMIFS(G3023:G3130,K3023:K3130,"0",B3023:B3130,"5 2 4 3 3 12 31111*")</f>
        <v>0</v>
      </c>
      <c r="H3022" s="31">
        <f t="shared" si="48"/>
        <v>111750</v>
      </c>
      <c r="I3022" s="31"/>
      <c r="K3022" t="s">
        <v>13</v>
      </c>
    </row>
    <row r="3023" spans="2:11" ht="13" x14ac:dyDescent="0.15">
      <c r="B3023" s="29" t="s">
        <v>3822</v>
      </c>
      <c r="C3023" s="29" t="s">
        <v>28</v>
      </c>
      <c r="D3023" s="31">
        <f>SUMIFS(D3024:D3130,K3024:K3130,"0",B3024:B3130,"5 2 4 3 3 12 31111 6*")-SUMIFS(E3024:E3130,K3024:K3130,"0",B3024:B3130,"5 2 4 3 3 12 31111 6*")</f>
        <v>0</v>
      </c>
      <c r="E3023"/>
      <c r="F3023" s="31">
        <f>SUMIFS(F3024:F3130,K3024:K3130,"0",B3024:B3130,"5 2 4 3 3 12 31111 6*")</f>
        <v>111750</v>
      </c>
      <c r="G3023" s="31">
        <f>SUMIFS(G3024:G3130,K3024:K3130,"0",B3024:B3130,"5 2 4 3 3 12 31111 6*")</f>
        <v>0</v>
      </c>
      <c r="H3023" s="31">
        <f t="shared" si="48"/>
        <v>111750</v>
      </c>
      <c r="I3023" s="31"/>
      <c r="K3023" t="s">
        <v>13</v>
      </c>
    </row>
    <row r="3024" spans="2:11" ht="13" x14ac:dyDescent="0.15">
      <c r="B3024" s="29" t="s">
        <v>3823</v>
      </c>
      <c r="C3024" s="29" t="s">
        <v>1567</v>
      </c>
      <c r="D3024" s="31">
        <f>SUMIFS(D3025:D3130,K3025:K3130,"0",B3025:B3130,"5 2 4 3 3 12 31111 6 M78*")-SUMIFS(E3025:E3130,K3025:K3130,"0",B3025:B3130,"5 2 4 3 3 12 31111 6 M78*")</f>
        <v>0</v>
      </c>
      <c r="E3024"/>
      <c r="F3024" s="31">
        <f>SUMIFS(F3025:F3130,K3025:K3130,"0",B3025:B3130,"5 2 4 3 3 12 31111 6 M78*")</f>
        <v>111750</v>
      </c>
      <c r="G3024" s="31">
        <f>SUMIFS(G3025:G3130,K3025:K3130,"0",B3025:B3130,"5 2 4 3 3 12 31111 6 M78*")</f>
        <v>0</v>
      </c>
      <c r="H3024" s="31">
        <f t="shared" si="48"/>
        <v>111750</v>
      </c>
      <c r="I3024" s="31"/>
      <c r="K3024" t="s">
        <v>13</v>
      </c>
    </row>
    <row r="3025" spans="2:11" ht="13" x14ac:dyDescent="0.15">
      <c r="B3025" s="29" t="s">
        <v>3824</v>
      </c>
      <c r="C3025" s="29" t="s">
        <v>8</v>
      </c>
      <c r="D3025" s="31">
        <f>SUMIFS(D3026:D3130,K3026:K3130,"0",B3026:B3130,"5 2 4 3 3 12 31111 6 M78 07000*")-SUMIFS(E3026:E3130,K3026:K3130,"0",B3026:B3130,"5 2 4 3 3 12 31111 6 M78 07000*")</f>
        <v>0</v>
      </c>
      <c r="E3025"/>
      <c r="F3025" s="31">
        <f>SUMIFS(F3026:F3130,K3026:K3130,"0",B3026:B3130,"5 2 4 3 3 12 31111 6 M78 07000*")</f>
        <v>111750</v>
      </c>
      <c r="G3025" s="31">
        <f>SUMIFS(G3026:G3130,K3026:K3130,"0",B3026:B3130,"5 2 4 3 3 12 31111 6 M78 07000*")</f>
        <v>0</v>
      </c>
      <c r="H3025" s="31">
        <f t="shared" si="48"/>
        <v>111750</v>
      </c>
      <c r="I3025" s="31"/>
      <c r="K3025" t="s">
        <v>13</v>
      </c>
    </row>
    <row r="3026" spans="2:11" ht="13" x14ac:dyDescent="0.15">
      <c r="B3026" s="29" t="s">
        <v>3825</v>
      </c>
      <c r="C3026" s="29" t="s">
        <v>588</v>
      </c>
      <c r="D3026" s="31">
        <f>SUMIFS(D3027:D3130,K3027:K3130,"0",B3027:B3130,"5 2 4 3 3 12 31111 6 M78 07000 151*")-SUMIFS(E3027:E3130,K3027:K3130,"0",B3027:B3130,"5 2 4 3 3 12 31111 6 M78 07000 151*")</f>
        <v>0</v>
      </c>
      <c r="E3026"/>
      <c r="F3026" s="31">
        <f>SUMIFS(F3027:F3130,K3027:K3130,"0",B3027:B3130,"5 2 4 3 3 12 31111 6 M78 07000 151*")</f>
        <v>111750</v>
      </c>
      <c r="G3026" s="31">
        <f>SUMIFS(G3027:G3130,K3027:K3130,"0",B3027:B3130,"5 2 4 3 3 12 31111 6 M78 07000 151*")</f>
        <v>0</v>
      </c>
      <c r="H3026" s="31">
        <f t="shared" si="48"/>
        <v>111750</v>
      </c>
      <c r="I3026" s="31"/>
      <c r="K3026" t="s">
        <v>13</v>
      </c>
    </row>
    <row r="3027" spans="2:11" ht="13" x14ac:dyDescent="0.15">
      <c r="B3027" s="29" t="s">
        <v>3826</v>
      </c>
      <c r="C3027" s="29" t="s">
        <v>265</v>
      </c>
      <c r="D3027" s="31">
        <f>SUMIFS(D3028:D3130,K3028:K3130,"0",B3028:B3130,"5 2 4 3 3 12 31111 6 M78 07000 151 00C*")-SUMIFS(E3028:E3130,K3028:K3130,"0",B3028:B3130,"5 2 4 3 3 12 31111 6 M78 07000 151 00C*")</f>
        <v>0</v>
      </c>
      <c r="E3027"/>
      <c r="F3027" s="31">
        <f>SUMIFS(F3028:F3130,K3028:K3130,"0",B3028:B3130,"5 2 4 3 3 12 31111 6 M78 07000 151 00C*")</f>
        <v>111750</v>
      </c>
      <c r="G3027" s="31">
        <f>SUMIFS(G3028:G3130,K3028:K3130,"0",B3028:B3130,"5 2 4 3 3 12 31111 6 M78 07000 151 00C*")</f>
        <v>0</v>
      </c>
      <c r="H3027" s="31">
        <f t="shared" si="48"/>
        <v>111750</v>
      </c>
      <c r="I3027" s="31"/>
      <c r="K3027" t="s">
        <v>13</v>
      </c>
    </row>
    <row r="3028" spans="2:11" ht="13" x14ac:dyDescent="0.15">
      <c r="B3028" s="29" t="s">
        <v>3827</v>
      </c>
      <c r="C3028" s="29" t="s">
        <v>32</v>
      </c>
      <c r="D3028" s="31">
        <f>SUMIFS(D3029:D3130,K3029:K3130,"0",B3029:B3130,"5 2 4 3 3 12 31111 6 M78 07000 151 00C 001*")-SUMIFS(E3029:E3130,K3029:K3130,"0",B3029:B3130,"5 2 4 3 3 12 31111 6 M78 07000 151 00C 001*")</f>
        <v>0</v>
      </c>
      <c r="E3028"/>
      <c r="F3028" s="31">
        <f>SUMIFS(F3029:F3130,K3029:K3130,"0",B3029:B3130,"5 2 4 3 3 12 31111 6 M78 07000 151 00C 001*")</f>
        <v>111750</v>
      </c>
      <c r="G3028" s="31">
        <f>SUMIFS(G3029:G3130,K3029:K3130,"0",B3029:B3130,"5 2 4 3 3 12 31111 6 M78 07000 151 00C 001*")</f>
        <v>0</v>
      </c>
      <c r="H3028" s="31">
        <f t="shared" si="48"/>
        <v>111750</v>
      </c>
      <c r="I3028" s="31"/>
      <c r="K3028" t="s">
        <v>13</v>
      </c>
    </row>
    <row r="3029" spans="2:11" ht="13" x14ac:dyDescent="0.15">
      <c r="B3029" s="29" t="s">
        <v>3828</v>
      </c>
      <c r="C3029" s="29" t="s">
        <v>3829</v>
      </c>
      <c r="D3029" s="31">
        <f>SUMIFS(D3030:D3130,K3030:K3130,"0",B3030:B3130,"5 2 4 3 3 12 31111 6 M78 07000 151 00C 001 44300*")-SUMIFS(E3030:E3130,K3030:K3130,"0",B3030:B3130,"5 2 4 3 3 12 31111 6 M78 07000 151 00C 001 44300*")</f>
        <v>0</v>
      </c>
      <c r="E3029"/>
      <c r="F3029" s="31">
        <f>SUMIFS(F3030:F3130,K3030:K3130,"0",B3030:B3130,"5 2 4 3 3 12 31111 6 M78 07000 151 00C 001 44300*")</f>
        <v>111750</v>
      </c>
      <c r="G3029" s="31">
        <f>SUMIFS(G3030:G3130,K3030:K3130,"0",B3030:B3130,"5 2 4 3 3 12 31111 6 M78 07000 151 00C 001 44300*")</f>
        <v>0</v>
      </c>
      <c r="H3029" s="31">
        <f t="shared" si="48"/>
        <v>111750</v>
      </c>
      <c r="I3029" s="31"/>
      <c r="K3029" t="s">
        <v>13</v>
      </c>
    </row>
    <row r="3030" spans="2:11" ht="22" x14ac:dyDescent="0.15">
      <c r="B3030" s="29" t="s">
        <v>3830</v>
      </c>
      <c r="C3030" s="29" t="s">
        <v>271</v>
      </c>
      <c r="D3030" s="31">
        <f>SUMIFS(D3031:D3130,K3031:K3130,"0",B3031:B3130,"5 2 4 3 3 12 31111 6 M78 07000 151 00C 001 44300 015*")-SUMIFS(E3031:E3130,K3031:K3130,"0",B3031:B3130,"5 2 4 3 3 12 31111 6 M78 07000 151 00C 001 44300 015*")</f>
        <v>0</v>
      </c>
      <c r="E3030"/>
      <c r="F3030" s="31">
        <f>SUMIFS(F3031:F3130,K3031:K3130,"0",B3031:B3130,"5 2 4 3 3 12 31111 6 M78 07000 151 00C 001 44300 015*")</f>
        <v>111750</v>
      </c>
      <c r="G3030" s="31">
        <f>SUMIFS(G3031:G3130,K3031:K3130,"0",B3031:B3130,"5 2 4 3 3 12 31111 6 M78 07000 151 00C 001 44300 015*")</f>
        <v>0</v>
      </c>
      <c r="H3030" s="31">
        <f t="shared" si="48"/>
        <v>111750</v>
      </c>
      <c r="I3030" s="31"/>
      <c r="K3030" t="s">
        <v>13</v>
      </c>
    </row>
    <row r="3031" spans="2:11" ht="22" x14ac:dyDescent="0.15">
      <c r="B3031" s="29" t="s">
        <v>3831</v>
      </c>
      <c r="C3031" s="29" t="s">
        <v>3832</v>
      </c>
      <c r="D3031" s="31">
        <f>SUMIFS(D3032:D3130,K3032:K3130,"0",B3032:B3130,"5 2 4 3 3 12 31111 6 M78 07000 151 00C 001 44300 015 2151300*")-SUMIFS(E3032:E3130,K3032:K3130,"0",B3032:B3130,"5 2 4 3 3 12 31111 6 M78 07000 151 00C 001 44300 015 2151300*")</f>
        <v>0</v>
      </c>
      <c r="E3031"/>
      <c r="F3031" s="31">
        <f>SUMIFS(F3032:F3130,K3032:K3130,"0",B3032:B3130,"5 2 4 3 3 12 31111 6 M78 07000 151 00C 001 44300 015 2151300*")</f>
        <v>111750</v>
      </c>
      <c r="G3031" s="31">
        <f>SUMIFS(G3032:G3130,K3032:K3130,"0",B3032:B3130,"5 2 4 3 3 12 31111 6 M78 07000 151 00C 001 44300 015 2151300*")</f>
        <v>0</v>
      </c>
      <c r="H3031" s="31">
        <f t="shared" si="48"/>
        <v>111750</v>
      </c>
      <c r="I3031" s="31"/>
      <c r="K3031" t="s">
        <v>13</v>
      </c>
    </row>
    <row r="3032" spans="2:11" ht="22" x14ac:dyDescent="0.15">
      <c r="B3032" s="29" t="s">
        <v>3833</v>
      </c>
      <c r="C3032" s="29" t="s">
        <v>275</v>
      </c>
      <c r="D3032" s="31">
        <f>SUMIFS(D3033:D3130,K3033:K3130,"0",B3033:B3130,"5 2 4 3 3 12 31111 6 M78 07000 151 00C 001 44300 015 2151300 2024*")-SUMIFS(E3033:E3130,K3033:K3130,"0",B3033:B3130,"5 2 4 3 3 12 31111 6 M78 07000 151 00C 001 44300 015 2151300 2024*")</f>
        <v>0</v>
      </c>
      <c r="E3032"/>
      <c r="F3032" s="31">
        <f>SUMIFS(F3033:F3130,K3033:K3130,"0",B3033:B3130,"5 2 4 3 3 12 31111 6 M78 07000 151 00C 001 44300 015 2151300 2024*")</f>
        <v>111750</v>
      </c>
      <c r="G3032" s="31">
        <f>SUMIFS(G3033:G3130,K3033:K3130,"0",B3033:B3130,"5 2 4 3 3 12 31111 6 M78 07000 151 00C 001 44300 015 2151300 2024*")</f>
        <v>0</v>
      </c>
      <c r="H3032" s="31">
        <f t="shared" si="48"/>
        <v>111750</v>
      </c>
      <c r="I3032" s="31"/>
      <c r="K3032" t="s">
        <v>13</v>
      </c>
    </row>
    <row r="3033" spans="2:11" ht="22" x14ac:dyDescent="0.15">
      <c r="B3033" s="27" t="s">
        <v>3834</v>
      </c>
      <c r="C3033" s="27" t="s">
        <v>277</v>
      </c>
      <c r="D3033" s="30">
        <v>0</v>
      </c>
      <c r="E3033" s="30"/>
      <c r="F3033" s="30">
        <v>111750</v>
      </c>
      <c r="G3033" s="30">
        <v>0</v>
      </c>
      <c r="H3033" s="30">
        <f t="shared" si="48"/>
        <v>111750</v>
      </c>
      <c r="I3033" s="30"/>
      <c r="K3033" t="s">
        <v>37</v>
      </c>
    </row>
    <row r="3034" spans="2:11" ht="13" x14ac:dyDescent="0.15">
      <c r="B3034" s="29" t="s">
        <v>3835</v>
      </c>
      <c r="C3034" s="29" t="s">
        <v>3836</v>
      </c>
      <c r="D3034" s="31">
        <f>SUMIFS(D3035:D3130,K3035:K3130,"0",B3035:B3130,"5 2 4 4*")-SUMIFS(E3035:E3130,K3035:K3130,"0",B3035:B3130,"5 2 4 4*")</f>
        <v>0</v>
      </c>
      <c r="E3034"/>
      <c r="F3034" s="31">
        <f>SUMIFS(F3035:F3130,K3035:K3130,"0",B3035:B3130,"5 2 4 4*")</f>
        <v>125583</v>
      </c>
      <c r="G3034" s="31">
        <f>SUMIFS(G3035:G3130,K3035:K3130,"0",B3035:B3130,"5 2 4 4*")</f>
        <v>0</v>
      </c>
      <c r="H3034" s="31">
        <f t="shared" si="48"/>
        <v>125583</v>
      </c>
      <c r="I3034" s="31"/>
      <c r="K3034" t="s">
        <v>13</v>
      </c>
    </row>
    <row r="3035" spans="2:11" ht="13" x14ac:dyDescent="0.15">
      <c r="B3035" s="29" t="s">
        <v>3837</v>
      </c>
      <c r="C3035" s="29" t="s">
        <v>3838</v>
      </c>
      <c r="D3035" s="31">
        <f>SUMIFS(D3036:D3130,K3036:K3130,"0",B3036:B3130,"5 2 4 4 8*")-SUMIFS(E3036:E3130,K3036:K3130,"0",B3036:B3130,"5 2 4 4 8*")</f>
        <v>0</v>
      </c>
      <c r="E3035"/>
      <c r="F3035" s="31">
        <f>SUMIFS(F3036:F3130,K3036:K3130,"0",B3036:B3130,"5 2 4 4 8*")</f>
        <v>125583</v>
      </c>
      <c r="G3035" s="31">
        <f>SUMIFS(G3036:G3130,K3036:K3130,"0",B3036:B3130,"5 2 4 4 8*")</f>
        <v>0</v>
      </c>
      <c r="H3035" s="31">
        <f t="shared" si="48"/>
        <v>125583</v>
      </c>
      <c r="I3035" s="31"/>
      <c r="K3035" t="s">
        <v>13</v>
      </c>
    </row>
    <row r="3036" spans="2:11" ht="13" x14ac:dyDescent="0.15">
      <c r="B3036" s="29" t="s">
        <v>3839</v>
      </c>
      <c r="C3036" s="29" t="s">
        <v>24</v>
      </c>
      <c r="D3036" s="31">
        <f>SUMIFS(D3037:D3130,K3037:K3130,"0",B3037:B3130,"5 2 4 4 8 12*")-SUMIFS(E3037:E3130,K3037:K3130,"0",B3037:B3130,"5 2 4 4 8 12*")</f>
        <v>0</v>
      </c>
      <c r="E3036"/>
      <c r="F3036" s="31">
        <f>SUMIFS(F3037:F3130,K3037:K3130,"0",B3037:B3130,"5 2 4 4 8 12*")</f>
        <v>125583</v>
      </c>
      <c r="G3036" s="31">
        <f>SUMIFS(G3037:G3130,K3037:K3130,"0",B3037:B3130,"5 2 4 4 8 12*")</f>
        <v>0</v>
      </c>
      <c r="H3036" s="31">
        <f t="shared" si="48"/>
        <v>125583</v>
      </c>
      <c r="I3036" s="31"/>
      <c r="K3036" t="s">
        <v>13</v>
      </c>
    </row>
    <row r="3037" spans="2:11" ht="13" x14ac:dyDescent="0.15">
      <c r="B3037" s="29" t="s">
        <v>3840</v>
      </c>
      <c r="C3037" s="29" t="s">
        <v>26</v>
      </c>
      <c r="D3037" s="31">
        <f>SUMIFS(D3038:D3130,K3038:K3130,"0",B3038:B3130,"5 2 4 4 8 12 31111*")-SUMIFS(E3038:E3130,K3038:K3130,"0",B3038:B3130,"5 2 4 4 8 12 31111*")</f>
        <v>0</v>
      </c>
      <c r="E3037"/>
      <c r="F3037" s="31">
        <f>SUMIFS(F3038:F3130,K3038:K3130,"0",B3038:B3130,"5 2 4 4 8 12 31111*")</f>
        <v>125583</v>
      </c>
      <c r="G3037" s="31">
        <f>SUMIFS(G3038:G3130,K3038:K3130,"0",B3038:B3130,"5 2 4 4 8 12 31111*")</f>
        <v>0</v>
      </c>
      <c r="H3037" s="31">
        <f t="shared" si="48"/>
        <v>125583</v>
      </c>
      <c r="I3037" s="31"/>
      <c r="K3037" t="s">
        <v>13</v>
      </c>
    </row>
    <row r="3038" spans="2:11" ht="13" x14ac:dyDescent="0.15">
      <c r="B3038" s="29" t="s">
        <v>3841</v>
      </c>
      <c r="C3038" s="29" t="s">
        <v>28</v>
      </c>
      <c r="D3038" s="31">
        <f>SUMIFS(D3039:D3130,K3039:K3130,"0",B3039:B3130,"5 2 4 4 8 12 31111 6*")-SUMIFS(E3039:E3130,K3039:K3130,"0",B3039:B3130,"5 2 4 4 8 12 31111 6*")</f>
        <v>0</v>
      </c>
      <c r="E3038"/>
      <c r="F3038" s="31">
        <f>SUMIFS(F3039:F3130,K3039:K3130,"0",B3039:B3130,"5 2 4 4 8 12 31111 6*")</f>
        <v>125583</v>
      </c>
      <c r="G3038" s="31">
        <f>SUMIFS(G3039:G3130,K3039:K3130,"0",B3039:B3130,"5 2 4 4 8 12 31111 6*")</f>
        <v>0</v>
      </c>
      <c r="H3038" s="31">
        <f t="shared" si="48"/>
        <v>125583</v>
      </c>
      <c r="I3038" s="31"/>
      <c r="K3038" t="s">
        <v>13</v>
      </c>
    </row>
    <row r="3039" spans="2:11" ht="13" x14ac:dyDescent="0.15">
      <c r="B3039" s="29" t="s">
        <v>3842</v>
      </c>
      <c r="C3039" s="29" t="s">
        <v>1567</v>
      </c>
      <c r="D3039" s="31">
        <f>SUMIFS(D3040:D3130,K3040:K3130,"0",B3040:B3130,"5 2 4 4 8 12 31111 6 M78*")-SUMIFS(E3040:E3130,K3040:K3130,"0",B3040:B3130,"5 2 4 4 8 12 31111 6 M78*")</f>
        <v>0</v>
      </c>
      <c r="E3039"/>
      <c r="F3039" s="31">
        <f>SUMIFS(F3040:F3130,K3040:K3130,"0",B3040:B3130,"5 2 4 4 8 12 31111 6 M78*")</f>
        <v>125583</v>
      </c>
      <c r="G3039" s="31">
        <f>SUMIFS(G3040:G3130,K3040:K3130,"0",B3040:B3130,"5 2 4 4 8 12 31111 6 M78*")</f>
        <v>0</v>
      </c>
      <c r="H3039" s="31">
        <f t="shared" si="48"/>
        <v>125583</v>
      </c>
      <c r="I3039" s="31"/>
      <c r="K3039" t="s">
        <v>13</v>
      </c>
    </row>
    <row r="3040" spans="2:11" ht="13" x14ac:dyDescent="0.15">
      <c r="B3040" s="29" t="s">
        <v>3843</v>
      </c>
      <c r="C3040" s="29" t="s">
        <v>8</v>
      </c>
      <c r="D3040" s="31">
        <f>SUMIFS(D3041:D3130,K3041:K3130,"0",B3041:B3130,"5 2 4 4 8 12 31111 6 M78 07000*")-SUMIFS(E3041:E3130,K3041:K3130,"0",B3041:B3130,"5 2 4 4 8 12 31111 6 M78 07000*")</f>
        <v>0</v>
      </c>
      <c r="E3040"/>
      <c r="F3040" s="31">
        <f>SUMIFS(F3041:F3130,K3041:K3130,"0",B3041:B3130,"5 2 4 4 8 12 31111 6 M78 07000*")</f>
        <v>125583</v>
      </c>
      <c r="G3040" s="31">
        <f>SUMIFS(G3041:G3130,K3041:K3130,"0",B3041:B3130,"5 2 4 4 8 12 31111 6 M78 07000*")</f>
        <v>0</v>
      </c>
      <c r="H3040" s="31">
        <f t="shared" si="48"/>
        <v>125583</v>
      </c>
      <c r="I3040" s="31"/>
      <c r="K3040" t="s">
        <v>13</v>
      </c>
    </row>
    <row r="3041" spans="2:11" ht="13" x14ac:dyDescent="0.15">
      <c r="B3041" s="29" t="s">
        <v>3844</v>
      </c>
      <c r="C3041" s="29" t="s">
        <v>588</v>
      </c>
      <c r="D3041" s="31">
        <f>SUMIFS(D3042:D3130,K3042:K3130,"0",B3042:B3130,"5 2 4 4 8 12 31111 6 M78 07000 151*")-SUMIFS(E3042:E3130,K3042:K3130,"0",B3042:B3130,"5 2 4 4 8 12 31111 6 M78 07000 151*")</f>
        <v>0</v>
      </c>
      <c r="E3041"/>
      <c r="F3041" s="31">
        <f>SUMIFS(F3042:F3130,K3042:K3130,"0",B3042:B3130,"5 2 4 4 8 12 31111 6 M78 07000 151*")</f>
        <v>125583</v>
      </c>
      <c r="G3041" s="31">
        <f>SUMIFS(G3042:G3130,K3042:K3130,"0",B3042:B3130,"5 2 4 4 8 12 31111 6 M78 07000 151*")</f>
        <v>0</v>
      </c>
      <c r="H3041" s="31">
        <f t="shared" si="48"/>
        <v>125583</v>
      </c>
      <c r="I3041" s="31"/>
      <c r="K3041" t="s">
        <v>13</v>
      </c>
    </row>
    <row r="3042" spans="2:11" ht="13" x14ac:dyDescent="0.15">
      <c r="B3042" s="29" t="s">
        <v>3845</v>
      </c>
      <c r="C3042" s="29" t="s">
        <v>265</v>
      </c>
      <c r="D3042" s="31">
        <f>SUMIFS(D3043:D3130,K3043:K3130,"0",B3043:B3130,"5 2 4 4 8 12 31111 6 M78 07000 151 00C*")-SUMIFS(E3043:E3130,K3043:K3130,"0",B3043:B3130,"5 2 4 4 8 12 31111 6 M78 07000 151 00C*")</f>
        <v>0</v>
      </c>
      <c r="E3042"/>
      <c r="F3042" s="31">
        <f>SUMIFS(F3043:F3130,K3043:K3130,"0",B3043:B3130,"5 2 4 4 8 12 31111 6 M78 07000 151 00C*")</f>
        <v>125583</v>
      </c>
      <c r="G3042" s="31">
        <f>SUMIFS(G3043:G3130,K3043:K3130,"0",B3043:B3130,"5 2 4 4 8 12 31111 6 M78 07000 151 00C*")</f>
        <v>0</v>
      </c>
      <c r="H3042" s="31">
        <f t="shared" si="48"/>
        <v>125583</v>
      </c>
      <c r="I3042" s="31"/>
      <c r="K3042" t="s">
        <v>13</v>
      </c>
    </row>
    <row r="3043" spans="2:11" ht="13" x14ac:dyDescent="0.15">
      <c r="B3043" s="29" t="s">
        <v>3846</v>
      </c>
      <c r="C3043" s="29" t="s">
        <v>32</v>
      </c>
      <c r="D3043" s="31">
        <f>SUMIFS(D3044:D3130,K3044:K3130,"0",B3044:B3130,"5 2 4 4 8 12 31111 6 M78 07000 151 00C 001*")-SUMIFS(E3044:E3130,K3044:K3130,"0",B3044:B3130,"5 2 4 4 8 12 31111 6 M78 07000 151 00C 001*")</f>
        <v>0</v>
      </c>
      <c r="E3043"/>
      <c r="F3043" s="31">
        <f>SUMIFS(F3044:F3130,K3044:K3130,"0",B3044:B3130,"5 2 4 4 8 12 31111 6 M78 07000 151 00C 001*")</f>
        <v>125583</v>
      </c>
      <c r="G3043" s="31">
        <f>SUMIFS(G3044:G3130,K3044:K3130,"0",B3044:B3130,"5 2 4 4 8 12 31111 6 M78 07000 151 00C 001*")</f>
        <v>0</v>
      </c>
      <c r="H3043" s="31">
        <f t="shared" si="48"/>
        <v>125583</v>
      </c>
      <c r="I3043" s="31"/>
      <c r="K3043" t="s">
        <v>13</v>
      </c>
    </row>
    <row r="3044" spans="2:11" ht="13" x14ac:dyDescent="0.15">
      <c r="B3044" s="29" t="s">
        <v>3847</v>
      </c>
      <c r="C3044" s="29" t="s">
        <v>3848</v>
      </c>
      <c r="D3044" s="31">
        <f>SUMIFS(D3045:D3130,K3045:K3130,"0",B3045:B3130,"5 2 4 4 8 12 31111 6 M78 07000 151 00C 001 44801*")-SUMIFS(E3045:E3130,K3045:K3130,"0",B3045:B3130,"5 2 4 4 8 12 31111 6 M78 07000 151 00C 001 44801*")</f>
        <v>0</v>
      </c>
      <c r="E3044"/>
      <c r="F3044" s="31">
        <f>SUMIFS(F3045:F3130,K3045:K3130,"0",B3045:B3130,"5 2 4 4 8 12 31111 6 M78 07000 151 00C 001 44801*")</f>
        <v>125583</v>
      </c>
      <c r="G3044" s="31">
        <f>SUMIFS(G3045:G3130,K3045:K3130,"0",B3045:B3130,"5 2 4 4 8 12 31111 6 M78 07000 151 00C 001 44801*")</f>
        <v>0</v>
      </c>
      <c r="H3044" s="31">
        <f t="shared" si="48"/>
        <v>125583</v>
      </c>
      <c r="I3044" s="31"/>
      <c r="K3044" t="s">
        <v>13</v>
      </c>
    </row>
    <row r="3045" spans="2:11" ht="22" x14ac:dyDescent="0.15">
      <c r="B3045" s="29" t="s">
        <v>3849</v>
      </c>
      <c r="C3045" s="29" t="s">
        <v>271</v>
      </c>
      <c r="D3045" s="31">
        <f>SUMIFS(D3046:D3130,K3046:K3130,"0",B3046:B3130,"5 2 4 4 8 12 31111 6 M78 07000 151 00C 001 44801 015*")-SUMIFS(E3046:E3130,K3046:K3130,"0",B3046:B3130,"5 2 4 4 8 12 31111 6 M78 07000 151 00C 001 44801 015*")</f>
        <v>0</v>
      </c>
      <c r="E3045"/>
      <c r="F3045" s="31">
        <f>SUMIFS(F3046:F3130,K3046:K3130,"0",B3046:B3130,"5 2 4 4 8 12 31111 6 M78 07000 151 00C 001 44801 015*")</f>
        <v>125583</v>
      </c>
      <c r="G3045" s="31">
        <f>SUMIFS(G3046:G3130,K3046:K3130,"0",B3046:B3130,"5 2 4 4 8 12 31111 6 M78 07000 151 00C 001 44801 015*")</f>
        <v>0</v>
      </c>
      <c r="H3045" s="31">
        <f t="shared" si="48"/>
        <v>125583</v>
      </c>
      <c r="I3045" s="31"/>
      <c r="K3045" t="s">
        <v>13</v>
      </c>
    </row>
    <row r="3046" spans="2:11" ht="22" x14ac:dyDescent="0.15">
      <c r="B3046" s="29" t="s">
        <v>3850</v>
      </c>
      <c r="C3046" s="29" t="s">
        <v>3851</v>
      </c>
      <c r="D3046" s="31">
        <f>SUMIFS(D3047:D3130,K3047:K3130,"0",B3047:B3130,"5 2 4 4 8 12 31111 6 M78 07000 151 00C 001 44801 015 2151500*")-SUMIFS(E3047:E3130,K3047:K3130,"0",B3047:B3130,"5 2 4 4 8 12 31111 6 M78 07000 151 00C 001 44801 015 2151500*")</f>
        <v>0</v>
      </c>
      <c r="E3046"/>
      <c r="F3046" s="31">
        <f>SUMIFS(F3047:F3130,K3047:K3130,"0",B3047:B3130,"5 2 4 4 8 12 31111 6 M78 07000 151 00C 001 44801 015 2151500*")</f>
        <v>125583</v>
      </c>
      <c r="G3046" s="31">
        <f>SUMIFS(G3047:G3130,K3047:K3130,"0",B3047:B3130,"5 2 4 4 8 12 31111 6 M78 07000 151 00C 001 44801 015 2151500*")</f>
        <v>0</v>
      </c>
      <c r="H3046" s="31">
        <f t="shared" si="48"/>
        <v>125583</v>
      </c>
      <c r="I3046" s="31"/>
      <c r="K3046" t="s">
        <v>13</v>
      </c>
    </row>
    <row r="3047" spans="2:11" ht="22" x14ac:dyDescent="0.15">
      <c r="B3047" s="29" t="s">
        <v>3852</v>
      </c>
      <c r="C3047" s="29" t="s">
        <v>275</v>
      </c>
      <c r="D3047" s="31">
        <f>SUMIFS(D3048:D3130,K3048:K3130,"0",B3048:B3130,"5 2 4 4 8 12 31111 6 M78 07000 151 00C 001 44801 015 2151500 2024*")-SUMIFS(E3048:E3130,K3048:K3130,"0",B3048:B3130,"5 2 4 4 8 12 31111 6 M78 07000 151 00C 001 44801 015 2151500 2024*")</f>
        <v>0</v>
      </c>
      <c r="E3047"/>
      <c r="F3047" s="31">
        <f>SUMIFS(F3048:F3130,K3048:K3130,"0",B3048:B3130,"5 2 4 4 8 12 31111 6 M78 07000 151 00C 001 44801 015 2151500 2024*")</f>
        <v>125583</v>
      </c>
      <c r="G3047" s="31">
        <f>SUMIFS(G3048:G3130,K3048:K3130,"0",B3048:B3130,"5 2 4 4 8 12 31111 6 M78 07000 151 00C 001 44801 015 2151500 2024*")</f>
        <v>0</v>
      </c>
      <c r="H3047" s="31">
        <f t="shared" si="48"/>
        <v>125583</v>
      </c>
      <c r="I3047" s="31"/>
      <c r="K3047" t="s">
        <v>13</v>
      </c>
    </row>
    <row r="3048" spans="2:11" ht="22" x14ac:dyDescent="0.15">
      <c r="B3048" s="29" t="s">
        <v>3853</v>
      </c>
      <c r="C3048" s="29" t="s">
        <v>277</v>
      </c>
      <c r="D3048" s="31">
        <f>SUMIFS(D3049:D3130,K3049:K3130,"0",B3049:B3130,"5 2 4 4 8 12 31111 6 M78 07000 151 00C 001 44801 015 2151500 2024 00000000*")-SUMIFS(E3049:E3130,K3049:K3130,"0",B3049:B3130,"5 2 4 4 8 12 31111 6 M78 07000 151 00C 001 44801 015 2151500 2024 00000000*")</f>
        <v>0</v>
      </c>
      <c r="E3048"/>
      <c r="F3048" s="31">
        <f>SUMIFS(F3049:F3130,K3049:K3130,"0",B3049:B3130,"5 2 4 4 8 12 31111 6 M78 07000 151 00C 001 44801 015 2151500 2024 00000000*")</f>
        <v>125583</v>
      </c>
      <c r="G3048" s="31">
        <f>SUMIFS(G3049:G3130,K3049:K3130,"0",B3049:B3130,"5 2 4 4 8 12 31111 6 M78 07000 151 00C 001 44801 015 2151500 2024 00000000*")</f>
        <v>0</v>
      </c>
      <c r="H3048" s="31">
        <f t="shared" si="48"/>
        <v>125583</v>
      </c>
      <c r="I3048" s="31"/>
      <c r="K3048" t="s">
        <v>13</v>
      </c>
    </row>
    <row r="3049" spans="2:11" ht="22" x14ac:dyDescent="0.15">
      <c r="B3049" s="29" t="s">
        <v>3854</v>
      </c>
      <c r="C3049" s="29" t="s">
        <v>32</v>
      </c>
      <c r="D3049" s="31">
        <f>SUMIFS(D3050:D3130,K3050:K3130,"0",B3050:B3130,"5 2 4 4 8 12 31111 6 M78 07000 151 00C 001 44801 015 2151500 2024 00000000 001*")-SUMIFS(E3050:E3130,K3050:K3130,"0",B3050:B3130,"5 2 4 4 8 12 31111 6 M78 07000 151 00C 001 44801 015 2151500 2024 00000000 001*")</f>
        <v>0</v>
      </c>
      <c r="E3049"/>
      <c r="F3049" s="31">
        <f>SUMIFS(F3050:F3130,K3050:K3130,"0",B3050:B3130,"5 2 4 4 8 12 31111 6 M78 07000 151 00C 001 44801 015 2151500 2024 00000000 001*")</f>
        <v>125583</v>
      </c>
      <c r="G3049" s="31">
        <f>SUMIFS(G3050:G3130,K3050:K3130,"0",B3050:B3130,"5 2 4 4 8 12 31111 6 M78 07000 151 00C 001 44801 015 2151500 2024 00000000 001*")</f>
        <v>0</v>
      </c>
      <c r="H3049" s="31">
        <f t="shared" si="48"/>
        <v>125583</v>
      </c>
      <c r="I3049" s="31"/>
      <c r="K3049" t="s">
        <v>13</v>
      </c>
    </row>
    <row r="3050" spans="2:11" ht="22" x14ac:dyDescent="0.15">
      <c r="B3050" s="27" t="s">
        <v>3855</v>
      </c>
      <c r="C3050" s="27" t="s">
        <v>3856</v>
      </c>
      <c r="D3050" s="30">
        <v>0</v>
      </c>
      <c r="E3050" s="30"/>
      <c r="F3050" s="30">
        <v>125583</v>
      </c>
      <c r="G3050" s="30">
        <v>0</v>
      </c>
      <c r="H3050" s="30">
        <f t="shared" si="48"/>
        <v>125583</v>
      </c>
      <c r="I3050" s="30"/>
      <c r="K3050" t="s">
        <v>37</v>
      </c>
    </row>
    <row r="3051" spans="2:11" ht="13" x14ac:dyDescent="0.15">
      <c r="B3051" s="29" t="s">
        <v>3857</v>
      </c>
      <c r="C3051" s="29" t="s">
        <v>3858</v>
      </c>
      <c r="D3051" s="31">
        <f>SUMIFS(D3052:D3130,K3052:K3130,"0",B3052:B3130,"5 2 5*")-SUMIFS(E3052:E3130,K3052:K3130,"0",B3052:B3130,"5 2 5*")</f>
        <v>0</v>
      </c>
      <c r="E3051"/>
      <c r="F3051" s="31">
        <f>SUMIFS(F3052:F3130,K3052:K3130,"0",B3052:B3130,"5 2 5*")</f>
        <v>0</v>
      </c>
      <c r="G3051" s="31">
        <f>SUMIFS(G3052:G3130,K3052:K3130,"0",B3052:B3130,"5 2 5*")</f>
        <v>0</v>
      </c>
      <c r="H3051" s="31">
        <f t="shared" si="48"/>
        <v>0</v>
      </c>
      <c r="I3051" s="31"/>
      <c r="K3051" t="s">
        <v>13</v>
      </c>
    </row>
    <row r="3052" spans="2:11" ht="13" x14ac:dyDescent="0.15">
      <c r="B3052" s="29" t="s">
        <v>3859</v>
      </c>
      <c r="C3052" s="29" t="s">
        <v>3860</v>
      </c>
      <c r="D3052" s="31">
        <f>SUMIFS(D3053:D3130,K3053:K3130,"0",B3053:B3130,"5 2 6*")-SUMIFS(E3053:E3130,K3053:K3130,"0",B3053:B3130,"5 2 6*")</f>
        <v>0</v>
      </c>
      <c r="E3052"/>
      <c r="F3052" s="31">
        <f>SUMIFS(F3053:F3130,K3053:K3130,"0",B3053:B3130,"5 2 6*")</f>
        <v>0</v>
      </c>
      <c r="G3052" s="31">
        <f>SUMIFS(G3053:G3130,K3053:K3130,"0",B3053:B3130,"5 2 6*")</f>
        <v>0</v>
      </c>
      <c r="H3052" s="31">
        <f t="shared" si="48"/>
        <v>0</v>
      </c>
      <c r="I3052" s="31"/>
      <c r="K3052" t="s">
        <v>13</v>
      </c>
    </row>
    <row r="3053" spans="2:11" ht="13" x14ac:dyDescent="0.15">
      <c r="B3053" s="29" t="s">
        <v>3861</v>
      </c>
      <c r="C3053" s="29" t="s">
        <v>3862</v>
      </c>
      <c r="D3053" s="31">
        <f>SUMIFS(D3054:D3130,K3054:K3130,"0",B3054:B3130,"5 2 7*")-SUMIFS(E3054:E3130,K3054:K3130,"0",B3054:B3130,"5 2 7*")</f>
        <v>0</v>
      </c>
      <c r="E3053"/>
      <c r="F3053" s="31">
        <f>SUMIFS(F3054:F3130,K3054:K3130,"0",B3054:B3130,"5 2 7*")</f>
        <v>0</v>
      </c>
      <c r="G3053" s="31">
        <f>SUMIFS(G3054:G3130,K3054:K3130,"0",B3054:B3130,"5 2 7*")</f>
        <v>0</v>
      </c>
      <c r="H3053" s="31">
        <f t="shared" si="48"/>
        <v>0</v>
      </c>
      <c r="I3053" s="31"/>
      <c r="K3053" t="s">
        <v>13</v>
      </c>
    </row>
    <row r="3054" spans="2:11" ht="13" x14ac:dyDescent="0.15">
      <c r="B3054" s="29" t="s">
        <v>3863</v>
      </c>
      <c r="C3054" s="29" t="s">
        <v>3864</v>
      </c>
      <c r="D3054" s="31">
        <f>SUMIFS(D3055:D3130,K3055:K3130,"0",B3055:B3130,"5 2 8*")-SUMIFS(E3055:E3130,K3055:K3130,"0",B3055:B3130,"5 2 8*")</f>
        <v>0</v>
      </c>
      <c r="E3054"/>
      <c r="F3054" s="31">
        <f>SUMIFS(F3055:F3130,K3055:K3130,"0",B3055:B3130,"5 2 8*")</f>
        <v>0</v>
      </c>
      <c r="G3054" s="31">
        <f>SUMIFS(G3055:G3130,K3055:K3130,"0",B3055:B3130,"5 2 8*")</f>
        <v>0</v>
      </c>
      <c r="H3054" s="31">
        <f t="shared" si="48"/>
        <v>0</v>
      </c>
      <c r="I3054" s="31"/>
      <c r="K3054" t="s">
        <v>13</v>
      </c>
    </row>
    <row r="3055" spans="2:11" ht="13" x14ac:dyDescent="0.15">
      <c r="B3055" s="29" t="s">
        <v>3865</v>
      </c>
      <c r="C3055" s="29" t="s">
        <v>3866</v>
      </c>
      <c r="D3055" s="31">
        <f>SUMIFS(D3056:D3130,K3056:K3130,"0",B3056:B3130,"5 2 9*")-SUMIFS(E3056:E3130,K3056:K3130,"0",B3056:B3130,"5 2 9*")</f>
        <v>0</v>
      </c>
      <c r="E3055"/>
      <c r="F3055" s="31">
        <f>SUMIFS(F3056:F3130,K3056:K3130,"0",B3056:B3130,"5 2 9*")</f>
        <v>0</v>
      </c>
      <c r="G3055" s="31">
        <f>SUMIFS(G3056:G3130,K3056:K3130,"0",B3056:B3130,"5 2 9*")</f>
        <v>0</v>
      </c>
      <c r="H3055" s="31">
        <f t="shared" si="48"/>
        <v>0</v>
      </c>
      <c r="I3055" s="31"/>
      <c r="K3055" t="s">
        <v>13</v>
      </c>
    </row>
    <row r="3056" spans="2:11" ht="13" x14ac:dyDescent="0.15">
      <c r="B3056" s="29" t="s">
        <v>3867</v>
      </c>
      <c r="C3056" s="29" t="s">
        <v>3868</v>
      </c>
      <c r="D3056" s="31">
        <f>SUMIFS(D3057:D3130,K3057:K3130,"0",B3057:B3130,"5 3*")-SUMIFS(E3057:E3130,K3057:K3130,"0",B3057:B3130,"5 3*")</f>
        <v>0</v>
      </c>
      <c r="E3056"/>
      <c r="F3056" s="31">
        <f>SUMIFS(F3057:F3130,K3057:K3130,"0",B3057:B3130,"5 3*")</f>
        <v>0</v>
      </c>
      <c r="G3056" s="31">
        <f>SUMIFS(G3057:G3130,K3057:K3130,"0",B3057:B3130,"5 3*")</f>
        <v>0</v>
      </c>
      <c r="H3056" s="31">
        <f t="shared" si="48"/>
        <v>0</v>
      </c>
      <c r="I3056" s="31"/>
      <c r="K3056" t="s">
        <v>13</v>
      </c>
    </row>
    <row r="3057" spans="2:11" ht="13" x14ac:dyDescent="0.15">
      <c r="B3057" s="29" t="s">
        <v>3869</v>
      </c>
      <c r="C3057" s="29" t="s">
        <v>1676</v>
      </c>
      <c r="D3057" s="31">
        <f>SUMIFS(D3058:D3130,K3058:K3130,"0",B3058:B3130,"5 3 1*")-SUMIFS(E3058:E3130,K3058:K3130,"0",B3058:B3130,"5 3 1*")</f>
        <v>0</v>
      </c>
      <c r="E3057"/>
      <c r="F3057" s="31">
        <f>SUMIFS(F3058:F3130,K3058:K3130,"0",B3058:B3130,"5 3 1*")</f>
        <v>0</v>
      </c>
      <c r="G3057" s="31">
        <f>SUMIFS(G3058:G3130,K3058:K3130,"0",B3058:B3130,"5 3 1*")</f>
        <v>0</v>
      </c>
      <c r="H3057" s="31">
        <f t="shared" si="48"/>
        <v>0</v>
      </c>
      <c r="I3057" s="31"/>
      <c r="K3057" t="s">
        <v>13</v>
      </c>
    </row>
    <row r="3058" spans="2:11" ht="13" x14ac:dyDescent="0.15">
      <c r="B3058" s="29" t="s">
        <v>3870</v>
      </c>
      <c r="C3058" s="29" t="s">
        <v>1503</v>
      </c>
      <c r="D3058" s="31">
        <f>SUMIFS(D3059:D3130,K3059:K3130,"0",B3059:B3130,"5 3 2*")-SUMIFS(E3059:E3130,K3059:K3130,"0",B3059:B3130,"5 3 2*")</f>
        <v>0</v>
      </c>
      <c r="E3058"/>
      <c r="F3058" s="31">
        <f>SUMIFS(F3059:F3130,K3059:K3130,"0",B3059:B3130,"5 3 2*")</f>
        <v>0</v>
      </c>
      <c r="G3058" s="31">
        <f>SUMIFS(G3059:G3130,K3059:K3130,"0",B3059:B3130,"5 3 2*")</f>
        <v>0</v>
      </c>
      <c r="H3058" s="31">
        <f t="shared" si="48"/>
        <v>0</v>
      </c>
      <c r="I3058" s="31"/>
      <c r="K3058" t="s">
        <v>13</v>
      </c>
    </row>
    <row r="3059" spans="2:11" ht="13" x14ac:dyDescent="0.15">
      <c r="B3059" s="29" t="s">
        <v>3871</v>
      </c>
      <c r="C3059" s="29" t="s">
        <v>3872</v>
      </c>
      <c r="D3059" s="31">
        <f>SUMIFS(D3060:D3130,K3060:K3130,"0",B3060:B3130,"5 3 3*")-SUMIFS(E3060:E3130,K3060:K3130,"0",B3060:B3130,"5 3 3*")</f>
        <v>0</v>
      </c>
      <c r="E3059"/>
      <c r="F3059" s="31">
        <f>SUMIFS(F3060:F3130,K3060:K3130,"0",B3060:B3130,"5 3 3*")</f>
        <v>0</v>
      </c>
      <c r="G3059" s="31">
        <f>SUMIFS(G3060:G3130,K3060:K3130,"0",B3060:B3130,"5 3 3*")</f>
        <v>0</v>
      </c>
      <c r="H3059" s="31">
        <f t="shared" si="48"/>
        <v>0</v>
      </c>
      <c r="I3059" s="31"/>
      <c r="K3059" t="s">
        <v>13</v>
      </c>
    </row>
    <row r="3060" spans="2:11" ht="13" x14ac:dyDescent="0.15">
      <c r="B3060" s="29" t="s">
        <v>3873</v>
      </c>
      <c r="C3060" s="29" t="s">
        <v>3874</v>
      </c>
      <c r="D3060" s="31">
        <f>SUMIFS(D3061:D3130,K3061:K3130,"0",B3061:B3130,"5 4*")-SUMIFS(E3061:E3130,K3061:K3130,"0",B3061:B3130,"5 4*")</f>
        <v>0</v>
      </c>
      <c r="E3060"/>
      <c r="F3060" s="31">
        <f>SUMIFS(F3061:F3130,K3061:K3130,"0",B3061:B3130,"5 4*")</f>
        <v>0</v>
      </c>
      <c r="G3060" s="31">
        <f>SUMIFS(G3061:G3130,K3061:K3130,"0",B3061:B3130,"5 4*")</f>
        <v>0</v>
      </c>
      <c r="H3060" s="31">
        <f t="shared" si="48"/>
        <v>0</v>
      </c>
      <c r="I3060" s="31"/>
      <c r="K3060" t="s">
        <v>13</v>
      </c>
    </row>
    <row r="3061" spans="2:11" ht="13" x14ac:dyDescent="0.15">
      <c r="B3061" s="29" t="s">
        <v>3875</v>
      </c>
      <c r="C3061" s="29" t="s">
        <v>3876</v>
      </c>
      <c r="D3061" s="31">
        <f>SUMIFS(D3062:D3130,K3062:K3130,"0",B3062:B3130,"5 4 1*")-SUMIFS(E3062:E3130,K3062:K3130,"0",B3062:B3130,"5 4 1*")</f>
        <v>0</v>
      </c>
      <c r="E3061"/>
      <c r="F3061" s="31">
        <f>SUMIFS(F3062:F3130,K3062:K3130,"0",B3062:B3130,"5 4 1*")</f>
        <v>0</v>
      </c>
      <c r="G3061" s="31">
        <f>SUMIFS(G3062:G3130,K3062:K3130,"0",B3062:B3130,"5 4 1*")</f>
        <v>0</v>
      </c>
      <c r="H3061" s="31">
        <f t="shared" si="48"/>
        <v>0</v>
      </c>
      <c r="I3061" s="31"/>
      <c r="K3061" t="s">
        <v>13</v>
      </c>
    </row>
    <row r="3062" spans="2:11" ht="13" x14ac:dyDescent="0.15">
      <c r="B3062" s="29" t="s">
        <v>3877</v>
      </c>
      <c r="C3062" s="29" t="s">
        <v>3878</v>
      </c>
      <c r="D3062" s="31">
        <f>SUMIFS(D3063:D3130,K3063:K3130,"0",B3063:B3130,"5 4 2*")-SUMIFS(E3063:E3130,K3063:K3130,"0",B3063:B3130,"5 4 2*")</f>
        <v>0</v>
      </c>
      <c r="E3062"/>
      <c r="F3062" s="31">
        <f>SUMIFS(F3063:F3130,K3063:K3130,"0",B3063:B3130,"5 4 2*")</f>
        <v>0</v>
      </c>
      <c r="G3062" s="31">
        <f>SUMIFS(G3063:G3130,K3063:K3130,"0",B3063:B3130,"5 4 2*")</f>
        <v>0</v>
      </c>
      <c r="H3062" s="31">
        <f t="shared" si="48"/>
        <v>0</v>
      </c>
      <c r="I3062" s="31"/>
      <c r="K3062" t="s">
        <v>13</v>
      </c>
    </row>
    <row r="3063" spans="2:11" ht="13" x14ac:dyDescent="0.15">
      <c r="B3063" s="29" t="s">
        <v>3879</v>
      </c>
      <c r="C3063" s="29" t="s">
        <v>3880</v>
      </c>
      <c r="D3063" s="31">
        <f>SUMIFS(D3064:D3130,K3064:K3130,"0",B3064:B3130,"5 4 3*")-SUMIFS(E3064:E3130,K3064:K3130,"0",B3064:B3130,"5 4 3*")</f>
        <v>0</v>
      </c>
      <c r="E3063"/>
      <c r="F3063" s="31">
        <f>SUMIFS(F3064:F3130,K3064:K3130,"0",B3064:B3130,"5 4 3*")</f>
        <v>0</v>
      </c>
      <c r="G3063" s="31">
        <f>SUMIFS(G3064:G3130,K3064:K3130,"0",B3064:B3130,"5 4 3*")</f>
        <v>0</v>
      </c>
      <c r="H3063" s="31">
        <f t="shared" si="48"/>
        <v>0</v>
      </c>
      <c r="I3063" s="31"/>
      <c r="K3063" t="s">
        <v>13</v>
      </c>
    </row>
    <row r="3064" spans="2:11" ht="13" x14ac:dyDescent="0.15">
      <c r="B3064" s="29" t="s">
        <v>3881</v>
      </c>
      <c r="C3064" s="29" t="s">
        <v>3882</v>
      </c>
      <c r="D3064" s="31">
        <f>SUMIFS(D3065:D3130,K3065:K3130,"0",B3065:B3130,"5 4 4*")-SUMIFS(E3065:E3130,K3065:K3130,"0",B3065:B3130,"5 4 4*")</f>
        <v>0</v>
      </c>
      <c r="E3064"/>
      <c r="F3064" s="31">
        <f>SUMIFS(F3065:F3130,K3065:K3130,"0",B3065:B3130,"5 4 4*")</f>
        <v>0</v>
      </c>
      <c r="G3064" s="31">
        <f>SUMIFS(G3065:G3130,K3065:K3130,"0",B3065:B3130,"5 4 4*")</f>
        <v>0</v>
      </c>
      <c r="H3064" s="31">
        <f t="shared" si="48"/>
        <v>0</v>
      </c>
      <c r="I3064" s="31"/>
      <c r="K3064" t="s">
        <v>13</v>
      </c>
    </row>
    <row r="3065" spans="2:11" ht="13" x14ac:dyDescent="0.15">
      <c r="B3065" s="29" t="s">
        <v>3883</v>
      </c>
      <c r="C3065" s="29" t="s">
        <v>3884</v>
      </c>
      <c r="D3065" s="31">
        <f>SUMIFS(D3066:D3130,K3066:K3130,"0",B3066:B3130,"5 4 5*")-SUMIFS(E3066:E3130,K3066:K3130,"0",B3066:B3130,"5 4 5*")</f>
        <v>0</v>
      </c>
      <c r="E3065"/>
      <c r="F3065" s="31">
        <f>SUMIFS(F3066:F3130,K3066:K3130,"0",B3066:B3130,"5 4 5*")</f>
        <v>0</v>
      </c>
      <c r="G3065" s="31">
        <f>SUMIFS(G3066:G3130,K3066:K3130,"0",B3066:B3130,"5 4 5*")</f>
        <v>0</v>
      </c>
      <c r="H3065" s="31">
        <f t="shared" si="48"/>
        <v>0</v>
      </c>
      <c r="I3065" s="31"/>
      <c r="K3065" t="s">
        <v>13</v>
      </c>
    </row>
    <row r="3066" spans="2:11" ht="13" x14ac:dyDescent="0.15">
      <c r="B3066" s="29" t="s">
        <v>3885</v>
      </c>
      <c r="C3066" s="29" t="s">
        <v>3886</v>
      </c>
      <c r="D3066" s="31">
        <f>SUMIFS(D3067:D3130,K3067:K3130,"0",B3067:B3130,"5 5*")-SUMIFS(E3067:E3130,K3067:K3130,"0",B3067:B3130,"5 5*")</f>
        <v>0</v>
      </c>
      <c r="E3066"/>
      <c r="F3066" s="31">
        <f>SUMIFS(F3067:F3130,K3067:K3130,"0",B3067:B3130,"5 5*")</f>
        <v>0</v>
      </c>
      <c r="G3066" s="31">
        <f>SUMIFS(G3067:G3130,K3067:K3130,"0",B3067:B3130,"5 5*")</f>
        <v>0</v>
      </c>
      <c r="H3066" s="31">
        <f t="shared" si="48"/>
        <v>0</v>
      </c>
      <c r="I3066" s="31"/>
      <c r="K3066" t="s">
        <v>13</v>
      </c>
    </row>
    <row r="3067" spans="2:11" ht="22" x14ac:dyDescent="0.15">
      <c r="B3067" s="29" t="s">
        <v>3887</v>
      </c>
      <c r="C3067" s="29" t="s">
        <v>3888</v>
      </c>
      <c r="D3067" s="31">
        <f>SUMIFS(D3068:D3130,K3068:K3130,"0",B3068:B3130,"5 5 1*")-SUMIFS(E3068:E3130,K3068:K3130,"0",B3068:B3130,"5 5 1*")</f>
        <v>0</v>
      </c>
      <c r="E3067"/>
      <c r="F3067" s="31">
        <f>SUMIFS(F3068:F3130,K3068:K3130,"0",B3068:B3130,"5 5 1*")</f>
        <v>0</v>
      </c>
      <c r="G3067" s="31">
        <f>SUMIFS(G3068:G3130,K3068:K3130,"0",B3068:B3130,"5 5 1*")</f>
        <v>0</v>
      </c>
      <c r="H3067" s="31">
        <f t="shared" si="48"/>
        <v>0</v>
      </c>
      <c r="I3067" s="31"/>
      <c r="K3067" t="s">
        <v>13</v>
      </c>
    </row>
    <row r="3068" spans="2:11" ht="13" x14ac:dyDescent="0.15">
      <c r="B3068" s="29" t="s">
        <v>3889</v>
      </c>
      <c r="C3068" s="29" t="s">
        <v>3890</v>
      </c>
      <c r="D3068" s="31">
        <f>SUMIFS(D3069:D3130,K3069:K3130,"0",B3069:B3130,"5 5 2*")-SUMIFS(E3069:E3130,K3069:K3130,"0",B3069:B3130,"5 5 2*")</f>
        <v>0</v>
      </c>
      <c r="E3068"/>
      <c r="F3068" s="31">
        <f>SUMIFS(F3069:F3130,K3069:K3130,"0",B3069:B3130,"5 5 2*")</f>
        <v>0</v>
      </c>
      <c r="G3068" s="31">
        <f>SUMIFS(G3069:G3130,K3069:K3130,"0",B3069:B3130,"5 5 2*")</f>
        <v>0</v>
      </c>
      <c r="H3068" s="31">
        <f t="shared" si="48"/>
        <v>0</v>
      </c>
      <c r="I3068" s="31"/>
      <c r="K3068" t="s">
        <v>13</v>
      </c>
    </row>
    <row r="3069" spans="2:11" ht="13" x14ac:dyDescent="0.15">
      <c r="B3069" s="29" t="s">
        <v>3891</v>
      </c>
      <c r="C3069" s="29" t="s">
        <v>3892</v>
      </c>
      <c r="D3069" s="31">
        <f>SUMIFS(D3070:D3130,K3070:K3130,"0",B3070:B3130,"5 5 3*")-SUMIFS(E3070:E3130,K3070:K3130,"0",B3070:B3130,"5 5 3*")</f>
        <v>0</v>
      </c>
      <c r="E3069"/>
      <c r="F3069" s="31">
        <f>SUMIFS(F3070:F3130,K3070:K3130,"0",B3070:B3130,"5 5 3*")</f>
        <v>0</v>
      </c>
      <c r="G3069" s="31">
        <f>SUMIFS(G3070:G3130,K3070:K3130,"0",B3070:B3130,"5 5 3*")</f>
        <v>0</v>
      </c>
      <c r="H3069" s="31">
        <f t="shared" si="48"/>
        <v>0</v>
      </c>
      <c r="I3069" s="31"/>
      <c r="K3069" t="s">
        <v>13</v>
      </c>
    </row>
    <row r="3070" spans="2:11" ht="22" x14ac:dyDescent="0.15">
      <c r="B3070" s="29" t="s">
        <v>3893</v>
      </c>
      <c r="C3070" s="29" t="s">
        <v>3894</v>
      </c>
      <c r="D3070" s="31">
        <f>SUMIFS(D3071:D3130,K3071:K3130,"0",B3071:B3130,"5 5 4*")-SUMIFS(E3071:E3130,K3071:K3130,"0",B3071:B3130,"5 5 4*")</f>
        <v>0</v>
      </c>
      <c r="E3070"/>
      <c r="F3070" s="31">
        <f>SUMIFS(F3071:F3130,K3071:K3130,"0",B3071:B3130,"5 5 4*")</f>
        <v>0</v>
      </c>
      <c r="G3070" s="31">
        <f>SUMIFS(G3071:G3130,K3071:K3130,"0",B3071:B3130,"5 5 4*")</f>
        <v>0</v>
      </c>
      <c r="H3070" s="31">
        <f t="shared" si="48"/>
        <v>0</v>
      </c>
      <c r="I3070" s="31"/>
      <c r="K3070" t="s">
        <v>13</v>
      </c>
    </row>
    <row r="3071" spans="2:11" ht="13" x14ac:dyDescent="0.15">
      <c r="B3071" s="29" t="s">
        <v>3895</v>
      </c>
      <c r="C3071" s="29" t="s">
        <v>3896</v>
      </c>
      <c r="D3071" s="31">
        <f>SUMIFS(D3072:D3130,K3072:K3130,"0",B3072:B3130,"5 5 5*")-SUMIFS(E3072:E3130,K3072:K3130,"0",B3072:B3130,"5 5 5*")</f>
        <v>0</v>
      </c>
      <c r="E3071"/>
      <c r="F3071" s="31">
        <f>SUMIFS(F3072:F3130,K3072:K3130,"0",B3072:B3130,"5 5 5*")</f>
        <v>0</v>
      </c>
      <c r="G3071" s="31">
        <f>SUMIFS(G3072:G3130,K3072:K3130,"0",B3072:B3130,"5 5 5*")</f>
        <v>0</v>
      </c>
      <c r="H3071" s="31">
        <f t="shared" si="48"/>
        <v>0</v>
      </c>
      <c r="I3071" s="31"/>
      <c r="K3071" t="s">
        <v>13</v>
      </c>
    </row>
    <row r="3072" spans="2:11" ht="13" x14ac:dyDescent="0.15">
      <c r="B3072" s="29" t="s">
        <v>3897</v>
      </c>
      <c r="C3072" s="29" t="s">
        <v>3898</v>
      </c>
      <c r="D3072" s="31">
        <f>SUMIFS(D3073:D3130,K3073:K3130,"0",B3073:B3130,"5 5 9*")-SUMIFS(E3073:E3130,K3073:K3130,"0",B3073:B3130,"5 5 9*")</f>
        <v>0</v>
      </c>
      <c r="E3072"/>
      <c r="F3072" s="31">
        <f>SUMIFS(F3073:F3130,K3073:K3130,"0",B3073:B3130,"5 5 9*")</f>
        <v>0</v>
      </c>
      <c r="G3072" s="31">
        <f>SUMIFS(G3073:G3130,K3073:K3130,"0",B3073:B3130,"5 5 9*")</f>
        <v>0</v>
      </c>
      <c r="H3072" s="31">
        <f t="shared" si="48"/>
        <v>0</v>
      </c>
      <c r="I3072" s="31"/>
      <c r="K3072" t="s">
        <v>13</v>
      </c>
    </row>
    <row r="3073" spans="2:11" ht="13" x14ac:dyDescent="0.15">
      <c r="B3073" s="29" t="s">
        <v>3899</v>
      </c>
      <c r="C3073" s="29" t="s">
        <v>3900</v>
      </c>
      <c r="D3073" s="31">
        <f>SUMIFS(D3074:D3130,K3074:K3130,"0",B3074:B3130,"5 6*")-SUMIFS(E3074:E3130,K3074:K3130,"0",B3074:B3130,"5 6*")</f>
        <v>0</v>
      </c>
      <c r="E3073"/>
      <c r="F3073" s="31">
        <f>SUMIFS(F3074:F3130,K3074:K3130,"0",B3074:B3130,"5 6*")</f>
        <v>0</v>
      </c>
      <c r="G3073" s="31">
        <f>SUMIFS(G3074:G3130,K3074:K3130,"0",B3074:B3130,"5 6*")</f>
        <v>0</v>
      </c>
      <c r="H3073" s="31">
        <f t="shared" si="48"/>
        <v>0</v>
      </c>
      <c r="I3073" s="31"/>
      <c r="K3073" t="s">
        <v>13</v>
      </c>
    </row>
    <row r="3074" spans="2:11" ht="13" x14ac:dyDescent="0.15">
      <c r="B3074" s="29" t="s">
        <v>3901</v>
      </c>
      <c r="C3074" s="29" t="s">
        <v>3902</v>
      </c>
      <c r="D3074" s="31">
        <f>SUMIFS(D3075:D3130,K3075:K3130,"0",B3075:B3130,"5 6 1*")-SUMIFS(E3075:E3130,K3075:K3130,"0",B3075:B3130,"5 6 1*")</f>
        <v>0</v>
      </c>
      <c r="E3074"/>
      <c r="F3074" s="31">
        <f>SUMIFS(F3075:F3130,K3075:K3130,"0",B3075:B3130,"5 6 1*")</f>
        <v>0</v>
      </c>
      <c r="G3074" s="31">
        <f>SUMIFS(G3075:G3130,K3075:K3130,"0",B3075:B3130,"5 6 1*")</f>
        <v>0</v>
      </c>
      <c r="H3074" s="31">
        <f t="shared" si="48"/>
        <v>0</v>
      </c>
      <c r="I3074" s="31"/>
      <c r="K3074" t="s">
        <v>13</v>
      </c>
    </row>
    <row r="3075" spans="2:11" ht="13" x14ac:dyDescent="0.15">
      <c r="B3075" s="29" t="s">
        <v>3903</v>
      </c>
      <c r="C3075" s="29" t="s">
        <v>3904</v>
      </c>
      <c r="D3075" s="31">
        <f>SUMIFS(D3076:D3130,K3076:K3130,"0",B3076:B3130,"6*")-SUMIFS(E3076:E3130,K3076:K3130,"0",B3076:B3130,"6*")</f>
        <v>0</v>
      </c>
      <c r="E3075"/>
      <c r="F3075" s="31">
        <f>SUMIFS(F3076:F3130,K3076:K3130,"0",B3076:B3130,"6*")</f>
        <v>0</v>
      </c>
      <c r="G3075" s="31">
        <f>SUMIFS(G3076:G3130,K3076:K3130,"0",B3076:B3130,"6*")</f>
        <v>0</v>
      </c>
      <c r="H3075" s="31">
        <f t="shared" si="48"/>
        <v>0</v>
      </c>
      <c r="I3075" s="31"/>
      <c r="K3075" t="s">
        <v>13</v>
      </c>
    </row>
    <row r="3076" spans="2:11" ht="13" x14ac:dyDescent="0.15">
      <c r="B3076" s="27" t="s">
        <v>3905</v>
      </c>
      <c r="C3076" s="27" t="s">
        <v>3906</v>
      </c>
      <c r="D3076" s="30">
        <v>0</v>
      </c>
      <c r="E3076" s="30"/>
      <c r="F3076" s="30">
        <v>0</v>
      </c>
      <c r="G3076" s="30">
        <v>0</v>
      </c>
      <c r="H3076" s="30">
        <f t="shared" si="48"/>
        <v>0</v>
      </c>
      <c r="I3076" s="30"/>
      <c r="K3076" t="s">
        <v>37</v>
      </c>
    </row>
    <row r="3077" spans="2:11" ht="13" x14ac:dyDescent="0.15">
      <c r="B3077" s="27" t="s">
        <v>3907</v>
      </c>
      <c r="C3077" s="27" t="s">
        <v>3908</v>
      </c>
      <c r="D3077" s="30">
        <v>0</v>
      </c>
      <c r="E3077" s="30"/>
      <c r="F3077" s="30">
        <v>0</v>
      </c>
      <c r="G3077" s="30">
        <v>0</v>
      </c>
      <c r="H3077" s="30">
        <f t="shared" si="48"/>
        <v>0</v>
      </c>
      <c r="I3077" s="30"/>
      <c r="K3077" t="s">
        <v>37</v>
      </c>
    </row>
    <row r="3078" spans="2:11" ht="13" x14ac:dyDescent="0.15">
      <c r="B3078" s="27" t="s">
        <v>3909</v>
      </c>
      <c r="C3078" s="27" t="s">
        <v>3910</v>
      </c>
      <c r="D3078" s="30">
        <v>0</v>
      </c>
      <c r="E3078" s="30"/>
      <c r="F3078" s="30">
        <v>0</v>
      </c>
      <c r="G3078" s="30">
        <v>0</v>
      </c>
      <c r="H3078" s="30">
        <f t="shared" si="48"/>
        <v>0</v>
      </c>
      <c r="I3078" s="30"/>
      <c r="K3078" t="s">
        <v>37</v>
      </c>
    </row>
    <row r="3079" spans="2:11" ht="13" x14ac:dyDescent="0.15">
      <c r="B3079" s="29" t="s">
        <v>3911</v>
      </c>
      <c r="C3079" s="29" t="s">
        <v>3912</v>
      </c>
      <c r="D3079" s="31">
        <f>SUMIFS(D3080:D3130,K3080:K3130,"0",B3080:B3130,"7*")-SUMIFS(E3080:E3130,K3080:K3130,"0",B3080:B3130,"7*")</f>
        <v>0</v>
      </c>
      <c r="E3079"/>
      <c r="F3079" s="31">
        <f>SUMIFS(F3080:F3130,K3080:K3130,"0",B3080:B3130,"7*")</f>
        <v>0</v>
      </c>
      <c r="G3079" s="31">
        <f>SUMIFS(G3080:G3130,K3080:K3130,"0",B3080:B3130,"7*")</f>
        <v>0</v>
      </c>
      <c r="H3079" s="31">
        <f t="shared" si="48"/>
        <v>0</v>
      </c>
      <c r="I3079" s="31"/>
      <c r="K3079" t="s">
        <v>13</v>
      </c>
    </row>
    <row r="3080" spans="2:11" ht="13" x14ac:dyDescent="0.15">
      <c r="B3080" s="29" t="s">
        <v>3913</v>
      </c>
      <c r="C3080" s="29" t="s">
        <v>3914</v>
      </c>
      <c r="D3080" s="31">
        <f>SUMIFS(D3081:D3130,K3081:K3130,"0",B3081:B3130,"7 1*")-SUMIFS(E3081:E3130,K3081:K3130,"0",B3081:B3130,"7 1*")</f>
        <v>0</v>
      </c>
      <c r="E3080"/>
      <c r="F3080" s="31">
        <f>SUMIFS(F3081:F3130,K3081:K3130,"0",B3081:B3130,"7 1*")</f>
        <v>0</v>
      </c>
      <c r="G3080" s="31">
        <f>SUMIFS(G3081:G3130,K3081:K3130,"0",B3081:B3130,"7 1*")</f>
        <v>0</v>
      </c>
      <c r="H3080" s="31">
        <f t="shared" si="48"/>
        <v>0</v>
      </c>
      <c r="I3080" s="31"/>
      <c r="K3080" t="s">
        <v>13</v>
      </c>
    </row>
    <row r="3081" spans="2:11" ht="13" x14ac:dyDescent="0.15">
      <c r="B3081" s="29" t="s">
        <v>3915</v>
      </c>
      <c r="C3081" s="29" t="s">
        <v>3916</v>
      </c>
      <c r="D3081" s="31">
        <f>SUMIFS(D3082:D3130,K3082:K3130,"0",B3082:B3130,"7 1 1*")-SUMIFS(E3082:E3130,K3082:K3130,"0",B3082:B3130,"7 1 1*")</f>
        <v>0</v>
      </c>
      <c r="E3081"/>
      <c r="F3081" s="31">
        <f>SUMIFS(F3082:F3130,K3082:K3130,"0",B3082:B3130,"7 1 1*")</f>
        <v>0</v>
      </c>
      <c r="G3081" s="31">
        <f>SUMIFS(G3082:G3130,K3082:K3130,"0",B3082:B3130,"7 1 1*")</f>
        <v>0</v>
      </c>
      <c r="H3081" s="31">
        <f t="shared" si="48"/>
        <v>0</v>
      </c>
      <c r="I3081" s="31"/>
      <c r="K3081" t="s">
        <v>13</v>
      </c>
    </row>
    <row r="3082" spans="2:11" ht="13" x14ac:dyDescent="0.15">
      <c r="B3082" s="29" t="s">
        <v>3917</v>
      </c>
      <c r="C3082" s="29" t="s">
        <v>3918</v>
      </c>
      <c r="D3082"/>
      <c r="E3082" s="31">
        <f>SUMIFS(E3083:E3130,K3083:K3130,"0",B3083:B3130,"7 1 2*")-SUMIFS(D3083:D3130,K3083:K3130,"0",B3083:B3130,"7 1 2*")</f>
        <v>0</v>
      </c>
      <c r="F3082" s="31">
        <f>SUMIFS(F3083:F3130,K3083:K3130,"0",B3083:B3130,"7 1 2*")</f>
        <v>0</v>
      </c>
      <c r="G3082" s="31">
        <f>SUMIFS(G3083:G3130,K3083:K3130,"0",B3083:B3130,"7 1 2*")</f>
        <v>0</v>
      </c>
      <c r="H3082" s="31"/>
      <c r="I3082" s="31">
        <f>E3082 - F3082 + G3082</f>
        <v>0</v>
      </c>
      <c r="K3082" t="s">
        <v>13</v>
      </c>
    </row>
    <row r="3083" spans="2:11" ht="13" x14ac:dyDescent="0.15">
      <c r="B3083" s="29" t="s">
        <v>3919</v>
      </c>
      <c r="C3083" s="29" t="s">
        <v>3920</v>
      </c>
      <c r="D3083" s="31">
        <f>SUMIFS(D3084:D3130,K3084:K3130,"0",B3084:B3130,"7 1 3*")-SUMIFS(E3084:E3130,K3084:K3130,"0",B3084:B3130,"7 1 3*")</f>
        <v>0</v>
      </c>
      <c r="E3083"/>
      <c r="F3083" s="31">
        <f>SUMIFS(F3084:F3130,K3084:K3130,"0",B3084:B3130,"7 1 3*")</f>
        <v>0</v>
      </c>
      <c r="G3083" s="31">
        <f>SUMIFS(G3084:G3130,K3084:K3130,"0",B3084:B3130,"7 1 3*")</f>
        <v>0</v>
      </c>
      <c r="H3083" s="31">
        <f>D3083 + F3083 - G3083</f>
        <v>0</v>
      </c>
      <c r="I3083" s="31"/>
      <c r="K3083" t="s">
        <v>13</v>
      </c>
    </row>
    <row r="3084" spans="2:11" ht="22" x14ac:dyDescent="0.15">
      <c r="B3084" s="29" t="s">
        <v>3921</v>
      </c>
      <c r="C3084" s="29" t="s">
        <v>3922</v>
      </c>
      <c r="D3084"/>
      <c r="E3084" s="31">
        <f>SUMIFS(E3085:E3130,K3085:K3130,"0",B3085:B3130,"7 1 4*")-SUMIFS(D3085:D3130,K3085:K3130,"0",B3085:B3130,"7 1 4*")</f>
        <v>0</v>
      </c>
      <c r="F3084" s="31">
        <f>SUMIFS(F3085:F3130,K3085:K3130,"0",B3085:B3130,"7 1 4*")</f>
        <v>0</v>
      </c>
      <c r="G3084" s="31">
        <f>SUMIFS(G3085:G3130,K3085:K3130,"0",B3085:B3130,"7 1 4*")</f>
        <v>0</v>
      </c>
      <c r="H3084" s="31"/>
      <c r="I3084" s="31">
        <f>E3084 - F3084 + G3084</f>
        <v>0</v>
      </c>
      <c r="K3084" t="s">
        <v>13</v>
      </c>
    </row>
    <row r="3085" spans="2:11" ht="22" x14ac:dyDescent="0.15">
      <c r="B3085" s="29" t="s">
        <v>3923</v>
      </c>
      <c r="C3085" s="29" t="s">
        <v>3924</v>
      </c>
      <c r="D3085" s="31">
        <f>SUMIFS(D3086:D3130,K3086:K3130,"0",B3086:B3130,"7 1 5*")-SUMIFS(E3086:E3130,K3086:K3130,"0",B3086:B3130,"7 1 5*")</f>
        <v>0</v>
      </c>
      <c r="E3085"/>
      <c r="F3085" s="31">
        <f>SUMIFS(F3086:F3130,K3086:K3130,"0",B3086:B3130,"7 1 5*")</f>
        <v>0</v>
      </c>
      <c r="G3085" s="31">
        <f>SUMIFS(G3086:G3130,K3086:K3130,"0",B3086:B3130,"7 1 5*")</f>
        <v>0</v>
      </c>
      <c r="H3085" s="31">
        <f>D3085 + F3085 - G3085</f>
        <v>0</v>
      </c>
      <c r="I3085" s="31"/>
      <c r="K3085" t="s">
        <v>13</v>
      </c>
    </row>
    <row r="3086" spans="2:11" ht="13" x14ac:dyDescent="0.15">
      <c r="B3086" s="29" t="s">
        <v>3925</v>
      </c>
      <c r="C3086" s="29" t="s">
        <v>3926</v>
      </c>
      <c r="D3086"/>
      <c r="E3086" s="31">
        <f>SUMIFS(E3087:E3130,K3087:K3130,"0",B3087:B3130,"7 1 6*")-SUMIFS(D3087:D3130,K3087:K3130,"0",B3087:B3130,"7 1 6*")</f>
        <v>0</v>
      </c>
      <c r="F3086" s="31">
        <f>SUMIFS(F3087:F3130,K3087:K3130,"0",B3087:B3130,"7 1 6*")</f>
        <v>0</v>
      </c>
      <c r="G3086" s="31">
        <f>SUMIFS(G3087:G3130,K3087:K3130,"0",B3087:B3130,"7 1 6*")</f>
        <v>0</v>
      </c>
      <c r="H3086" s="31"/>
      <c r="I3086" s="31">
        <f>E3086 - F3086 + G3086</f>
        <v>0</v>
      </c>
      <c r="K3086" t="s">
        <v>13</v>
      </c>
    </row>
    <row r="3087" spans="2:11" ht="13" x14ac:dyDescent="0.15">
      <c r="B3087" s="29" t="s">
        <v>3927</v>
      </c>
      <c r="C3087" s="29" t="s">
        <v>3928</v>
      </c>
      <c r="D3087" s="31">
        <f>SUMIFS(D3088:D3130,K3088:K3130,"0",B3088:B3130,"7 2*")-SUMIFS(E3088:E3130,K3088:K3130,"0",B3088:B3130,"7 2*")</f>
        <v>0</v>
      </c>
      <c r="E3087"/>
      <c r="F3087" s="31">
        <f>SUMIFS(F3088:F3130,K3088:K3130,"0",B3088:B3130,"7 2*")</f>
        <v>0</v>
      </c>
      <c r="G3087" s="31">
        <f>SUMIFS(G3088:G3130,K3088:K3130,"0",B3088:B3130,"7 2*")</f>
        <v>0</v>
      </c>
      <c r="H3087" s="31">
        <f>D3087 + F3087 - G3087</f>
        <v>0</v>
      </c>
      <c r="I3087" s="31"/>
      <c r="K3087" t="s">
        <v>13</v>
      </c>
    </row>
    <row r="3088" spans="2:11" ht="22" x14ac:dyDescent="0.15">
      <c r="B3088" s="29" t="s">
        <v>3929</v>
      </c>
      <c r="C3088" s="29" t="s">
        <v>3930</v>
      </c>
      <c r="D3088" s="31">
        <f>SUMIFS(D3089:D3130,K3089:K3130,"0",B3089:B3130,"7 2 1*")-SUMIFS(E3089:E3130,K3089:K3130,"0",B3089:B3130,"7 2 1*")</f>
        <v>0</v>
      </c>
      <c r="E3088"/>
      <c r="F3088" s="31">
        <f>SUMIFS(F3089:F3130,K3089:K3130,"0",B3089:B3130,"7 2 1*")</f>
        <v>0</v>
      </c>
      <c r="G3088" s="31">
        <f>SUMIFS(G3089:G3130,K3089:K3130,"0",B3089:B3130,"7 2 1*")</f>
        <v>0</v>
      </c>
      <c r="H3088" s="31">
        <f>D3088 + F3088 - G3088</f>
        <v>0</v>
      </c>
      <c r="I3088" s="31"/>
      <c r="K3088" t="s">
        <v>13</v>
      </c>
    </row>
    <row r="3089" spans="2:11" ht="22" x14ac:dyDescent="0.15">
      <c r="B3089" s="29" t="s">
        <v>3931</v>
      </c>
      <c r="C3089" s="29" t="s">
        <v>3932</v>
      </c>
      <c r="D3089"/>
      <c r="E3089" s="31">
        <f>SUMIFS(E3090:E3130,K3090:K3130,"0",B3090:B3130,"7 2 2*")-SUMIFS(D3090:D3130,K3090:K3130,"0",B3090:B3130,"7 2 2*")</f>
        <v>0</v>
      </c>
      <c r="F3089" s="31">
        <f>SUMIFS(F3090:F3130,K3090:K3130,"0",B3090:B3130,"7 2 2*")</f>
        <v>0</v>
      </c>
      <c r="G3089" s="31">
        <f>SUMIFS(G3090:G3130,K3090:K3130,"0",B3090:B3130,"7 2 2*")</f>
        <v>0</v>
      </c>
      <c r="H3089" s="31"/>
      <c r="I3089" s="31">
        <f>E3089 - F3089 + G3089</f>
        <v>0</v>
      </c>
      <c r="K3089" t="s">
        <v>13</v>
      </c>
    </row>
    <row r="3090" spans="2:11" ht="13" x14ac:dyDescent="0.15">
      <c r="B3090" s="29" t="s">
        <v>3933</v>
      </c>
      <c r="C3090" s="29" t="s">
        <v>3934</v>
      </c>
      <c r="D3090" s="31">
        <f>SUMIFS(D3091:D3130,K3091:K3130,"0",B3091:B3130,"7 2 3*")-SUMIFS(E3091:E3130,K3091:K3130,"0",B3091:B3130,"7 2 3*")</f>
        <v>0</v>
      </c>
      <c r="E3090"/>
      <c r="F3090" s="31">
        <f>SUMIFS(F3091:F3130,K3091:K3130,"0",B3091:B3130,"7 2 3*")</f>
        <v>0</v>
      </c>
      <c r="G3090" s="31">
        <f>SUMIFS(G3091:G3130,K3091:K3130,"0",B3091:B3130,"7 2 3*")</f>
        <v>0</v>
      </c>
      <c r="H3090" s="31">
        <f>D3090 + F3090 - G3090</f>
        <v>0</v>
      </c>
      <c r="I3090" s="31"/>
      <c r="K3090" t="s">
        <v>13</v>
      </c>
    </row>
    <row r="3091" spans="2:11" ht="22" x14ac:dyDescent="0.15">
      <c r="B3091" s="29" t="s">
        <v>3935</v>
      </c>
      <c r="C3091" s="29" t="s">
        <v>3936</v>
      </c>
      <c r="D3091"/>
      <c r="E3091" s="31">
        <f>SUMIFS(E3092:E3130,K3092:K3130,"0",B3092:B3130,"7 2 4*")-SUMIFS(D3092:D3130,K3092:K3130,"0",B3092:B3130,"7 2 4*")</f>
        <v>0</v>
      </c>
      <c r="F3091" s="31">
        <f>SUMIFS(F3092:F3130,K3092:K3130,"0",B3092:B3130,"7 2 4*")</f>
        <v>0</v>
      </c>
      <c r="G3091" s="31">
        <f>SUMIFS(G3092:G3130,K3092:K3130,"0",B3092:B3130,"7 2 4*")</f>
        <v>0</v>
      </c>
      <c r="H3091" s="31"/>
      <c r="I3091" s="31">
        <f>E3091 - F3091 + G3091</f>
        <v>0</v>
      </c>
      <c r="K3091" t="s">
        <v>13</v>
      </c>
    </row>
    <row r="3092" spans="2:11" ht="22" x14ac:dyDescent="0.15">
      <c r="B3092" s="29" t="s">
        <v>3937</v>
      </c>
      <c r="C3092" s="29" t="s">
        <v>3938</v>
      </c>
      <c r="D3092" s="31">
        <f>SUMIFS(D3093:D3130,K3093:K3130,"0",B3093:B3130,"7 2 5*")-SUMIFS(E3093:E3130,K3093:K3130,"0",B3093:B3130,"7 2 5*")</f>
        <v>0</v>
      </c>
      <c r="E3092"/>
      <c r="F3092" s="31">
        <f>SUMIFS(F3093:F3130,K3093:K3130,"0",B3093:B3130,"7 2 5*")</f>
        <v>0</v>
      </c>
      <c r="G3092" s="31">
        <f>SUMIFS(G3093:G3130,K3093:K3130,"0",B3093:B3130,"7 2 5*")</f>
        <v>0</v>
      </c>
      <c r="H3092" s="31">
        <f>D3092 + F3092 - G3092</f>
        <v>0</v>
      </c>
      <c r="I3092" s="31"/>
      <c r="K3092" t="s">
        <v>13</v>
      </c>
    </row>
    <row r="3093" spans="2:11" ht="22" x14ac:dyDescent="0.15">
      <c r="B3093" s="29" t="s">
        <v>3939</v>
      </c>
      <c r="C3093" s="29" t="s">
        <v>3940</v>
      </c>
      <c r="D3093"/>
      <c r="E3093" s="31">
        <f>SUMIFS(E3094:E3130,K3094:K3130,"0",B3094:B3130,"7 2 6*")-SUMIFS(D3094:D3130,K3094:K3130,"0",B3094:B3130,"7 2 6*")</f>
        <v>0</v>
      </c>
      <c r="F3093" s="31">
        <f>SUMIFS(F3094:F3130,K3094:K3130,"0",B3094:B3130,"7 2 6*")</f>
        <v>0</v>
      </c>
      <c r="G3093" s="31">
        <f>SUMIFS(G3094:G3130,K3094:K3130,"0",B3094:B3130,"7 2 6*")</f>
        <v>0</v>
      </c>
      <c r="H3093" s="31"/>
      <c r="I3093" s="31">
        <f>E3093 - F3093 + G3093</f>
        <v>0</v>
      </c>
      <c r="K3093" t="s">
        <v>13</v>
      </c>
    </row>
    <row r="3094" spans="2:11" ht="13" x14ac:dyDescent="0.15">
      <c r="B3094" s="29" t="s">
        <v>3941</v>
      </c>
      <c r="C3094" s="29" t="s">
        <v>3942</v>
      </c>
      <c r="D3094" s="31">
        <f>SUMIFS(D3095:D3130,K3095:K3130,"0",B3095:B3130,"7 3*")-SUMIFS(E3095:E3130,K3095:K3130,"0",B3095:B3130,"7 3*")</f>
        <v>0</v>
      </c>
      <c r="E3094"/>
      <c r="F3094" s="31">
        <f>SUMIFS(F3095:F3130,K3095:K3130,"0",B3095:B3130,"7 3*")</f>
        <v>0</v>
      </c>
      <c r="G3094" s="31">
        <f>SUMIFS(G3095:G3130,K3095:K3130,"0",B3095:B3130,"7 3*")</f>
        <v>0</v>
      </c>
      <c r="H3094" s="31">
        <f>D3094 + F3094 - G3094</f>
        <v>0</v>
      </c>
      <c r="I3094" s="31"/>
      <c r="K3094" t="s">
        <v>13</v>
      </c>
    </row>
    <row r="3095" spans="2:11" ht="13" x14ac:dyDescent="0.15">
      <c r="B3095" s="29" t="s">
        <v>3943</v>
      </c>
      <c r="C3095" s="29" t="s">
        <v>3944</v>
      </c>
      <c r="D3095" s="31">
        <f>SUMIFS(D3096:D3130,K3096:K3130,"0",B3096:B3130,"7 3 1*")-SUMIFS(E3096:E3130,K3096:K3130,"0",B3096:B3130,"7 3 1*")</f>
        <v>0</v>
      </c>
      <c r="E3095"/>
      <c r="F3095" s="31">
        <f>SUMIFS(F3096:F3130,K3096:K3130,"0",B3096:B3130,"7 3 1*")</f>
        <v>0</v>
      </c>
      <c r="G3095" s="31">
        <f>SUMIFS(G3096:G3130,K3096:K3130,"0",B3096:B3130,"7 3 1*")</f>
        <v>0</v>
      </c>
      <c r="H3095" s="31">
        <f>D3095 + F3095 - G3095</f>
        <v>0</v>
      </c>
      <c r="I3095" s="31"/>
      <c r="K3095" t="s">
        <v>13</v>
      </c>
    </row>
    <row r="3096" spans="2:11" ht="13" x14ac:dyDescent="0.15">
      <c r="B3096" s="29" t="s">
        <v>3945</v>
      </c>
      <c r="C3096" s="29" t="s">
        <v>3946</v>
      </c>
      <c r="D3096"/>
      <c r="E3096" s="31">
        <f>SUMIFS(E3097:E3130,K3097:K3130,"0",B3097:B3130,"7 3 2*")-SUMIFS(D3097:D3130,K3097:K3130,"0",B3097:B3130,"7 3 2*")</f>
        <v>0</v>
      </c>
      <c r="F3096" s="31">
        <f>SUMIFS(F3097:F3130,K3097:K3130,"0",B3097:B3130,"7 3 2*")</f>
        <v>0</v>
      </c>
      <c r="G3096" s="31">
        <f>SUMIFS(G3097:G3130,K3097:K3130,"0",B3097:B3130,"7 3 2*")</f>
        <v>0</v>
      </c>
      <c r="H3096" s="31"/>
      <c r="I3096" s="31">
        <f>E3096 - F3096 + G3096</f>
        <v>0</v>
      </c>
      <c r="K3096" t="s">
        <v>13</v>
      </c>
    </row>
    <row r="3097" spans="2:11" ht="13" x14ac:dyDescent="0.15">
      <c r="B3097" s="29" t="s">
        <v>3947</v>
      </c>
      <c r="C3097" s="29" t="s">
        <v>3948</v>
      </c>
      <c r="D3097" s="31">
        <f>SUMIFS(D3098:D3130,K3098:K3130,"0",B3098:B3130,"7 3 3*")-SUMIFS(E3098:E3130,K3098:K3130,"0",B3098:B3130,"7 3 3*")</f>
        <v>0</v>
      </c>
      <c r="E3097"/>
      <c r="F3097" s="31">
        <f>SUMIFS(F3098:F3130,K3098:K3130,"0",B3098:B3130,"7 3 3*")</f>
        <v>0</v>
      </c>
      <c r="G3097" s="31">
        <f>SUMIFS(G3098:G3130,K3098:K3130,"0",B3098:B3130,"7 3 3*")</f>
        <v>0</v>
      </c>
      <c r="H3097" s="31">
        <f>D3097 + F3097 - G3097</f>
        <v>0</v>
      </c>
      <c r="I3097" s="31"/>
      <c r="K3097" t="s">
        <v>13</v>
      </c>
    </row>
    <row r="3098" spans="2:11" ht="13" x14ac:dyDescent="0.15">
      <c r="B3098" s="29" t="s">
        <v>3949</v>
      </c>
      <c r="C3098" s="29" t="s">
        <v>3950</v>
      </c>
      <c r="D3098"/>
      <c r="E3098" s="31">
        <f>SUMIFS(E3099:E3130,K3099:K3130,"0",B3099:B3130,"7 3 4*")-SUMIFS(D3099:D3130,K3099:K3130,"0",B3099:B3130,"7 3 4*")</f>
        <v>0</v>
      </c>
      <c r="F3098" s="31">
        <f>SUMIFS(F3099:F3130,K3099:K3130,"0",B3099:B3130,"7 3 4*")</f>
        <v>0</v>
      </c>
      <c r="G3098" s="31">
        <f>SUMIFS(G3099:G3130,K3099:K3130,"0",B3099:B3130,"7 3 4*")</f>
        <v>0</v>
      </c>
      <c r="H3098" s="31"/>
      <c r="I3098" s="31">
        <f>E3098 - F3098 + G3098</f>
        <v>0</v>
      </c>
      <c r="K3098" t="s">
        <v>13</v>
      </c>
    </row>
    <row r="3099" spans="2:11" ht="22" x14ac:dyDescent="0.15">
      <c r="B3099" s="29" t="s">
        <v>3951</v>
      </c>
      <c r="C3099" s="29" t="s">
        <v>3952</v>
      </c>
      <c r="D3099" s="31">
        <f>SUMIFS(D3100:D3130,K3100:K3130,"0",B3100:B3130,"7 3 5*")-SUMIFS(E3100:E3130,K3100:K3130,"0",B3100:B3130,"7 3 5*")</f>
        <v>0</v>
      </c>
      <c r="E3099"/>
      <c r="F3099" s="31">
        <f>SUMIFS(F3100:F3130,K3100:K3130,"0",B3100:B3130,"7 3 5*")</f>
        <v>0</v>
      </c>
      <c r="G3099" s="31">
        <f>SUMIFS(G3100:G3130,K3100:K3130,"0",B3100:B3130,"7 3 5*")</f>
        <v>0</v>
      </c>
      <c r="H3099" s="31">
        <f>D3099 + F3099 - G3099</f>
        <v>0</v>
      </c>
      <c r="I3099" s="31"/>
      <c r="K3099" t="s">
        <v>13</v>
      </c>
    </row>
    <row r="3100" spans="2:11" ht="22" x14ac:dyDescent="0.15">
      <c r="B3100" s="29" t="s">
        <v>3953</v>
      </c>
      <c r="C3100" s="29" t="s">
        <v>3954</v>
      </c>
      <c r="D3100"/>
      <c r="E3100" s="31">
        <f>SUMIFS(E3101:E3130,K3101:K3130,"0",B3101:B3130,"7 3 6*")-SUMIFS(D3101:D3130,K3101:K3130,"0",B3101:B3130,"7 3 6*")</f>
        <v>0</v>
      </c>
      <c r="F3100" s="31">
        <f>SUMIFS(F3101:F3130,K3101:K3130,"0",B3101:B3130,"7 3 6*")</f>
        <v>0</v>
      </c>
      <c r="G3100" s="31">
        <f>SUMIFS(G3101:G3130,K3101:K3130,"0",B3101:B3130,"7 3 6*")</f>
        <v>0</v>
      </c>
      <c r="H3100" s="31"/>
      <c r="I3100" s="31">
        <f>E3100 - F3100 + G3100</f>
        <v>0</v>
      </c>
      <c r="K3100" t="s">
        <v>13</v>
      </c>
    </row>
    <row r="3101" spans="2:11" ht="13" x14ac:dyDescent="0.15">
      <c r="B3101" s="29" t="s">
        <v>3955</v>
      </c>
      <c r="C3101" s="29" t="s">
        <v>3956</v>
      </c>
      <c r="D3101" s="31">
        <f>SUMIFS(D3102:D3130,K3102:K3130,"0",B3102:B3130,"7 4*")-SUMIFS(E3102:E3130,K3102:K3130,"0",B3102:B3130,"7 4*")</f>
        <v>0</v>
      </c>
      <c r="E3101"/>
      <c r="F3101" s="31">
        <f>SUMIFS(F3102:F3130,K3102:K3130,"0",B3102:B3130,"7 4*")</f>
        <v>0</v>
      </c>
      <c r="G3101" s="31">
        <f>SUMIFS(G3102:G3130,K3102:K3130,"0",B3102:B3130,"7 4*")</f>
        <v>0</v>
      </c>
      <c r="H3101" s="31">
        <f>D3101 + F3101 - G3101</f>
        <v>0</v>
      </c>
      <c r="I3101" s="31"/>
      <c r="K3101" t="s">
        <v>13</v>
      </c>
    </row>
    <row r="3102" spans="2:11" ht="13" x14ac:dyDescent="0.15">
      <c r="B3102" s="29" t="s">
        <v>3957</v>
      </c>
      <c r="C3102" s="29" t="s">
        <v>3958</v>
      </c>
      <c r="D3102" s="31">
        <f>SUMIFS(D3103:D3130,K3103:K3130,"0",B3103:B3130,"7 4 1*")-SUMIFS(E3103:E3130,K3103:K3130,"0",B3103:B3130,"7 4 1*")</f>
        <v>0</v>
      </c>
      <c r="E3102"/>
      <c r="F3102" s="31">
        <f>SUMIFS(F3103:F3130,K3103:K3130,"0",B3103:B3130,"7 4 1*")</f>
        <v>0</v>
      </c>
      <c r="G3102" s="31">
        <f>SUMIFS(G3103:G3130,K3103:K3130,"0",B3103:B3130,"7 4 1*")</f>
        <v>0</v>
      </c>
      <c r="H3102" s="31">
        <f>D3102 + F3102 - G3102</f>
        <v>0</v>
      </c>
      <c r="I3102" s="31"/>
      <c r="K3102" t="s">
        <v>13</v>
      </c>
    </row>
    <row r="3103" spans="2:11" ht="13" x14ac:dyDescent="0.15">
      <c r="B3103" s="29" t="s">
        <v>3959</v>
      </c>
      <c r="C3103" s="29" t="s">
        <v>3960</v>
      </c>
      <c r="D3103"/>
      <c r="E3103" s="31">
        <f>SUMIFS(E3104:E3130,K3104:K3130,"0",B3104:B3130,"7 4 2*")-SUMIFS(D3104:D3130,K3104:K3130,"0",B3104:B3130,"7 4 2*")</f>
        <v>0</v>
      </c>
      <c r="F3103" s="31">
        <f>SUMIFS(F3104:F3130,K3104:K3130,"0",B3104:B3130,"7 4 2*")</f>
        <v>0</v>
      </c>
      <c r="G3103" s="31">
        <f>SUMIFS(G3104:G3130,K3104:K3130,"0",B3104:B3130,"7 4 2*")</f>
        <v>0</v>
      </c>
      <c r="H3103" s="31"/>
      <c r="I3103" s="31">
        <f>E3103 - F3103 + G3103</f>
        <v>0</v>
      </c>
      <c r="K3103" t="s">
        <v>13</v>
      </c>
    </row>
    <row r="3104" spans="2:11" ht="13" x14ac:dyDescent="0.15">
      <c r="B3104" s="29" t="s">
        <v>3961</v>
      </c>
      <c r="C3104" s="29" t="s">
        <v>3962</v>
      </c>
      <c r="D3104" s="31">
        <f>SUMIFS(D3105:D3130,K3105:K3130,"0",B3105:B3130,"7 5*")-SUMIFS(E3105:E3130,K3105:K3130,"0",B3105:B3130,"7 5*")</f>
        <v>0</v>
      </c>
      <c r="E3104"/>
      <c r="F3104" s="31">
        <f>SUMIFS(F3105:F3130,K3105:K3130,"0",B3105:B3130,"7 5*")</f>
        <v>0</v>
      </c>
      <c r="G3104" s="31">
        <f>SUMIFS(G3105:G3130,K3105:K3130,"0",B3105:B3130,"7 5*")</f>
        <v>0</v>
      </c>
      <c r="H3104" s="31">
        <f>D3104 + F3104 - G3104</f>
        <v>0</v>
      </c>
      <c r="I3104" s="31"/>
      <c r="K3104" t="s">
        <v>13</v>
      </c>
    </row>
    <row r="3105" spans="2:11" ht="13" x14ac:dyDescent="0.15">
      <c r="B3105" s="29" t="s">
        <v>3963</v>
      </c>
      <c r="C3105" s="29" t="s">
        <v>3964</v>
      </c>
      <c r="D3105" s="31">
        <f>SUMIFS(D3106:D3130,K3106:K3130,"0",B3106:B3130,"7 5 1*")-SUMIFS(E3106:E3130,K3106:K3130,"0",B3106:B3130,"7 5 1*")</f>
        <v>0</v>
      </c>
      <c r="E3105"/>
      <c r="F3105" s="31">
        <f>SUMIFS(F3106:F3130,K3106:K3130,"0",B3106:B3130,"7 5 1*")</f>
        <v>0</v>
      </c>
      <c r="G3105" s="31">
        <f>SUMIFS(G3106:G3130,K3106:K3130,"0",B3106:B3130,"7 5 1*")</f>
        <v>0</v>
      </c>
      <c r="H3105" s="31">
        <f>D3105 + F3105 - G3105</f>
        <v>0</v>
      </c>
      <c r="I3105" s="31"/>
      <c r="K3105" t="s">
        <v>13</v>
      </c>
    </row>
    <row r="3106" spans="2:11" ht="13" x14ac:dyDescent="0.15">
      <c r="B3106" s="29" t="s">
        <v>3965</v>
      </c>
      <c r="C3106" s="29" t="s">
        <v>3966</v>
      </c>
      <c r="D3106"/>
      <c r="E3106" s="31">
        <f>SUMIFS(E3107:E3130,K3107:K3130,"0",B3107:B3130,"7 5 2*")-SUMIFS(D3107:D3130,K3107:K3130,"0",B3107:B3130,"7 5 2*")</f>
        <v>0</v>
      </c>
      <c r="F3106" s="31">
        <f>SUMIFS(F3107:F3130,K3107:K3130,"0",B3107:B3130,"7 5 2*")</f>
        <v>0</v>
      </c>
      <c r="G3106" s="31">
        <f>SUMIFS(G3107:G3130,K3107:K3130,"0",B3107:B3130,"7 5 2*")</f>
        <v>0</v>
      </c>
      <c r="H3106" s="31"/>
      <c r="I3106" s="31">
        <f>E3106 - F3106 + G3106</f>
        <v>0</v>
      </c>
      <c r="K3106" t="s">
        <v>13</v>
      </c>
    </row>
    <row r="3107" spans="2:11" ht="13" x14ac:dyDescent="0.15">
      <c r="B3107" s="29" t="s">
        <v>3967</v>
      </c>
      <c r="C3107" s="29" t="s">
        <v>3968</v>
      </c>
      <c r="D3107" s="31">
        <f>SUMIFS(D3108:D3130,K3108:K3130,"0",B3108:B3130,"7 6*")-SUMIFS(E3108:E3130,K3108:K3130,"0",B3108:B3130,"7 6*")</f>
        <v>0</v>
      </c>
      <c r="E3107"/>
      <c r="F3107" s="31">
        <f>SUMIFS(F3108:F3130,K3108:K3130,"0",B3108:B3130,"7 6*")</f>
        <v>0</v>
      </c>
      <c r="G3107" s="31">
        <f>SUMIFS(G3108:G3130,K3108:K3130,"0",B3108:B3130,"7 6*")</f>
        <v>0</v>
      </c>
      <c r="H3107" s="31">
        <f>D3107 + F3107 - G3107</f>
        <v>0</v>
      </c>
      <c r="I3107" s="31"/>
      <c r="K3107" t="s">
        <v>13</v>
      </c>
    </row>
    <row r="3108" spans="2:11" ht="13" x14ac:dyDescent="0.15">
      <c r="B3108" s="29" t="s">
        <v>3969</v>
      </c>
      <c r="C3108" s="29" t="s">
        <v>3970</v>
      </c>
      <c r="D3108" s="31">
        <f>SUMIFS(D3109:D3130,K3109:K3130,"0",B3109:B3130,"7 6 1*")-SUMIFS(E3109:E3130,K3109:K3130,"0",B3109:B3130,"7 6 1*")</f>
        <v>0</v>
      </c>
      <c r="E3108"/>
      <c r="F3108" s="31">
        <f>SUMIFS(F3109:F3130,K3109:K3130,"0",B3109:B3130,"7 6 1*")</f>
        <v>0</v>
      </c>
      <c r="G3108" s="31">
        <f>SUMIFS(G3109:G3130,K3109:K3130,"0",B3109:B3130,"7 6 1*")</f>
        <v>0</v>
      </c>
      <c r="H3108" s="31">
        <f>D3108 + F3108 - G3108</f>
        <v>0</v>
      </c>
      <c r="I3108" s="31"/>
      <c r="K3108" t="s">
        <v>13</v>
      </c>
    </row>
    <row r="3109" spans="2:11" ht="13" x14ac:dyDescent="0.15">
      <c r="B3109" s="29" t="s">
        <v>3971</v>
      </c>
      <c r="C3109" s="29" t="s">
        <v>3972</v>
      </c>
      <c r="D3109"/>
      <c r="E3109" s="31">
        <f>SUMIFS(E3110:E3130,K3110:K3130,"0",B3110:B3130,"7 6 2*")-SUMIFS(D3110:D3130,K3110:K3130,"0",B3110:B3130,"7 6 2*")</f>
        <v>0</v>
      </c>
      <c r="F3109" s="31">
        <f>SUMIFS(F3110:F3130,K3110:K3130,"0",B3110:B3130,"7 6 2*")</f>
        <v>0</v>
      </c>
      <c r="G3109" s="31">
        <f>SUMIFS(G3110:G3130,K3110:K3130,"0",B3110:B3130,"7 6 2*")</f>
        <v>0</v>
      </c>
      <c r="H3109" s="31"/>
      <c r="I3109" s="31">
        <f>E3109 - F3109 + G3109</f>
        <v>0</v>
      </c>
      <c r="K3109" t="s">
        <v>13</v>
      </c>
    </row>
    <row r="3110" spans="2:11" ht="13" x14ac:dyDescent="0.15">
      <c r="B3110" s="29" t="s">
        <v>3973</v>
      </c>
      <c r="C3110" s="29" t="s">
        <v>3974</v>
      </c>
      <c r="D3110" s="31">
        <f>SUMIFS(D3111:D3130,K3111:K3130,"0",B3111:B3130,"7 6 3*")-SUMIFS(E3111:E3130,K3111:K3130,"0",B3111:B3130,"7 6 3*")</f>
        <v>0</v>
      </c>
      <c r="E3110"/>
      <c r="F3110" s="31">
        <f>SUMIFS(F3111:F3130,K3111:K3130,"0",B3111:B3130,"7 6 3*")</f>
        <v>0</v>
      </c>
      <c r="G3110" s="31">
        <f>SUMIFS(G3111:G3130,K3111:K3130,"0",B3111:B3130,"7 6 3*")</f>
        <v>0</v>
      </c>
      <c r="H3110" s="31">
        <f>D3110 + F3110 - G3110</f>
        <v>0</v>
      </c>
      <c r="I3110" s="31"/>
      <c r="K3110" t="s">
        <v>13</v>
      </c>
    </row>
    <row r="3111" spans="2:11" ht="13" x14ac:dyDescent="0.15">
      <c r="B3111" s="29" t="s">
        <v>3975</v>
      </c>
      <c r="C3111" s="29" t="s">
        <v>3976</v>
      </c>
      <c r="D3111"/>
      <c r="E3111" s="31">
        <f>SUMIFS(E3112:E3130,K3112:K3130,"0",B3112:B3130,"7 6 4*")-SUMIFS(D3112:D3130,K3112:K3130,"0",B3112:B3130,"7 6 4*")</f>
        <v>0</v>
      </c>
      <c r="F3111" s="31">
        <f>SUMIFS(F3112:F3130,K3112:K3130,"0",B3112:B3130,"7 6 4*")</f>
        <v>0</v>
      </c>
      <c r="G3111" s="31">
        <f>SUMIFS(G3112:G3130,K3112:K3130,"0",B3112:B3130,"7 6 4*")</f>
        <v>0</v>
      </c>
      <c r="H3111" s="31"/>
      <c r="I3111" s="31">
        <f>E3111 - F3111 + G3111</f>
        <v>0</v>
      </c>
      <c r="K3111" t="s">
        <v>13</v>
      </c>
    </row>
    <row r="3112" spans="2:11" ht="13" x14ac:dyDescent="0.15">
      <c r="B3112" s="29" t="s">
        <v>3977</v>
      </c>
      <c r="C3112" s="29" t="s">
        <v>3978</v>
      </c>
      <c r="D3112" s="31">
        <f>SUMIFS(D3113:D3130,K3113:K3130,"0",B3113:B3130,"8*")-SUMIFS(E3113:E3130,K3113:K3130,"0",B3113:B3130,"8*")</f>
        <v>0</v>
      </c>
      <c r="E3112"/>
      <c r="F3112" s="31">
        <f>SUMIFS(F3113:F3130,K3113:K3130,"0",B3113:B3130,"8*")</f>
        <v>891578177.91999996</v>
      </c>
      <c r="G3112" s="31">
        <f>SUMIFS(G3113:G3130,K3113:K3130,"0",B3113:B3130,"8*")</f>
        <v>891578177.92000008</v>
      </c>
      <c r="H3112" s="31">
        <f>D3112 + F3112 - G3112</f>
        <v>0</v>
      </c>
      <c r="I3112" s="31"/>
      <c r="K3112" t="s">
        <v>13</v>
      </c>
    </row>
    <row r="3113" spans="2:11" ht="13" x14ac:dyDescent="0.15">
      <c r="B3113" s="29" t="s">
        <v>3979</v>
      </c>
      <c r="C3113" s="29" t="s">
        <v>3980</v>
      </c>
      <c r="D3113" s="31">
        <f>SUMIFS(D3114:D3130,K3114:K3130,"0",B3114:B3130,"8 1*")-SUMIFS(E3114:E3130,K3114:K3130,"0",B3114:B3130,"8 1*")</f>
        <v>0</v>
      </c>
      <c r="E3113"/>
      <c r="F3113" s="31">
        <f>SUMIFS(F3114:F3130,K3114:K3130,"0",B3114:B3130,"8 1*")</f>
        <v>341983619.77999997</v>
      </c>
      <c r="G3113" s="31">
        <f>SUMIFS(G3114:G3130,K3114:K3130,"0",B3114:B3130,"8 1*")</f>
        <v>341983619.78000003</v>
      </c>
      <c r="H3113" s="31">
        <f>D3113 + F3113 - G3113</f>
        <v>0</v>
      </c>
      <c r="I3113" s="31"/>
      <c r="K3113" t="s">
        <v>13</v>
      </c>
    </row>
    <row r="3114" spans="2:11" ht="13" x14ac:dyDescent="0.15">
      <c r="B3114" s="27" t="s">
        <v>3981</v>
      </c>
      <c r="C3114" s="27" t="s">
        <v>3982</v>
      </c>
      <c r="D3114" s="30">
        <v>0</v>
      </c>
      <c r="E3114" s="30"/>
      <c r="F3114" s="30">
        <v>112794797.09999999</v>
      </c>
      <c r="G3114" s="30">
        <v>0</v>
      </c>
      <c r="H3114" s="30">
        <f>D3114 + F3114 - G3114</f>
        <v>112794797.09999999</v>
      </c>
      <c r="I3114" s="30"/>
      <c r="K3114" t="s">
        <v>37</v>
      </c>
    </row>
    <row r="3115" spans="2:11" ht="13" x14ac:dyDescent="0.15">
      <c r="B3115" s="27" t="s">
        <v>3983</v>
      </c>
      <c r="C3115" s="27" t="s">
        <v>3984</v>
      </c>
      <c r="D3115" s="30"/>
      <c r="E3115" s="30">
        <v>0</v>
      </c>
      <c r="F3115" s="30">
        <v>104268011.54000001</v>
      </c>
      <c r="G3115" s="30">
        <v>133447596.7</v>
      </c>
      <c r="H3115" s="30"/>
      <c r="I3115" s="30">
        <f>E3115 - F3115 + G3115</f>
        <v>29179585.159999996</v>
      </c>
      <c r="K3115" t="s">
        <v>37</v>
      </c>
    </row>
    <row r="3116" spans="2:11" ht="13" x14ac:dyDescent="0.15">
      <c r="B3116" s="27" t="s">
        <v>3985</v>
      </c>
      <c r="C3116" s="27" t="s">
        <v>3986</v>
      </c>
      <c r="D3116" s="30">
        <v>0</v>
      </c>
      <c r="E3116" s="30"/>
      <c r="F3116" s="30">
        <v>20652799.600000001</v>
      </c>
      <c r="G3116" s="30">
        <v>0</v>
      </c>
      <c r="H3116" s="30">
        <f>D3116 + F3116 - G3116</f>
        <v>20652799.600000001</v>
      </c>
      <c r="I3116" s="30"/>
      <c r="K3116" t="s">
        <v>37</v>
      </c>
    </row>
    <row r="3117" spans="2:11" ht="13" x14ac:dyDescent="0.15">
      <c r="B3117" s="27" t="s">
        <v>3987</v>
      </c>
      <c r="C3117" s="27" t="s">
        <v>3988</v>
      </c>
      <c r="D3117" s="30"/>
      <c r="E3117" s="30">
        <v>0</v>
      </c>
      <c r="F3117" s="30">
        <v>104268011.54000001</v>
      </c>
      <c r="G3117" s="30">
        <v>104268011.54000001</v>
      </c>
      <c r="H3117" s="30"/>
      <c r="I3117" s="30">
        <f>E3117 - F3117 + G3117</f>
        <v>0</v>
      </c>
      <c r="K3117" t="s">
        <v>37</v>
      </c>
    </row>
    <row r="3118" spans="2:11" ht="13" x14ac:dyDescent="0.15">
      <c r="B3118" s="27" t="s">
        <v>3989</v>
      </c>
      <c r="C3118" s="27" t="s">
        <v>3990</v>
      </c>
      <c r="D3118" s="30"/>
      <c r="E3118" s="30">
        <v>0</v>
      </c>
      <c r="F3118" s="30">
        <v>0</v>
      </c>
      <c r="G3118" s="30">
        <v>104268011.54000001</v>
      </c>
      <c r="H3118" s="30"/>
      <c r="I3118" s="30">
        <f>E3118 - F3118 + G3118</f>
        <v>104268011.54000001</v>
      </c>
      <c r="K3118" t="s">
        <v>37</v>
      </c>
    </row>
    <row r="3119" spans="2:11" ht="13" x14ac:dyDescent="0.15">
      <c r="B3119" s="29" t="s">
        <v>3991</v>
      </c>
      <c r="C3119" s="29" t="s">
        <v>3992</v>
      </c>
      <c r="D3119"/>
      <c r="E3119" s="31">
        <f>SUMIFS(E3120:E3130,K3120:K3130,"0",B3120:B3130,"8 2*")-SUMIFS(D3120:D3130,K3120:K3130,"0",B3120:B3130,"8 2*")</f>
        <v>0</v>
      </c>
      <c r="F3119" s="31">
        <f>SUMIFS(F3120:F3130,K3120:K3130,"0",B3120:B3130,"8 2*")</f>
        <v>549594558.13999999</v>
      </c>
      <c r="G3119" s="31">
        <f>SUMIFS(G3120:G3130,K3120:K3130,"0",B3120:B3130,"8 2*")</f>
        <v>549594558.13999999</v>
      </c>
      <c r="H3119" s="31"/>
      <c r="I3119" s="31">
        <f>E3119 - F3119 + G3119</f>
        <v>0</v>
      </c>
      <c r="K3119" t="s">
        <v>13</v>
      </c>
    </row>
    <row r="3120" spans="2:11" ht="13" x14ac:dyDescent="0.15">
      <c r="B3120" s="27" t="s">
        <v>3993</v>
      </c>
      <c r="C3120" s="27" t="s">
        <v>3994</v>
      </c>
      <c r="D3120" s="30"/>
      <c r="E3120" s="30">
        <v>0</v>
      </c>
      <c r="F3120" s="30">
        <v>0</v>
      </c>
      <c r="G3120" s="30">
        <v>112794797.09999999</v>
      </c>
      <c r="H3120" s="30"/>
      <c r="I3120" s="30">
        <f>E3120 - F3120 + G3120</f>
        <v>112794797.09999999</v>
      </c>
      <c r="K3120" t="s">
        <v>37</v>
      </c>
    </row>
    <row r="3121" spans="2:11" ht="13" x14ac:dyDescent="0.15">
      <c r="B3121" s="27" t="s">
        <v>3995</v>
      </c>
      <c r="C3121" s="27" t="s">
        <v>3996</v>
      </c>
      <c r="D3121" s="30">
        <v>0</v>
      </c>
      <c r="E3121" s="30"/>
      <c r="F3121" s="30">
        <v>133447596.7</v>
      </c>
      <c r="G3121" s="30">
        <v>104036740.36</v>
      </c>
      <c r="H3121" s="30">
        <f>D3121 + F3121 - G3121</f>
        <v>29410856.340000004</v>
      </c>
      <c r="I3121" s="30"/>
      <c r="K3121" t="s">
        <v>37</v>
      </c>
    </row>
    <row r="3122" spans="2:11" ht="13" x14ac:dyDescent="0.15">
      <c r="B3122" s="27" t="s">
        <v>3997</v>
      </c>
      <c r="C3122" s="27" t="s">
        <v>3998</v>
      </c>
      <c r="D3122" s="30"/>
      <c r="E3122" s="30">
        <v>0</v>
      </c>
      <c r="F3122" s="30">
        <v>0</v>
      </c>
      <c r="G3122" s="30">
        <v>20652799.600000001</v>
      </c>
      <c r="H3122" s="30"/>
      <c r="I3122" s="30">
        <f>E3122 - F3122 + G3122</f>
        <v>20652799.600000001</v>
      </c>
      <c r="K3122" t="s">
        <v>37</v>
      </c>
    </row>
    <row r="3123" spans="2:11" ht="13" x14ac:dyDescent="0.15">
      <c r="B3123" s="27" t="s">
        <v>3999</v>
      </c>
      <c r="C3123" s="27" t="s">
        <v>4000</v>
      </c>
      <c r="D3123" s="30">
        <v>0</v>
      </c>
      <c r="E3123" s="30"/>
      <c r="F3123" s="30">
        <v>104036740.36</v>
      </c>
      <c r="G3123" s="30">
        <v>104036740.36</v>
      </c>
      <c r="H3123" s="30">
        <f t="shared" ref="H3123:H3130" si="49">D3123 + F3123 - G3123</f>
        <v>0</v>
      </c>
      <c r="I3123" s="30"/>
      <c r="K3123" t="s">
        <v>37</v>
      </c>
    </row>
    <row r="3124" spans="2:11" ht="13" x14ac:dyDescent="0.15">
      <c r="B3124" s="27" t="s">
        <v>4001</v>
      </c>
      <c r="C3124" s="27" t="s">
        <v>4002</v>
      </c>
      <c r="D3124" s="30">
        <v>0</v>
      </c>
      <c r="E3124" s="30"/>
      <c r="F3124" s="30">
        <v>104036740.36</v>
      </c>
      <c r="G3124" s="30">
        <v>104036740.36</v>
      </c>
      <c r="H3124" s="30">
        <f t="shared" si="49"/>
        <v>0</v>
      </c>
      <c r="I3124" s="30"/>
      <c r="K3124" t="s">
        <v>37</v>
      </c>
    </row>
    <row r="3125" spans="2:11" ht="13" x14ac:dyDescent="0.15">
      <c r="B3125" s="27" t="s">
        <v>4003</v>
      </c>
      <c r="C3125" s="27" t="s">
        <v>4004</v>
      </c>
      <c r="D3125" s="30">
        <v>0</v>
      </c>
      <c r="E3125" s="30"/>
      <c r="F3125" s="30">
        <v>104036740.36</v>
      </c>
      <c r="G3125" s="30">
        <v>104036740.36</v>
      </c>
      <c r="H3125" s="30">
        <f t="shared" si="49"/>
        <v>0</v>
      </c>
      <c r="I3125" s="30"/>
      <c r="K3125" t="s">
        <v>37</v>
      </c>
    </row>
    <row r="3126" spans="2:11" ht="13" x14ac:dyDescent="0.15">
      <c r="B3126" s="27" t="s">
        <v>4005</v>
      </c>
      <c r="C3126" s="27" t="s">
        <v>4006</v>
      </c>
      <c r="D3126" s="30">
        <v>0</v>
      </c>
      <c r="E3126" s="30"/>
      <c r="F3126" s="30">
        <v>104036740.36</v>
      </c>
      <c r="G3126" s="30">
        <v>0</v>
      </c>
      <c r="H3126" s="30">
        <f t="shared" si="49"/>
        <v>104036740.36</v>
      </c>
      <c r="I3126" s="30"/>
      <c r="K3126" t="s">
        <v>37</v>
      </c>
    </row>
    <row r="3127" spans="2:11" ht="13" x14ac:dyDescent="0.15">
      <c r="B3127" s="29" t="s">
        <v>4007</v>
      </c>
      <c r="C3127" s="29" t="s">
        <v>4008</v>
      </c>
      <c r="D3127" s="31">
        <f>SUMIFS(D3128:D3130,K3128:K3130,"0",B3128:B3130,"9*")-SUMIFS(E3128:E3130,K3128:K3130,"0",B3128:B3130,"9*")</f>
        <v>0</v>
      </c>
      <c r="E3127"/>
      <c r="F3127" s="31">
        <f>SUMIFS(F3128:F3130,K3128:K3130,"0",B3128:B3130,"9*")</f>
        <v>0</v>
      </c>
      <c r="G3127" s="31">
        <f>SUMIFS(G3128:G3130,K3128:K3130,"0",B3128:B3130,"9*")</f>
        <v>0</v>
      </c>
      <c r="H3127" s="31">
        <f t="shared" si="49"/>
        <v>0</v>
      </c>
      <c r="I3127" s="31"/>
      <c r="K3127" t="s">
        <v>13</v>
      </c>
    </row>
    <row r="3128" spans="2:11" ht="13" x14ac:dyDescent="0.15">
      <c r="B3128" s="27" t="s">
        <v>4009</v>
      </c>
      <c r="C3128" s="27" t="s">
        <v>4010</v>
      </c>
      <c r="D3128" s="30">
        <v>0</v>
      </c>
      <c r="E3128" s="30"/>
      <c r="F3128" s="30">
        <v>0</v>
      </c>
      <c r="G3128" s="30">
        <v>0</v>
      </c>
      <c r="H3128" s="30">
        <f t="shared" si="49"/>
        <v>0</v>
      </c>
      <c r="I3128" s="30"/>
      <c r="K3128" t="s">
        <v>37</v>
      </c>
    </row>
    <row r="3129" spans="2:11" ht="13" x14ac:dyDescent="0.15">
      <c r="B3129" s="27" t="s">
        <v>4011</v>
      </c>
      <c r="C3129" s="27" t="s">
        <v>4012</v>
      </c>
      <c r="D3129" s="30">
        <v>0</v>
      </c>
      <c r="E3129" s="30"/>
      <c r="F3129" s="30">
        <v>0</v>
      </c>
      <c r="G3129" s="30">
        <v>0</v>
      </c>
      <c r="H3129" s="30">
        <f t="shared" si="49"/>
        <v>0</v>
      </c>
      <c r="I3129" s="30"/>
      <c r="K3129" t="s">
        <v>37</v>
      </c>
    </row>
    <row r="3130" spans="2:11" ht="13" x14ac:dyDescent="0.15">
      <c r="B3130" s="27" t="s">
        <v>4013</v>
      </c>
      <c r="C3130" s="27" t="s">
        <v>4014</v>
      </c>
      <c r="D3130" s="30">
        <v>0</v>
      </c>
      <c r="E3130" s="30"/>
      <c r="F3130" s="30">
        <v>0</v>
      </c>
      <c r="G3130" s="30">
        <v>0</v>
      </c>
      <c r="H3130" s="30">
        <f t="shared" si="49"/>
        <v>0</v>
      </c>
      <c r="I3130" s="30"/>
      <c r="K3130" t="s">
        <v>37</v>
      </c>
    </row>
    <row r="3132" spans="2:11" x14ac:dyDescent="0.15">
      <c r="D3132" s="32">
        <f>SUMIF(K10:K3130,"=0",D10:D3130)</f>
        <v>6753759.6099999985</v>
      </c>
      <c r="E3132" s="32">
        <f>SUMIF(K10:K3130,"=0",E10:E3130)</f>
        <v>6753759.6100000003</v>
      </c>
      <c r="F3132" s="32">
        <f>SUMIF(K10:K3130,"=0",F10:F3130)</f>
        <v>1394542566.8399994</v>
      </c>
      <c r="G3132" s="32">
        <f>SUMIF(K10:K3130,"=0",G10:G3130)</f>
        <v>1394542566.8399997</v>
      </c>
      <c r="H3132" s="32">
        <f>SUMIF(K10:K3130,"=0",H10:H3130)</f>
        <v>375385927.78999996</v>
      </c>
      <c r="I3132" s="32">
        <f>SUMIF(K10:K3130,"=0",I10:I3130)</f>
        <v>375385927.78999996</v>
      </c>
    </row>
    <row r="3134" spans="2:11" x14ac:dyDescent="0.15">
      <c r="B3134" s="28" t="str">
        <f>IF(AND(ROUND(D3132, 2)=ROUND(E3132, 2), ROUND(F3132, 2)=ROUND(G3132, 2), ROUND(H3132,2)=ROUND(I3132, 2)), "Bajo protesta de decir verdad declaramos que los estados financieros y sus notas son correctas, verídicas y responsabilidad del emisor", "* * * * * * * * * * * * * * * * * * * * * * * * * * * * * *BALANCE DESCUADRADO* * * * * * * * * * * * * * * * * * * * * * * * * * * * * *")</f>
        <v>Bajo protesta de decir verdad declaramos que los estados financieros y sus notas son correctas, verídicas y responsabilidad del emisor</v>
      </c>
    </row>
  </sheetData>
  <mergeCells count="10">
    <mergeCell ref="B2:I2"/>
    <mergeCell ref="B3:I3"/>
    <mergeCell ref="B4:I4"/>
    <mergeCell ref="B5:I5"/>
    <mergeCell ref="D8:E8"/>
    <mergeCell ref="F8:G8"/>
    <mergeCell ref="H8:I8"/>
    <mergeCell ref="D7:E7"/>
    <mergeCell ref="F7:G7"/>
    <mergeCell ref="H7:I7"/>
  </mergeCells>
  <phoneticPr fontId="0" type="noConversion"/>
  <pageMargins left="0.78740157480314965" right="0.78740157480314965" top="0.39370078740157483" bottom="0.39370078740157483" header="0" footer="0"/>
  <pageSetup scale="82" orientation="landscape" r:id="rId1"/>
  <headerFooter alignWithMargins="0">
    <oddFooter>&amp;C&amp;"Arial,"&amp;6&amp;D &amp;T&amp;L&amp;"Arial,"&amp;6Coram/ Balanza 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2024-10-25T16:44:37Z</cp:lastPrinted>
  <dcterms:created xsi:type="dcterms:W3CDTF">1996-11-27T10:00:04Z</dcterms:created>
  <dcterms:modified xsi:type="dcterms:W3CDTF">2024-11-08T18:10:51Z</dcterms:modified>
</cp:coreProperties>
</file>