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4.2.19 IC Balanza de comprobación excel/"/>
    </mc:Choice>
  </mc:AlternateContent>
  <xr:revisionPtr revIDLastSave="0" documentId="8_{104EF93C-E18B-9E44-AC1C-5E30CD54D25F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2" i="1" l="1"/>
  <c r="F422" i="1"/>
  <c r="E422" i="1"/>
  <c r="D422" i="1"/>
  <c r="H420" i="1"/>
  <c r="H419" i="1"/>
  <c r="H418" i="1"/>
  <c r="H417" i="1"/>
  <c r="I416" i="1"/>
  <c r="H415" i="1"/>
  <c r="I414" i="1"/>
  <c r="G413" i="1"/>
  <c r="F413" i="1"/>
  <c r="E413" i="1"/>
  <c r="I413" i="1" s="1"/>
  <c r="I412" i="1"/>
  <c r="I411" i="1"/>
  <c r="H410" i="1"/>
  <c r="I409" i="1"/>
  <c r="H408" i="1"/>
  <c r="G407" i="1"/>
  <c r="F407" i="1"/>
  <c r="H407" i="1" s="1"/>
  <c r="D407" i="1"/>
  <c r="G406" i="1"/>
  <c r="F406" i="1"/>
  <c r="H406" i="1" s="1"/>
  <c r="D406" i="1"/>
  <c r="H405" i="1"/>
  <c r="G404" i="1"/>
  <c r="F404" i="1"/>
  <c r="D404" i="1"/>
  <c r="H404" i="1" s="1"/>
  <c r="G403" i="1"/>
  <c r="F403" i="1"/>
  <c r="D403" i="1"/>
  <c r="H403" i="1" s="1"/>
  <c r="G402" i="1"/>
  <c r="F402" i="1"/>
  <c r="D402" i="1"/>
  <c r="H402" i="1" s="1"/>
  <c r="G401" i="1"/>
  <c r="F401" i="1"/>
  <c r="D401" i="1"/>
  <c r="H401" i="1" s="1"/>
  <c r="G400" i="1"/>
  <c r="F400" i="1"/>
  <c r="D400" i="1"/>
  <c r="H400" i="1" s="1"/>
  <c r="G399" i="1"/>
  <c r="F399" i="1"/>
  <c r="D399" i="1"/>
  <c r="H399" i="1" s="1"/>
  <c r="G398" i="1"/>
  <c r="F398" i="1"/>
  <c r="D398" i="1"/>
  <c r="H398" i="1" s="1"/>
  <c r="G397" i="1"/>
  <c r="F397" i="1"/>
  <c r="D397" i="1"/>
  <c r="H397" i="1" s="1"/>
  <c r="G396" i="1"/>
  <c r="F396" i="1"/>
  <c r="D396" i="1"/>
  <c r="H396" i="1" s="1"/>
  <c r="G395" i="1"/>
  <c r="F395" i="1"/>
  <c r="D395" i="1"/>
  <c r="H395" i="1" s="1"/>
  <c r="G394" i="1"/>
  <c r="F394" i="1"/>
  <c r="D394" i="1"/>
  <c r="H394" i="1" s="1"/>
  <c r="G393" i="1"/>
  <c r="F393" i="1"/>
  <c r="D393" i="1"/>
  <c r="H393" i="1" s="1"/>
  <c r="G392" i="1"/>
  <c r="F392" i="1"/>
  <c r="D392" i="1"/>
  <c r="H392" i="1" s="1"/>
  <c r="G391" i="1"/>
  <c r="F391" i="1"/>
  <c r="D391" i="1"/>
  <c r="H391" i="1" s="1"/>
  <c r="G390" i="1"/>
  <c r="F390" i="1"/>
  <c r="D390" i="1"/>
  <c r="H390" i="1" s="1"/>
  <c r="G389" i="1"/>
  <c r="F389" i="1"/>
  <c r="D389" i="1"/>
  <c r="H389" i="1" s="1"/>
  <c r="H388" i="1"/>
  <c r="H387" i="1"/>
  <c r="G387" i="1"/>
  <c r="F387" i="1"/>
  <c r="D387" i="1"/>
  <c r="H386" i="1"/>
  <c r="G386" i="1"/>
  <c r="F386" i="1"/>
  <c r="D386" i="1"/>
  <c r="H385" i="1"/>
  <c r="G385" i="1"/>
  <c r="F385" i="1"/>
  <c r="D385" i="1"/>
  <c r="H384" i="1"/>
  <c r="G384" i="1"/>
  <c r="F384" i="1"/>
  <c r="D384" i="1"/>
  <c r="H383" i="1"/>
  <c r="G383" i="1"/>
  <c r="F383" i="1"/>
  <c r="D383" i="1"/>
  <c r="H382" i="1"/>
  <c r="G382" i="1"/>
  <c r="F382" i="1"/>
  <c r="D382" i="1"/>
  <c r="H381" i="1"/>
  <c r="G381" i="1"/>
  <c r="F381" i="1"/>
  <c r="D381" i="1"/>
  <c r="H380" i="1"/>
  <c r="G380" i="1"/>
  <c r="F380" i="1"/>
  <c r="D380" i="1"/>
  <c r="H379" i="1"/>
  <c r="G379" i="1"/>
  <c r="F379" i="1"/>
  <c r="D379" i="1"/>
  <c r="H378" i="1"/>
  <c r="G378" i="1"/>
  <c r="F378" i="1"/>
  <c r="D378" i="1"/>
  <c r="H377" i="1"/>
  <c r="G377" i="1"/>
  <c r="F377" i="1"/>
  <c r="D377" i="1"/>
  <c r="H376" i="1"/>
  <c r="G376" i="1"/>
  <c r="F376" i="1"/>
  <c r="D376" i="1"/>
  <c r="H375" i="1"/>
  <c r="G375" i="1"/>
  <c r="F375" i="1"/>
  <c r="D375" i="1"/>
  <c r="H374" i="1"/>
  <c r="G374" i="1"/>
  <c r="F374" i="1"/>
  <c r="D374" i="1"/>
  <c r="H373" i="1"/>
  <c r="G373" i="1"/>
  <c r="F373" i="1"/>
  <c r="D373" i="1"/>
  <c r="H372" i="1"/>
  <c r="G372" i="1"/>
  <c r="F372" i="1"/>
  <c r="D372" i="1"/>
  <c r="H371" i="1"/>
  <c r="G371" i="1"/>
  <c r="F371" i="1"/>
  <c r="D371" i="1"/>
  <c r="H370" i="1"/>
  <c r="G370" i="1"/>
  <c r="F370" i="1"/>
  <c r="D370" i="1"/>
  <c r="I369" i="1"/>
  <c r="G368" i="1"/>
  <c r="F368" i="1"/>
  <c r="E368" i="1"/>
  <c r="I368" i="1" s="1"/>
  <c r="G367" i="1"/>
  <c r="F367" i="1"/>
  <c r="E367" i="1"/>
  <c r="I367" i="1" s="1"/>
  <c r="G366" i="1"/>
  <c r="F366" i="1"/>
  <c r="E366" i="1"/>
  <c r="I366" i="1" s="1"/>
  <c r="G365" i="1"/>
  <c r="F365" i="1"/>
  <c r="E365" i="1"/>
  <c r="I365" i="1" s="1"/>
  <c r="G364" i="1"/>
  <c r="F364" i="1"/>
  <c r="E364" i="1"/>
  <c r="I364" i="1" s="1"/>
  <c r="G363" i="1"/>
  <c r="F363" i="1"/>
  <c r="E363" i="1"/>
  <c r="I363" i="1" s="1"/>
  <c r="G362" i="1"/>
  <c r="F362" i="1"/>
  <c r="E362" i="1"/>
  <c r="I362" i="1" s="1"/>
  <c r="G361" i="1"/>
  <c r="F361" i="1"/>
  <c r="E361" i="1"/>
  <c r="I361" i="1" s="1"/>
  <c r="G360" i="1"/>
  <c r="F360" i="1"/>
  <c r="E360" i="1"/>
  <c r="I360" i="1" s="1"/>
  <c r="G359" i="1"/>
  <c r="F359" i="1"/>
  <c r="E359" i="1"/>
  <c r="I359" i="1" s="1"/>
  <c r="G358" i="1"/>
  <c r="F358" i="1"/>
  <c r="E358" i="1"/>
  <c r="I358" i="1" s="1"/>
  <c r="G357" i="1"/>
  <c r="F357" i="1"/>
  <c r="E357" i="1"/>
  <c r="I357" i="1" s="1"/>
  <c r="G356" i="1"/>
  <c r="F356" i="1"/>
  <c r="E356" i="1"/>
  <c r="I356" i="1" s="1"/>
  <c r="G355" i="1"/>
  <c r="F355" i="1"/>
  <c r="E355" i="1"/>
  <c r="I355" i="1" s="1"/>
  <c r="G354" i="1"/>
  <c r="F354" i="1"/>
  <c r="E354" i="1"/>
  <c r="I354" i="1" s="1"/>
  <c r="G353" i="1"/>
  <c r="F353" i="1"/>
  <c r="E353" i="1"/>
  <c r="I353" i="1" s="1"/>
  <c r="G352" i="1"/>
  <c r="F352" i="1"/>
  <c r="E352" i="1"/>
  <c r="I352" i="1" s="1"/>
  <c r="G351" i="1"/>
  <c r="F351" i="1"/>
  <c r="E351" i="1"/>
  <c r="I351" i="1" s="1"/>
  <c r="I350" i="1"/>
  <c r="G349" i="1"/>
  <c r="F349" i="1"/>
  <c r="I349" i="1" s="1"/>
  <c r="E349" i="1"/>
  <c r="G348" i="1"/>
  <c r="F348" i="1"/>
  <c r="I348" i="1" s="1"/>
  <c r="E348" i="1"/>
  <c r="G347" i="1"/>
  <c r="F347" i="1"/>
  <c r="I347" i="1" s="1"/>
  <c r="E347" i="1"/>
  <c r="G346" i="1"/>
  <c r="F346" i="1"/>
  <c r="I346" i="1" s="1"/>
  <c r="E346" i="1"/>
  <c r="G345" i="1"/>
  <c r="F345" i="1"/>
  <c r="I345" i="1" s="1"/>
  <c r="E345" i="1"/>
  <c r="G344" i="1"/>
  <c r="F344" i="1"/>
  <c r="I344" i="1" s="1"/>
  <c r="E344" i="1"/>
  <c r="G343" i="1"/>
  <c r="F343" i="1"/>
  <c r="I343" i="1" s="1"/>
  <c r="E343" i="1"/>
  <c r="G342" i="1"/>
  <c r="F342" i="1"/>
  <c r="I342" i="1" s="1"/>
  <c r="E342" i="1"/>
  <c r="G341" i="1"/>
  <c r="F341" i="1"/>
  <c r="I341" i="1" s="1"/>
  <c r="E341" i="1"/>
  <c r="G340" i="1"/>
  <c r="F340" i="1"/>
  <c r="I340" i="1" s="1"/>
  <c r="E340" i="1"/>
  <c r="G339" i="1"/>
  <c r="F339" i="1"/>
  <c r="I339" i="1" s="1"/>
  <c r="E339" i="1"/>
  <c r="G338" i="1"/>
  <c r="F338" i="1"/>
  <c r="I338" i="1" s="1"/>
  <c r="E338" i="1"/>
  <c r="G337" i="1"/>
  <c r="F337" i="1"/>
  <c r="I337" i="1" s="1"/>
  <c r="E337" i="1"/>
  <c r="G336" i="1"/>
  <c r="F336" i="1"/>
  <c r="E336" i="1"/>
  <c r="I336" i="1" s="1"/>
  <c r="G335" i="1"/>
  <c r="F335" i="1"/>
  <c r="E335" i="1"/>
  <c r="I335" i="1" s="1"/>
  <c r="G334" i="1"/>
  <c r="F334" i="1"/>
  <c r="E334" i="1"/>
  <c r="I334" i="1" s="1"/>
  <c r="G333" i="1"/>
  <c r="F333" i="1"/>
  <c r="E333" i="1"/>
  <c r="I333" i="1" s="1"/>
  <c r="G332" i="1"/>
  <c r="F332" i="1"/>
  <c r="E332" i="1"/>
  <c r="I332" i="1" s="1"/>
  <c r="G331" i="1"/>
  <c r="F331" i="1"/>
  <c r="E331" i="1"/>
  <c r="I331" i="1" s="1"/>
  <c r="I330" i="1"/>
  <c r="G329" i="1"/>
  <c r="F329" i="1"/>
  <c r="E329" i="1"/>
  <c r="I329" i="1" s="1"/>
  <c r="G328" i="1"/>
  <c r="F328" i="1"/>
  <c r="E328" i="1"/>
  <c r="I328" i="1" s="1"/>
  <c r="G327" i="1"/>
  <c r="F327" i="1"/>
  <c r="E327" i="1"/>
  <c r="I327" i="1" s="1"/>
  <c r="G326" i="1"/>
  <c r="F326" i="1"/>
  <c r="E326" i="1"/>
  <c r="I326" i="1" s="1"/>
  <c r="G325" i="1"/>
  <c r="F325" i="1"/>
  <c r="E325" i="1"/>
  <c r="I325" i="1" s="1"/>
  <c r="G324" i="1"/>
  <c r="F324" i="1"/>
  <c r="E324" i="1"/>
  <c r="I324" i="1" s="1"/>
  <c r="G323" i="1"/>
  <c r="F323" i="1"/>
  <c r="E323" i="1"/>
  <c r="I323" i="1" s="1"/>
  <c r="G322" i="1"/>
  <c r="F322" i="1"/>
  <c r="E322" i="1"/>
  <c r="I322" i="1" s="1"/>
  <c r="I321" i="1"/>
  <c r="I320" i="1"/>
  <c r="G320" i="1"/>
  <c r="F320" i="1"/>
  <c r="E320" i="1"/>
  <c r="I319" i="1"/>
  <c r="G319" i="1"/>
  <c r="F319" i="1"/>
  <c r="E319" i="1"/>
  <c r="I318" i="1"/>
  <c r="G318" i="1"/>
  <c r="F318" i="1"/>
  <c r="E318" i="1"/>
  <c r="I317" i="1"/>
  <c r="G317" i="1"/>
  <c r="F317" i="1"/>
  <c r="E317" i="1"/>
  <c r="I316" i="1"/>
  <c r="G316" i="1"/>
  <c r="F316" i="1"/>
  <c r="E316" i="1"/>
  <c r="I315" i="1"/>
  <c r="G315" i="1"/>
  <c r="F315" i="1"/>
  <c r="E315" i="1"/>
  <c r="I314" i="1"/>
  <c r="G314" i="1"/>
  <c r="F314" i="1"/>
  <c r="E314" i="1"/>
  <c r="I313" i="1"/>
  <c r="G313" i="1"/>
  <c r="F313" i="1"/>
  <c r="E313" i="1"/>
  <c r="I312" i="1"/>
  <c r="G312" i="1"/>
  <c r="F312" i="1"/>
  <c r="E312" i="1"/>
  <c r="I311" i="1"/>
  <c r="I310" i="1"/>
  <c r="I309" i="1"/>
  <c r="I308" i="1"/>
  <c r="I307" i="1"/>
  <c r="G306" i="1"/>
  <c r="F306" i="1"/>
  <c r="E306" i="1"/>
  <c r="I306" i="1" s="1"/>
  <c r="G305" i="1"/>
  <c r="F305" i="1"/>
  <c r="E305" i="1"/>
  <c r="I305" i="1" s="1"/>
  <c r="G304" i="1"/>
  <c r="F304" i="1"/>
  <c r="E304" i="1"/>
  <c r="I304" i="1" s="1"/>
  <c r="G303" i="1"/>
  <c r="F303" i="1"/>
  <c r="E303" i="1"/>
  <c r="I303" i="1" s="1"/>
  <c r="G302" i="1"/>
  <c r="F302" i="1"/>
  <c r="E302" i="1"/>
  <c r="I302" i="1" s="1"/>
  <c r="G301" i="1"/>
  <c r="F301" i="1"/>
  <c r="E301" i="1"/>
  <c r="I301" i="1" s="1"/>
  <c r="G300" i="1"/>
  <c r="F300" i="1"/>
  <c r="E300" i="1"/>
  <c r="I300" i="1" s="1"/>
  <c r="I299" i="1"/>
  <c r="I298" i="1"/>
  <c r="I297" i="1"/>
  <c r="I296" i="1"/>
  <c r="I295" i="1"/>
  <c r="I294" i="1"/>
  <c r="I293" i="1"/>
  <c r="I292" i="1"/>
  <c r="I422" i="1" s="1"/>
  <c r="G291" i="1"/>
  <c r="F291" i="1"/>
  <c r="E291" i="1"/>
  <c r="I291" i="1" s="1"/>
  <c r="G290" i="1"/>
  <c r="F290" i="1"/>
  <c r="E290" i="1"/>
  <c r="I290" i="1" s="1"/>
  <c r="G289" i="1"/>
  <c r="F289" i="1"/>
  <c r="E289" i="1"/>
  <c r="I289" i="1" s="1"/>
  <c r="G288" i="1"/>
  <c r="F288" i="1"/>
  <c r="E288" i="1"/>
  <c r="I288" i="1" s="1"/>
  <c r="G287" i="1"/>
  <c r="F287" i="1"/>
  <c r="E287" i="1"/>
  <c r="I287" i="1" s="1"/>
  <c r="G286" i="1"/>
  <c r="F286" i="1"/>
  <c r="E286" i="1"/>
  <c r="I286" i="1" s="1"/>
  <c r="G285" i="1"/>
  <c r="F285" i="1"/>
  <c r="E285" i="1"/>
  <c r="I285" i="1" s="1"/>
  <c r="I284" i="1"/>
  <c r="I283" i="1"/>
  <c r="I282" i="1"/>
  <c r="I281" i="1"/>
  <c r="G281" i="1"/>
  <c r="F281" i="1"/>
  <c r="E281" i="1"/>
  <c r="I280" i="1"/>
  <c r="G280" i="1"/>
  <c r="F280" i="1"/>
  <c r="E280" i="1"/>
  <c r="I279" i="1"/>
  <c r="G279" i="1"/>
  <c r="F279" i="1"/>
  <c r="E279" i="1"/>
  <c r="I278" i="1"/>
  <c r="G278" i="1"/>
  <c r="F278" i="1"/>
  <c r="E278" i="1"/>
  <c r="I277" i="1"/>
  <c r="G277" i="1"/>
  <c r="F277" i="1"/>
  <c r="E277" i="1"/>
  <c r="I276" i="1"/>
  <c r="G276" i="1"/>
  <c r="F276" i="1"/>
  <c r="E276" i="1"/>
  <c r="I275" i="1"/>
  <c r="G275" i="1"/>
  <c r="F275" i="1"/>
  <c r="E275" i="1"/>
  <c r="I274" i="1"/>
  <c r="G274" i="1"/>
  <c r="F274" i="1"/>
  <c r="E274" i="1"/>
  <c r="I273" i="1"/>
  <c r="G273" i="1"/>
  <c r="F273" i="1"/>
  <c r="E273" i="1"/>
  <c r="I272" i="1"/>
  <c r="G272" i="1"/>
  <c r="F272" i="1"/>
  <c r="E272" i="1"/>
  <c r="H271" i="1"/>
  <c r="H270" i="1"/>
  <c r="G269" i="1"/>
  <c r="F269" i="1"/>
  <c r="H269" i="1" s="1"/>
  <c r="D269" i="1"/>
  <c r="G268" i="1"/>
  <c r="F268" i="1"/>
  <c r="H268" i="1" s="1"/>
  <c r="D268" i="1"/>
  <c r="G267" i="1"/>
  <c r="F267" i="1"/>
  <c r="D267" i="1"/>
  <c r="H267" i="1" s="1"/>
  <c r="G266" i="1"/>
  <c r="F266" i="1"/>
  <c r="D266" i="1"/>
  <c r="H266" i="1" s="1"/>
  <c r="G265" i="1"/>
  <c r="F265" i="1"/>
  <c r="D265" i="1"/>
  <c r="H265" i="1" s="1"/>
  <c r="G264" i="1"/>
  <c r="F264" i="1"/>
  <c r="D264" i="1"/>
  <c r="H264" i="1" s="1"/>
  <c r="G263" i="1"/>
  <c r="F263" i="1"/>
  <c r="D263" i="1"/>
  <c r="H263" i="1" s="1"/>
  <c r="G262" i="1"/>
  <c r="F262" i="1"/>
  <c r="D262" i="1"/>
  <c r="H262" i="1" s="1"/>
  <c r="G261" i="1"/>
  <c r="F261" i="1"/>
  <c r="D261" i="1"/>
  <c r="H261" i="1" s="1"/>
  <c r="G260" i="1"/>
  <c r="F260" i="1"/>
  <c r="D260" i="1"/>
  <c r="H260" i="1" s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G225" i="1"/>
  <c r="F225" i="1"/>
  <c r="D225" i="1"/>
  <c r="H224" i="1"/>
  <c r="G224" i="1"/>
  <c r="F224" i="1"/>
  <c r="D224" i="1"/>
  <c r="H223" i="1"/>
  <c r="G223" i="1"/>
  <c r="F223" i="1"/>
  <c r="D223" i="1"/>
  <c r="H222" i="1"/>
  <c r="G222" i="1"/>
  <c r="F222" i="1"/>
  <c r="D222" i="1"/>
  <c r="H221" i="1"/>
  <c r="G221" i="1"/>
  <c r="F221" i="1"/>
  <c r="D221" i="1"/>
  <c r="H220" i="1"/>
  <c r="G220" i="1"/>
  <c r="F220" i="1"/>
  <c r="D220" i="1"/>
  <c r="H219" i="1"/>
  <c r="G219" i="1"/>
  <c r="F219" i="1"/>
  <c r="D219" i="1"/>
  <c r="H218" i="1"/>
  <c r="G218" i="1"/>
  <c r="F218" i="1"/>
  <c r="D218" i="1"/>
  <c r="H217" i="1"/>
  <c r="G217" i="1"/>
  <c r="F217" i="1"/>
  <c r="D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G200" i="1"/>
  <c r="F200" i="1"/>
  <c r="D200" i="1"/>
  <c r="H199" i="1"/>
  <c r="G199" i="1"/>
  <c r="F199" i="1"/>
  <c r="D199" i="1"/>
  <c r="H198" i="1"/>
  <c r="G198" i="1"/>
  <c r="F198" i="1"/>
  <c r="D198" i="1"/>
  <c r="H197" i="1"/>
  <c r="G197" i="1"/>
  <c r="F197" i="1"/>
  <c r="D197" i="1"/>
  <c r="H196" i="1"/>
  <c r="G196" i="1"/>
  <c r="F196" i="1"/>
  <c r="D196" i="1"/>
  <c r="H195" i="1"/>
  <c r="G195" i="1"/>
  <c r="F195" i="1"/>
  <c r="D195" i="1"/>
  <c r="H194" i="1"/>
  <c r="G194" i="1"/>
  <c r="F194" i="1"/>
  <c r="D194" i="1"/>
  <c r="H193" i="1"/>
  <c r="G193" i="1"/>
  <c r="F193" i="1"/>
  <c r="D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G173" i="1"/>
  <c r="F173" i="1"/>
  <c r="H173" i="1" s="1"/>
  <c r="D173" i="1"/>
  <c r="G172" i="1"/>
  <c r="F172" i="1"/>
  <c r="H172" i="1" s="1"/>
  <c r="D172" i="1"/>
  <c r="G171" i="1"/>
  <c r="F171" i="1"/>
  <c r="H171" i="1" s="1"/>
  <c r="D171" i="1"/>
  <c r="G170" i="1"/>
  <c r="F170" i="1"/>
  <c r="H170" i="1" s="1"/>
  <c r="D170" i="1"/>
  <c r="G169" i="1"/>
  <c r="F169" i="1"/>
  <c r="H169" i="1" s="1"/>
  <c r="D169" i="1"/>
  <c r="G168" i="1"/>
  <c r="F168" i="1"/>
  <c r="H168" i="1" s="1"/>
  <c r="D168" i="1"/>
  <c r="G167" i="1"/>
  <c r="F167" i="1"/>
  <c r="H167" i="1" s="1"/>
  <c r="D167" i="1"/>
  <c r="G166" i="1"/>
  <c r="F166" i="1"/>
  <c r="H166" i="1" s="1"/>
  <c r="D166" i="1"/>
  <c r="G165" i="1"/>
  <c r="F165" i="1"/>
  <c r="D165" i="1"/>
  <c r="H165" i="1" s="1"/>
  <c r="G164" i="1"/>
  <c r="F164" i="1"/>
  <c r="D164" i="1"/>
  <c r="H164" i="1" s="1"/>
  <c r="H163" i="1"/>
  <c r="H162" i="1"/>
  <c r="H161" i="1"/>
  <c r="H160" i="1"/>
  <c r="H159" i="1"/>
  <c r="H158" i="1"/>
  <c r="G158" i="1"/>
  <c r="F158" i="1"/>
  <c r="D158" i="1"/>
  <c r="H157" i="1"/>
  <c r="G157" i="1"/>
  <c r="F157" i="1"/>
  <c r="D157" i="1"/>
  <c r="H156" i="1"/>
  <c r="G156" i="1"/>
  <c r="F156" i="1"/>
  <c r="D156" i="1"/>
  <c r="H155" i="1"/>
  <c r="G155" i="1"/>
  <c r="F155" i="1"/>
  <c r="D155" i="1"/>
  <c r="H154" i="1"/>
  <c r="G154" i="1"/>
  <c r="F154" i="1"/>
  <c r="D154" i="1"/>
  <c r="H153" i="1"/>
  <c r="G153" i="1"/>
  <c r="F153" i="1"/>
  <c r="D153" i="1"/>
  <c r="H152" i="1"/>
  <c r="G152" i="1"/>
  <c r="F152" i="1"/>
  <c r="D152" i="1"/>
  <c r="H151" i="1"/>
  <c r="G151" i="1"/>
  <c r="F151" i="1"/>
  <c r="D151" i="1"/>
  <c r="H150" i="1"/>
  <c r="G150" i="1"/>
  <c r="F150" i="1"/>
  <c r="D150" i="1"/>
  <c r="H149" i="1"/>
  <c r="H148" i="1"/>
  <c r="H147" i="1"/>
  <c r="H146" i="1"/>
  <c r="H145" i="1"/>
  <c r="H144" i="1"/>
  <c r="H143" i="1"/>
  <c r="H142" i="1"/>
  <c r="H141" i="1"/>
  <c r="H140" i="1"/>
  <c r="G139" i="1"/>
  <c r="F139" i="1"/>
  <c r="D139" i="1"/>
  <c r="H139" i="1" s="1"/>
  <c r="G138" i="1"/>
  <c r="F138" i="1"/>
  <c r="D138" i="1"/>
  <c r="H138" i="1" s="1"/>
  <c r="G137" i="1"/>
  <c r="F137" i="1"/>
  <c r="D137" i="1"/>
  <c r="H137" i="1" s="1"/>
  <c r="G136" i="1"/>
  <c r="F136" i="1"/>
  <c r="D136" i="1"/>
  <c r="H136" i="1" s="1"/>
  <c r="G135" i="1"/>
  <c r="F135" i="1"/>
  <c r="D135" i="1"/>
  <c r="H135" i="1" s="1"/>
  <c r="G134" i="1"/>
  <c r="F134" i="1"/>
  <c r="D134" i="1"/>
  <c r="H134" i="1" s="1"/>
  <c r="G133" i="1"/>
  <c r="F133" i="1"/>
  <c r="D133" i="1"/>
  <c r="H133" i="1" s="1"/>
  <c r="G132" i="1"/>
  <c r="F132" i="1"/>
  <c r="D132" i="1"/>
  <c r="H132" i="1" s="1"/>
  <c r="G131" i="1"/>
  <c r="F131" i="1"/>
  <c r="D131" i="1"/>
  <c r="H131" i="1" s="1"/>
  <c r="G130" i="1"/>
  <c r="F130" i="1"/>
  <c r="D130" i="1"/>
  <c r="H130" i="1" s="1"/>
  <c r="G129" i="1"/>
  <c r="F129" i="1"/>
  <c r="D129" i="1"/>
  <c r="H129" i="1" s="1"/>
  <c r="G128" i="1"/>
  <c r="F128" i="1"/>
  <c r="D128" i="1"/>
  <c r="H128" i="1" s="1"/>
  <c r="G127" i="1"/>
  <c r="F127" i="1"/>
  <c r="D127" i="1"/>
  <c r="H127" i="1" s="1"/>
  <c r="G126" i="1"/>
  <c r="F126" i="1"/>
  <c r="D126" i="1"/>
  <c r="H126" i="1" s="1"/>
  <c r="G125" i="1"/>
  <c r="F125" i="1"/>
  <c r="D125" i="1"/>
  <c r="H125" i="1" s="1"/>
  <c r="H124" i="1"/>
  <c r="H123" i="1"/>
  <c r="G123" i="1"/>
  <c r="F123" i="1"/>
  <c r="D123" i="1"/>
  <c r="H122" i="1"/>
  <c r="G122" i="1"/>
  <c r="F122" i="1"/>
  <c r="D122" i="1"/>
  <c r="H121" i="1"/>
  <c r="G121" i="1"/>
  <c r="F121" i="1"/>
  <c r="D121" i="1"/>
  <c r="H120" i="1"/>
  <c r="G120" i="1"/>
  <c r="F120" i="1"/>
  <c r="D120" i="1"/>
  <c r="H119" i="1"/>
  <c r="G119" i="1"/>
  <c r="F119" i="1"/>
  <c r="D119" i="1"/>
  <c r="H118" i="1"/>
  <c r="G118" i="1"/>
  <c r="F118" i="1"/>
  <c r="D118" i="1"/>
  <c r="H117" i="1"/>
  <c r="G117" i="1"/>
  <c r="F117" i="1"/>
  <c r="D117" i="1"/>
  <c r="H116" i="1"/>
  <c r="G116" i="1"/>
  <c r="F116" i="1"/>
  <c r="D116" i="1"/>
  <c r="H115" i="1"/>
  <c r="G115" i="1"/>
  <c r="F115" i="1"/>
  <c r="D115" i="1"/>
  <c r="H114" i="1"/>
  <c r="G114" i="1"/>
  <c r="F114" i="1"/>
  <c r="D114" i="1"/>
  <c r="H113" i="1"/>
  <c r="G113" i="1"/>
  <c r="F113" i="1"/>
  <c r="D113" i="1"/>
  <c r="H112" i="1"/>
  <c r="G112" i="1"/>
  <c r="F112" i="1"/>
  <c r="D112" i="1"/>
  <c r="H111" i="1"/>
  <c r="G111" i="1"/>
  <c r="F111" i="1"/>
  <c r="D111" i="1"/>
  <c r="H110" i="1"/>
  <c r="G110" i="1"/>
  <c r="F110" i="1"/>
  <c r="D110" i="1"/>
  <c r="H109" i="1"/>
  <c r="G109" i="1"/>
  <c r="F109" i="1"/>
  <c r="D109" i="1"/>
  <c r="H108" i="1"/>
  <c r="H107" i="1"/>
  <c r="H106" i="1"/>
  <c r="H105" i="1"/>
  <c r="H104" i="1"/>
  <c r="H103" i="1"/>
  <c r="G102" i="1"/>
  <c r="F102" i="1"/>
  <c r="D102" i="1"/>
  <c r="H102" i="1" s="1"/>
  <c r="G101" i="1"/>
  <c r="F101" i="1"/>
  <c r="D101" i="1"/>
  <c r="H101" i="1" s="1"/>
  <c r="G100" i="1"/>
  <c r="F100" i="1"/>
  <c r="D100" i="1"/>
  <c r="H100" i="1" s="1"/>
  <c r="G99" i="1"/>
  <c r="F99" i="1"/>
  <c r="D99" i="1"/>
  <c r="H99" i="1" s="1"/>
  <c r="G98" i="1"/>
  <c r="F98" i="1"/>
  <c r="D98" i="1"/>
  <c r="H98" i="1" s="1"/>
  <c r="G97" i="1"/>
  <c r="F97" i="1"/>
  <c r="D97" i="1"/>
  <c r="H97" i="1" s="1"/>
  <c r="G96" i="1"/>
  <c r="F96" i="1"/>
  <c r="D96" i="1"/>
  <c r="H96" i="1" s="1"/>
  <c r="G95" i="1"/>
  <c r="F95" i="1"/>
  <c r="D95" i="1"/>
  <c r="H95" i="1" s="1"/>
  <c r="G94" i="1"/>
  <c r="F94" i="1"/>
  <c r="D94" i="1"/>
  <c r="H94" i="1" s="1"/>
  <c r="H93" i="1"/>
  <c r="G92" i="1"/>
  <c r="F92" i="1"/>
  <c r="D92" i="1"/>
  <c r="H92" i="1" s="1"/>
  <c r="G91" i="1"/>
  <c r="F91" i="1"/>
  <c r="D91" i="1"/>
  <c r="H91" i="1" s="1"/>
  <c r="G90" i="1"/>
  <c r="F90" i="1"/>
  <c r="D90" i="1"/>
  <c r="H90" i="1" s="1"/>
  <c r="G89" i="1"/>
  <c r="F89" i="1"/>
  <c r="D89" i="1"/>
  <c r="H89" i="1" s="1"/>
  <c r="G88" i="1"/>
  <c r="F88" i="1"/>
  <c r="D88" i="1"/>
  <c r="H88" i="1" s="1"/>
  <c r="G87" i="1"/>
  <c r="F87" i="1"/>
  <c r="D87" i="1"/>
  <c r="H87" i="1" s="1"/>
  <c r="G86" i="1"/>
  <c r="F86" i="1"/>
  <c r="D86" i="1"/>
  <c r="H86" i="1" s="1"/>
  <c r="G85" i="1"/>
  <c r="F85" i="1"/>
  <c r="D85" i="1"/>
  <c r="H85" i="1" s="1"/>
  <c r="G84" i="1"/>
  <c r="F84" i="1"/>
  <c r="D84" i="1"/>
  <c r="H84" i="1" s="1"/>
  <c r="H83" i="1"/>
  <c r="H82" i="1"/>
  <c r="G82" i="1"/>
  <c r="F82" i="1"/>
  <c r="D82" i="1"/>
  <c r="H81" i="1"/>
  <c r="G81" i="1"/>
  <c r="F81" i="1"/>
  <c r="D81" i="1"/>
  <c r="H80" i="1"/>
  <c r="G80" i="1"/>
  <c r="F80" i="1"/>
  <c r="D80" i="1"/>
  <c r="H79" i="1"/>
  <c r="G79" i="1"/>
  <c r="F79" i="1"/>
  <c r="D79" i="1"/>
  <c r="H78" i="1"/>
  <c r="G78" i="1"/>
  <c r="F78" i="1"/>
  <c r="D78" i="1"/>
  <c r="H77" i="1"/>
  <c r="G77" i="1"/>
  <c r="F77" i="1"/>
  <c r="D77" i="1"/>
  <c r="H76" i="1"/>
  <c r="G76" i="1"/>
  <c r="F76" i="1"/>
  <c r="D76" i="1"/>
  <c r="H75" i="1"/>
  <c r="G75" i="1"/>
  <c r="F75" i="1"/>
  <c r="D75" i="1"/>
  <c r="H74" i="1"/>
  <c r="G74" i="1"/>
  <c r="F74" i="1"/>
  <c r="D74" i="1"/>
  <c r="H73" i="1"/>
  <c r="G73" i="1"/>
  <c r="F73" i="1"/>
  <c r="D73" i="1"/>
  <c r="H72" i="1"/>
  <c r="G72" i="1"/>
  <c r="F72" i="1"/>
  <c r="D72" i="1"/>
  <c r="H71" i="1"/>
  <c r="G71" i="1"/>
  <c r="F71" i="1"/>
  <c r="D71" i="1"/>
  <c r="H70" i="1"/>
  <c r="G70" i="1"/>
  <c r="F70" i="1"/>
  <c r="D70" i="1"/>
  <c r="H69" i="1"/>
  <c r="G69" i="1"/>
  <c r="F69" i="1"/>
  <c r="D69" i="1"/>
  <c r="H68" i="1"/>
  <c r="G68" i="1"/>
  <c r="F68" i="1"/>
  <c r="D68" i="1"/>
  <c r="H67" i="1"/>
  <c r="G67" i="1"/>
  <c r="F67" i="1"/>
  <c r="D67" i="1"/>
  <c r="H66" i="1"/>
  <c r="G66" i="1"/>
  <c r="F66" i="1"/>
  <c r="D66" i="1"/>
  <c r="H65" i="1"/>
  <c r="G65" i="1"/>
  <c r="F65" i="1"/>
  <c r="D65" i="1"/>
  <c r="H64" i="1"/>
  <c r="G63" i="1"/>
  <c r="F63" i="1"/>
  <c r="D63" i="1"/>
  <c r="H63" i="1" s="1"/>
  <c r="G62" i="1"/>
  <c r="F62" i="1"/>
  <c r="D62" i="1"/>
  <c r="H62" i="1" s="1"/>
  <c r="G61" i="1"/>
  <c r="F61" i="1"/>
  <c r="D61" i="1"/>
  <c r="H61" i="1" s="1"/>
  <c r="G60" i="1"/>
  <c r="F60" i="1"/>
  <c r="D60" i="1"/>
  <c r="H60" i="1" s="1"/>
  <c r="G59" i="1"/>
  <c r="F59" i="1"/>
  <c r="D59" i="1"/>
  <c r="H59" i="1" s="1"/>
  <c r="G58" i="1"/>
  <c r="F58" i="1"/>
  <c r="D58" i="1"/>
  <c r="H58" i="1" s="1"/>
  <c r="G57" i="1"/>
  <c r="F57" i="1"/>
  <c r="D57" i="1"/>
  <c r="H57" i="1" s="1"/>
  <c r="G56" i="1"/>
  <c r="F56" i="1"/>
  <c r="D56" i="1"/>
  <c r="H56" i="1" s="1"/>
  <c r="G55" i="1"/>
  <c r="F55" i="1"/>
  <c r="D55" i="1"/>
  <c r="H55" i="1" s="1"/>
  <c r="H54" i="1"/>
  <c r="G53" i="1"/>
  <c r="F53" i="1"/>
  <c r="D53" i="1"/>
  <c r="H53" i="1" s="1"/>
  <c r="G52" i="1"/>
  <c r="F52" i="1"/>
  <c r="D52" i="1"/>
  <c r="H52" i="1" s="1"/>
  <c r="G51" i="1"/>
  <c r="F51" i="1"/>
  <c r="D51" i="1"/>
  <c r="H51" i="1" s="1"/>
  <c r="G50" i="1"/>
  <c r="F50" i="1"/>
  <c r="D50" i="1"/>
  <c r="H50" i="1" s="1"/>
  <c r="G49" i="1"/>
  <c r="F49" i="1"/>
  <c r="D49" i="1"/>
  <c r="H49" i="1" s="1"/>
  <c r="G48" i="1"/>
  <c r="F48" i="1"/>
  <c r="D48" i="1"/>
  <c r="H48" i="1" s="1"/>
  <c r="G47" i="1"/>
  <c r="F47" i="1"/>
  <c r="D47" i="1"/>
  <c r="H47" i="1" s="1"/>
  <c r="G46" i="1"/>
  <c r="F46" i="1"/>
  <c r="D46" i="1"/>
  <c r="H46" i="1" s="1"/>
  <c r="H45" i="1"/>
  <c r="G44" i="1"/>
  <c r="F44" i="1"/>
  <c r="D44" i="1"/>
  <c r="H44" i="1" s="1"/>
  <c r="G43" i="1"/>
  <c r="F43" i="1"/>
  <c r="D43" i="1"/>
  <c r="H43" i="1" s="1"/>
  <c r="G42" i="1"/>
  <c r="F42" i="1"/>
  <c r="D42" i="1"/>
  <c r="H42" i="1" s="1"/>
  <c r="G41" i="1"/>
  <c r="F41" i="1"/>
  <c r="D41" i="1"/>
  <c r="H41" i="1" s="1"/>
  <c r="G40" i="1"/>
  <c r="F40" i="1"/>
  <c r="D40" i="1"/>
  <c r="H40" i="1" s="1"/>
  <c r="G39" i="1"/>
  <c r="F39" i="1"/>
  <c r="D39" i="1"/>
  <c r="H39" i="1" s="1"/>
  <c r="G38" i="1"/>
  <c r="F38" i="1"/>
  <c r="D38" i="1"/>
  <c r="H38" i="1" s="1"/>
  <c r="G37" i="1"/>
  <c r="F37" i="1"/>
  <c r="D37" i="1"/>
  <c r="H37" i="1" s="1"/>
  <c r="H36" i="1"/>
  <c r="H35" i="1"/>
  <c r="G35" i="1"/>
  <c r="F35" i="1"/>
  <c r="D35" i="1"/>
  <c r="H34" i="1"/>
  <c r="G34" i="1"/>
  <c r="F34" i="1"/>
  <c r="D34" i="1"/>
  <c r="H33" i="1"/>
  <c r="G33" i="1"/>
  <c r="F33" i="1"/>
  <c r="D33" i="1"/>
  <c r="H32" i="1"/>
  <c r="G32" i="1"/>
  <c r="F32" i="1"/>
  <c r="D32" i="1"/>
  <c r="H31" i="1"/>
  <c r="G31" i="1"/>
  <c r="F31" i="1"/>
  <c r="D31" i="1"/>
  <c r="H30" i="1"/>
  <c r="G30" i="1"/>
  <c r="F30" i="1"/>
  <c r="D30" i="1"/>
  <c r="H29" i="1"/>
  <c r="G29" i="1"/>
  <c r="F29" i="1"/>
  <c r="D29" i="1"/>
  <c r="H28" i="1"/>
  <c r="G28" i="1"/>
  <c r="F28" i="1"/>
  <c r="D28" i="1"/>
  <c r="H27" i="1"/>
  <c r="G27" i="1"/>
  <c r="F27" i="1"/>
  <c r="D27" i="1"/>
  <c r="H26" i="1"/>
  <c r="H25" i="1"/>
  <c r="H24" i="1"/>
  <c r="H23" i="1"/>
  <c r="H422" i="1" s="1"/>
  <c r="H22" i="1"/>
  <c r="G22" i="1"/>
  <c r="F22" i="1"/>
  <c r="D22" i="1"/>
  <c r="H21" i="1"/>
  <c r="G21" i="1"/>
  <c r="F21" i="1"/>
  <c r="D21" i="1"/>
  <c r="H20" i="1"/>
  <c r="G20" i="1"/>
  <c r="F20" i="1"/>
  <c r="D20" i="1"/>
  <c r="H19" i="1"/>
  <c r="G19" i="1"/>
  <c r="F19" i="1"/>
  <c r="D19" i="1"/>
  <c r="H18" i="1"/>
  <c r="G18" i="1"/>
  <c r="F18" i="1"/>
  <c r="D18" i="1"/>
  <c r="H17" i="1"/>
  <c r="G17" i="1"/>
  <c r="F17" i="1"/>
  <c r="D17" i="1"/>
  <c r="H16" i="1"/>
  <c r="G16" i="1"/>
  <c r="F16" i="1"/>
  <c r="D16" i="1"/>
  <c r="H15" i="1"/>
  <c r="G15" i="1"/>
  <c r="F15" i="1"/>
  <c r="D15" i="1"/>
  <c r="H14" i="1"/>
  <c r="G14" i="1"/>
  <c r="F14" i="1"/>
  <c r="D14" i="1"/>
  <c r="H13" i="1"/>
  <c r="G13" i="1"/>
  <c r="F13" i="1"/>
  <c r="D13" i="1"/>
  <c r="H12" i="1"/>
  <c r="G12" i="1"/>
  <c r="F12" i="1"/>
  <c r="D12" i="1"/>
  <c r="B426" i="1" l="1"/>
</calcChain>
</file>

<file path=xl/sharedStrings.xml><?xml version="1.0" encoding="utf-8"?>
<sst xmlns="http://schemas.openxmlformats.org/spreadsheetml/2006/main" count="1246" uniqueCount="608">
  <si>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</si>
  <si>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</si>
  <si>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</si>
  <si>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</si>
  <si>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</si>
  <si>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</si>
  <si>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</si>
  <si>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</si>
  <si>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</si>
  <si>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OBRA PUBLICA</t>
  </si>
  <si>
    <t/>
  </si>
  <si>
    <t xml:space="preserve">BALANZA DE COMPROBACIÓN DEL 1 DE ENERO AL 30 DE JUNIO DEL 2024 </t>
  </si>
  <si>
    <t>AL 1 DE ENERO DE 2024</t>
  </si>
  <si>
    <t>ENERO - JUNIO 2024</t>
  </si>
  <si>
    <t>AL 30 DE JUNIO DE 2024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</si>
  <si>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</si>
  <si>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</si>
  <si>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</si>
  <si>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</si>
  <si>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</si>
  <si>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</si>
  <si>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</si>
  <si>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</si>
  <si>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</si>
  <si>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</si>
  <si>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</si>
  <si>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</si>
  <si>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</si>
  <si>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</si>
  <si>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</si>
  <si>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</si>
  <si>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</si>
  <si>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</si>
  <si>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00002</t>
  </si>
  <si>
    <t>FONDO DE APORTACIONES P/ LA INFRAESTRUCTURA SOCIAL MPAL</t>
  </si>
  <si>
    <t>1 1 1 2 1 12 31111 6 M78 00002 002</t>
  </si>
  <si>
    <t>ADMINISTRACION 2018-2021</t>
  </si>
  <si>
    <t>1 1 1 2 1 12 31111 6 M78 00002 002 008</t>
  </si>
  <si>
    <t>BANAMEX CTA 7012 5803782-6 FAISM 2022</t>
  </si>
  <si>
    <t>0</t>
  </si>
  <si>
    <t>1 1 1 2 1 12 31111 6 M78 00002 002 009</t>
  </si>
  <si>
    <t>BANAMEX CTA EJE 490/9935920303 CUENTA EJE INVERSION EMPRESARIAL 2022 FAISM</t>
  </si>
  <si>
    <t>1 1 1 2 1 12 31111 6 M78 00002 002 010</t>
  </si>
  <si>
    <t>BANAMEX CTA 7014 4640088 3 FAISM 2023</t>
  </si>
  <si>
    <t>1 1 1 2 1 12 31111 6 M78 00002 002 011</t>
  </si>
  <si>
    <t xml:space="preserve">BANAMEX CTA 7014 4640096  FAISM 2024
</t>
  </si>
  <si>
    <t>1 1 2</t>
  </si>
  <si>
    <t>DERECHOS A RECIBIR EFECTIVO O EQUIVALENTES</t>
  </si>
  <si>
    <t>1 1 2 2</t>
  </si>
  <si>
    <t>CUENTAS POR COBRAR A CORTO PLAZO</t>
  </si>
  <si>
    <t>1 1 2 2 5</t>
  </si>
  <si>
    <t>CUENTAS POR COBRAR A LA FEDERACIÓN</t>
  </si>
  <si>
    <t>1 1 2 2 5 12</t>
  </si>
  <si>
    <t>1 1 2 2 5 12 31111</t>
  </si>
  <si>
    <t>1 1 2 2 5 12 31111 6</t>
  </si>
  <si>
    <t>1 1 2 2 5 12 31111 6 M78</t>
  </si>
  <si>
    <t>1 1 2 2 5 12 31111 6 M78 00002</t>
  </si>
  <si>
    <t>1 1 2 2 5 12 31111 6 M78 00002 002</t>
  </si>
  <si>
    <t>1 1 2 2 5 12 31111 6 M78 00002 002 001</t>
  </si>
  <si>
    <t>FONDO DE APORTACIONES PARA LA INFRAESTRUCTURA SOCIAL MUNICIPAL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</si>
  <si>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</si>
  <si>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</si>
  <si>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</si>
  <si>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</si>
  <si>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</si>
  <si>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</si>
  <si>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</si>
  <si>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</si>
  <si>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00002</t>
  </si>
  <si>
    <t>1 1 2 3 1 12 31111 6 M78 00002 002</t>
  </si>
  <si>
    <t>ADMINISTRACION 2018 - 2021</t>
  </si>
  <si>
    <t>1 1 2 3 1 12 31111 6 M78 00002 002 003</t>
  </si>
  <si>
    <t>ALBERTO CASTRO FLORES</t>
  </si>
  <si>
    <t>1 1 2 4</t>
  </si>
  <si>
    <t>INGRESOS POR RECUPERAR A CORTO PLAZO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</si>
  <si>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</si>
  <si>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</si>
  <si>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</si>
  <si>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</si>
  <si>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</si>
  <si>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</si>
  <si>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00002</t>
  </si>
  <si>
    <t>1 1 2 4 4 12 31111 6 M78 00002 002</t>
  </si>
  <si>
    <t>ADMINISTRACION 2015 - 2018</t>
  </si>
  <si>
    <t>1 1 2 4 4 12 31111 6 M78 00002 002 001</t>
  </si>
  <si>
    <t>INTERESES GANADOS</t>
  </si>
  <si>
    <t>1 1 3</t>
  </si>
  <si>
    <t>DERECHOS A RECIBIR BIENES O SERVICIOS</t>
  </si>
  <si>
    <t>1 1 3 4</t>
  </si>
  <si>
    <t>ANTICIPO A CONTRATISTAS POR OBRAS PÚBLICAS A CORTO PLAZO</t>
  </si>
  <si>
    <t>1 1 3 4 1</t>
  </si>
  <si>
    <t>ANTICIPO A CONTRATISTAS POR OBRAS PÚBLICAS EN BIENES DE DOMINIO PÚBLICO A CP</t>
  </si>
  <si>
    <t>1 1 3 4 1 12</t>
  </si>
  <si>
    <t>1 1 3 4 1 12 31111</t>
  </si>
  <si>
    <t>1 1 3 4 1 12 31111 6</t>
  </si>
  <si>
    <t>1 1 3 4 1 12 31111 6 M78</t>
  </si>
  <si>
    <t>1 1 3 4 1 12 31111 6 M78 00002</t>
  </si>
  <si>
    <t>1 1 3 4 1 12 31111 6 M78 00002 002</t>
  </si>
  <si>
    <t>1 1 3 4 1 12 31111 6 M78 00002 002 008</t>
  </si>
  <si>
    <t>JUAN CARLOS MORALES MENESES</t>
  </si>
  <si>
    <t>1 2</t>
  </si>
  <si>
    <t>ACTIVO NO CIRCULANTE</t>
  </si>
  <si>
    <t>1 2 3</t>
  </si>
  <si>
    <t>BIENES INMUEBLES, INFRAESTRUCTURA Y CONSTRUCCIONES EN PROCESO</t>
  </si>
  <si>
    <t>1 2 3 5</t>
  </si>
  <si>
    <t>CONSTRUCCIONES EN PROCESO EN BIENES DE DOMINIO PÚBLICO</t>
  </si>
  <si>
    <t>1 2 3 5 2</t>
  </si>
  <si>
    <t>EDIFICACIÓN NO HABITACIONAL EN PROCESO</t>
  </si>
  <si>
    <t>1 2 3 5 2 12</t>
  </si>
  <si>
    <t>1 2 3 5 2 12 31111</t>
  </si>
  <si>
    <t>1 2 3 5 2 12 31111 6</t>
  </si>
  <si>
    <t>1 2 3 5 2 12 31111 6 M78</t>
  </si>
  <si>
    <t>1 2 3 5 2 12 31111 6 M78 10000</t>
  </si>
  <si>
    <t>DIRECCION DE OBRAS PUBLICAS Y DESARROLLO URBANO</t>
  </si>
  <si>
    <t>1 2 3 5 2 12 31111 6 M78 10000 222</t>
  </si>
  <si>
    <t>DESARROLLO COMUNITARIO</t>
  </si>
  <si>
    <t>1 2 3 5 2 12 31111 6 M78 10000 222 00I</t>
  </si>
  <si>
    <t>GASTO FEDERALIZADO</t>
  </si>
  <si>
    <t>1 2 3 5 2 12 31111 6 M78 10000 222 00I 002</t>
  </si>
  <si>
    <t>GASTO DE CAPITAL</t>
  </si>
  <si>
    <t>1 2 3 5 2 12 31111 6 M78 10000 222 00I 002 61200</t>
  </si>
  <si>
    <t>EDIFICACION NO HABITACIONAL.</t>
  </si>
  <si>
    <t>1 2 3 5 2 12 31111 6 M78 10000 222 00I 002 61200 025</t>
  </si>
  <si>
    <t>25 - RECURSOS FEDERALES</t>
  </si>
  <si>
    <t>1 2 3 5 2 12 31111 6 M78 10000 222 00I 002 61200 025 2210000</t>
  </si>
  <si>
    <t>CONSTRUCCIONES EN PROCESO</t>
  </si>
  <si>
    <t>1 2 3 5 2 12 31111 6 M78 10000 222 00I 002 61200 025 2210000 2024</t>
  </si>
  <si>
    <t>EJERCICIO 2024</t>
  </si>
  <si>
    <t>1 2 3 5 2 12 31111 6 M78 10000 222 00I 002 61200 025 2210000 2024 00000000</t>
  </si>
  <si>
    <t>SIN PRIORIDAD</t>
  </si>
  <si>
    <t>1 2 3 5 2 12 31111 6 M78 10000 222 00I 002 61200 025 2210000 2024 00000000 002</t>
  </si>
  <si>
    <t>1 2 3 5 2 12 31111 6 M78 10000 222 00I 002 61200 025 2210000 2024 00000000 002 040</t>
  </si>
  <si>
    <t>CONSTRUCCION DE COMEDOR PUBLICO EN LA LOCALIDAD DE ZACATEPEC 2024</t>
  </si>
  <si>
    <t>1 2 3 5 2 12 31111 6 M78 10000 241</t>
  </si>
  <si>
    <t>DEPORTE Y RECREACIÓN</t>
  </si>
  <si>
    <t>1 2 3 5 2 12 31111 6 M78 10000 241 00I</t>
  </si>
  <si>
    <t>1 2 3 5 2 12 31111 6 M78 10000 241 00I 002</t>
  </si>
  <si>
    <t>1 2 3 5 2 12 31111 6 M78 10000 241 00I 002 61200</t>
  </si>
  <si>
    <t>1 2 3 5 2 12 31111 6 M78 10000 241 00I 002 61200 025</t>
  </si>
  <si>
    <t>1 2 3 5 2 12 31111 6 M78 10000 241 00I 002 61200 025 2210000</t>
  </si>
  <si>
    <t>1 2 3 5 2 12 31111 6 M78 10000 241 00I 002 61200 025 2210000 2024</t>
  </si>
  <si>
    <t>1 2 3 5 2 12 31111 6 M78 10000 241 00I 002 61200 025 2210000 2024 00000000</t>
  </si>
  <si>
    <t>1 2 3 5 2 12 31111 6 M78 10000 241 00I 002 61200 025 2210000 2024 00000000 002</t>
  </si>
  <si>
    <t>1 2 3 5 2 12 31111 6 M78 10000 241 00I 002 61200 025 2210000 2024 00000000 002 035</t>
  </si>
  <si>
    <t>CONSTRUCCION DE TECHADO EN ESPACIO MULTIDEPORTIVO Y BIENES PÚBLICOS EN LA LOCALIDAD DE BUENAVISTA DE LOS AIRES 2024</t>
  </si>
  <si>
    <t>1 2 3 5 2 12 31111 6 M78 10000 252</t>
  </si>
  <si>
    <t>EDUCACIÓN MEDIA SUPERIOR</t>
  </si>
  <si>
    <t>1 2 3 5 2 12 31111 6 M78 10000 252 00I</t>
  </si>
  <si>
    <t>1 2 3 5 2 12 31111 6 M78 10000 252 00I 002</t>
  </si>
  <si>
    <t>1 2 3 5 2 12 31111 6 M78 10000 252 00I 002 61200</t>
  </si>
  <si>
    <t>1 2 3 5 2 12 31111 6 M78 10000 252 00I 002 61200 025</t>
  </si>
  <si>
    <t>1 2 3 5 2 12 31111 6 M78 10000 252 00I 002 61200 025 2210000</t>
  </si>
  <si>
    <t>1 2 3 5 2 12 31111 6 M78 10000 252 00I 002 61200 025 2210000 2024</t>
  </si>
  <si>
    <t>1 2 3 5 2 12 31111 6 M78 10000 252 00I 002 61200 025 2210000 2024 00000000</t>
  </si>
  <si>
    <t>1 2 3 5 2 12 31111 6 M78 10000 252 00I 002 61200 025 2210000 2024 00000000 002</t>
  </si>
  <si>
    <t>1 2 3 5 2 12 31111 6 M78 10000 252 00I 002 61200 025 2210000 2024 00000000 002 020</t>
  </si>
  <si>
    <t>REHABILITACION DE AULAS EN EL PREESCOLAR LAZARO CARDENAS EN LA LOCALIDAD DE HUEYCANTENANGO 2024</t>
  </si>
  <si>
    <t>1 2 3 5 2 12 31111 6 M78 10000 252 00I 002 61200 025 2210000 2024 00000000 002 022</t>
  </si>
  <si>
    <t>CONSTRUCCION DE BARDA PERIMETRAL EN EL COLEGIO DE BACHILLERES EN LA LOCALIDAD DE HUEYCANTENANGO 2024</t>
  </si>
  <si>
    <t>1 2 3 5 2 12 31111 6 M78 10000 252 00I 002 61200 025 2210000 2024 00000000 002 023</t>
  </si>
  <si>
    <t>REHABILITACION DE RED DE ENERGIA ELECTRICA EN  ESCUELA PRIMARIA JUVENCIO SANCHEZ EN LA LOCALIDAD DE HUEYCANTENANGO 2024</t>
  </si>
  <si>
    <t>1 2 3 5 2 12 31111 6 M78 10000 252 00I 002 61200 025 2210000 2024 00000000 002 024</t>
  </si>
  <si>
    <t>CONSTRTUCCION DERE DE GUA POTABLE EN LA ESCUELA SECUNDARIA TECNICA FRIDA KAHLO DE LA LOCALIDAD DE IXCATLA 2024</t>
  </si>
  <si>
    <t>1 2 3 5 2 12 31111 6 M78 10000 252 00I 002 61200 025 2210000 2024 00000000 002 025</t>
  </si>
  <si>
    <t>REHABILITACIÓN DE AULAS EN ESCUELA PRIMARIA TELPOCHCALLI EN LA LOCALIDAD DE HUEYCANTENANGO 2024</t>
  </si>
  <si>
    <t>1 2 3 5 2 12 31111 6 M78 10000 252 00I 002 61200 025 2210000 2024 00000000 002 026</t>
  </si>
  <si>
    <t>REHABILITACIÓN DE AULAS EN EL PREESCOLAR LUIS DONALDO COLOSIO EN LA LOCALIDAD DE HUEYCANTENANGO 2024</t>
  </si>
  <si>
    <t>1 2 3 5 3</t>
  </si>
  <si>
    <t>CONSTRUCCIÓN DE OBRAS PARA EL ABASTECIMIENTO DE AGUA, PETRÓLEO, GAS, ELECTRICIDAD Y TELECOMUNICACIONES EN PROCESO</t>
  </si>
  <si>
    <t>1 2 3 5 3 12</t>
  </si>
  <si>
    <t>1 2 3 5 3 12 31111</t>
  </si>
  <si>
    <t>1 2 3 5 3 12 31111 6</t>
  </si>
  <si>
    <t>1 2 3 5 3 12 31111 6 M78</t>
  </si>
  <si>
    <t>1 2 3 5 3 12 31111 6 M78 10000</t>
  </si>
  <si>
    <t>1 2 3 5 3 12 31111 6 M78 10000 223</t>
  </si>
  <si>
    <t>ABASTECIMIENTO DE AGUA</t>
  </si>
  <si>
    <t>1 2 3 5 3 12 31111 6 M78 10000 223 00I</t>
  </si>
  <si>
    <t>1 2 3 5 3 12 31111 6 M78 10000 223 00I 002</t>
  </si>
  <si>
    <t>1 2 3 5 3 12 31111 6 M78 10000 223 00I 002 61300</t>
  </si>
  <si>
    <t>CONSTRUCCION DE OBRAS PARA EL ABASTECIMIENTO DE AGUA, PETROLEO, GAS, ELECTRICIDAD Y TELECOMUNICACIONES.</t>
  </si>
  <si>
    <t>1 2 3 5 3 12 31111 6 M78 10000 223 00I 002 61300 025</t>
  </si>
  <si>
    <t>1 2 3 5 3 12 31111 6 M78 10000 223 00I 002 61300 025 2210000</t>
  </si>
  <si>
    <t>1 2 3 5 3 12 31111 6 M78 10000 223 00I 002 61300 025 2210000 2024</t>
  </si>
  <si>
    <t>1 2 3 5 3 12 31111 6 M78 10000 223 00I 002 61300 025 2210000 2024 00000000</t>
  </si>
  <si>
    <t>1 2 3 5 3 12 31111 6 M78 10000 223 00I 002 61300 025 2210000 2024 00000000 002</t>
  </si>
  <si>
    <t>1 2 3 5 3 12 31111 6 M78 10000 223 00I 002 61300 025 2210000 2024 00000000 002 037</t>
  </si>
  <si>
    <t>CONSTRUCCION DE TANQUE PÚBLICO DE AGUA POTABLE EN LA COLONIA LOS PINOS, EN LA LOCALIDAD DE AJACAYAN 2024</t>
  </si>
  <si>
    <t>1 2 3 5 4</t>
  </si>
  <si>
    <t>DIVISIÓN DE TERRENOS Y CONSTRUCCIÓN DE OBRAS DE URBANIZACIÓN EN PROCESO</t>
  </si>
  <si>
    <t>1 2 3 5 4 12</t>
  </si>
  <si>
    <t>1 2 3 5 4 12 31111</t>
  </si>
  <si>
    <t>1 2 3 5 4 12 31111 6</t>
  </si>
  <si>
    <t>1 2 3 5 4 12 31111 6 M78</t>
  </si>
  <si>
    <t>1 2 3 5 4 12 31111 6 M78 10000</t>
  </si>
  <si>
    <t>1 2 3 5 4 12 31111 6 M78 10000 221</t>
  </si>
  <si>
    <t>URBANIZACIÓN</t>
  </si>
  <si>
    <t>1 2 3 5 4 12 31111 6 M78 10000 221 00I</t>
  </si>
  <si>
    <t>1 2 3 5 4 12 31111 6 M78 10000 221 00I 002</t>
  </si>
  <si>
    <t>1 2 3 5 4 12 31111 6 M78 10000 221 00I 002 61400</t>
  </si>
  <si>
    <t>DIVISION DE TERRENOS Y CONSTRUCCION DE OBRAS DE URBANIZACION.</t>
  </si>
  <si>
    <t>1 2 3 5 4 12 31111 6 M78 10000 221 00I 002 61400 025</t>
  </si>
  <si>
    <t>1 2 3 5 4 12 31111 6 M78 10000 221 00I 002 61400 025 2210000</t>
  </si>
  <si>
    <t>1 2 3 5 4 12 31111 6 M78 10000 221 00I 002 61400 025 2210000 2024</t>
  </si>
  <si>
    <t>1 2 3 5 4 12 31111 6 M78 10000 221 00I 002 61400 025 2210000 2024 00000000</t>
  </si>
  <si>
    <t>1 2 3 5 4 12 31111 6 M78 10000 221 00I 002 61400 025 2210000 2024 00000000 002</t>
  </si>
  <si>
    <t>1 2 3 5 4 12 31111 6 M78 10000 221 00I 002 61400 025 2210000 2024 00000000 002 090</t>
  </si>
  <si>
    <t>CONSTRUCCION DE PAVIMENTACIÓN CON CONCRETO HIDRAULICO EN CALLE PRINCIPAL EN LA LOCALIDAD DE TEQUIXCA 2024</t>
  </si>
  <si>
    <t>1 2 3 5 4 12 31111 6 M78 10000 221 00I 002 61400 025 2210000 2024 00000000 002 095</t>
  </si>
  <si>
    <t>CONSTRUCCION DE PAVIMENTACIÓN CON CONCRETO HIDRAULICO EN  LA LOCALIDAD DE ACALCO  2024</t>
  </si>
  <si>
    <t>1 2 3 5 4 12 31111 6 M78 10000 221 00I 002 61400 025 2210000 2024 00000000 002 098</t>
  </si>
  <si>
    <t>CONSTRUCCION DE PAVIMENTACIÓN CON CONCRETO HIDRAULICO EN  LOCALIDAD DE AXOLOAPA 2024</t>
  </si>
  <si>
    <t>1 2 3 5 4 12 31111 6 M78 10000 221 00I 002 61400 025 2210000 2024 00000000 002 099</t>
  </si>
  <si>
    <t>CONSTRUCCION DE PAVIMENTACIÓN CON CONCRETO HIDRAULICO EN  LOCALIDAD DE EL CARACOL 2024</t>
  </si>
  <si>
    <t>1 2 3 5 4 12 31111 6 M78 10000 221 00I 002 61400 025 2210000 2024 00000000 002 101</t>
  </si>
  <si>
    <t>CONSTRUCCION DE PAVIMENTACIÓN CON CONCRETO HIDRAULICO EN  LOCALIDAD DE TOCTEPEC 2024</t>
  </si>
  <si>
    <t>1 2 3 5 4 12 31111 6 M78 10000 221 00I 002 61400 025 2210000 2024 00000000 002 103</t>
  </si>
  <si>
    <t>CONSTRUCCION DE PAVIMENTACIÓN CON CONCRETO HIDRAULICO EN  LOCALIDAD DE TEOCALIXTLAHUAC 2024</t>
  </si>
  <si>
    <t>1 2 3 5 4 12 31111 6 M78 10000 221 00I 002 61400 025 2210000 2024 00000000 002 105</t>
  </si>
  <si>
    <t>CONSTRUCCION DE PAVIMENTACIÓN CON CONCRETO HIDRAULICO EN  LOCALIDAD DE OXTOTITLAN 2024</t>
  </si>
  <si>
    <t>1 2 3 5 4 12 31111 6 M78 10000 221 00I 002 61400 025 2210000 2024 00000000 002 106</t>
  </si>
  <si>
    <t>CONSTRUCCION DE PAVIMENTACIÓN CON CONCRETO HIDRAULICO EN  LOCALIDAD DE BUGAMBILIA 2024</t>
  </si>
  <si>
    <t>1 2 3 5 4 12 31111 6 M78 10000 221 00I 002 61400 025 2210000 2024 00000000 002 110</t>
  </si>
  <si>
    <t>CONSTRUCCION DE PAVIMENTACIÓN CON CONCRETO HIDRAULICO EN LA LOCALIDAD DE TLACHIMALTEPEC 2024</t>
  </si>
  <si>
    <t>1 2 3 5 4 12 31111 6 M78 10000 221 00I 002 61400 025 2210000 2024 00000000 002 116</t>
  </si>
  <si>
    <t>CONSTRUCCION DE DE MURO DE CONTENCION EN LA LOCALIDAD DE LA TLAIXCOATIPAN 2024</t>
  </si>
  <si>
    <t>1 2 3 5 4 12 31111 6 M78 10000 351</t>
  </si>
  <si>
    <t>TRANSPORTE POR CARRETERA</t>
  </si>
  <si>
    <t>1 2 3 5 4 12 31111 6 M78 10000 351 00I</t>
  </si>
  <si>
    <t>1 2 3 5 4 12 31111 6 M78 10000 351 00I 002</t>
  </si>
  <si>
    <t>1 2 3 5 4 12 31111 6 M78 10000 351 00I 002 61400</t>
  </si>
  <si>
    <t>1 2 3 5 4 12 31111 6 M78 10000 351 00I 002 61400 025</t>
  </si>
  <si>
    <t>1 2 3 5 4 12 31111 6 M78 10000 351 00I 002 61400 025 2210000</t>
  </si>
  <si>
    <t>1 2 3 5 4 12 31111 6 M78 10000 351 00I 002 61400 025 2210000 2024</t>
  </si>
  <si>
    <t>1 2 3 5 4 12 31111 6 M78 10000 351 00I 002 61400 025 2210000 2024 00000000</t>
  </si>
  <si>
    <t>1 2 3 5 4 12 31111 6 M78 10000 351 00I 002 61400 025 2210000 2024 00000000 002</t>
  </si>
  <si>
    <t>1 2 3 5 4 12 31111 6 M78 10000 351 00I 002 61400 025 2210000 2024 00000000 002 050</t>
  </si>
  <si>
    <t>REHABILITACION DE CAMINS RURALES EN LA REGION SUR EN EL MUNICIPIO DE JOSE JOAQUIN DE HERRERA 2024</t>
  </si>
  <si>
    <t>1 2 3 5 4 12 31111 6 M78 10000 351 00I 002 61400 025 2210000 2024 00000000 002 051</t>
  </si>
  <si>
    <t>REHABILITACION DE CAMINS RURALES EN LA REGION NORTE  EN EL MUNICIPIO DE JOSE JOAQUIN DE HERRERA 2024</t>
  </si>
  <si>
    <t>1 2 3 5 4 12 31111 6 M78 10000 351 00I 002 61400 025 2210000 2024 00000000 002 052</t>
  </si>
  <si>
    <t>REHABILITACION DE CAMINOS RURALES RAMALES SECUNDARIOS  EN EL MUNICIPIO DE JOSE JOAQUIN DE HERRERA 2024</t>
  </si>
  <si>
    <t>1 2 3 5 4 12 31111 6 M78 10000 351 00I 002 61400 025 2210000 2024 00000000 002 053</t>
  </si>
  <si>
    <t>REHABILITACION DE CAMINOS RURALES EN LA ZONA CENTRO EN EL MUNICIPIO DE JOSE JOAQUIN DE HERRERA 2024</t>
  </si>
  <si>
    <t>1 2 3 5 4 12 31111 6 M78 10000 351 00I 002 61400 025 2210000 2024 00000000 002 060</t>
  </si>
  <si>
    <t>REHABILITACION DE CAMINO TEOYETLAN-ZACATEPEC</t>
  </si>
  <si>
    <t>1 2 4</t>
  </si>
  <si>
    <t>BIENES MUEBLES</t>
  </si>
  <si>
    <t>1 2 4 1</t>
  </si>
  <si>
    <t>MOBILIARIO Y EQUIPO DE ADMINISTRACIÓN</t>
  </si>
  <si>
    <t>1 2 4 1 1</t>
  </si>
  <si>
    <t>MUEBLES DE OFICINA Y ESTANTERÍA</t>
  </si>
  <si>
    <t>1 2 4 1 1 12</t>
  </si>
  <si>
    <t>1 2 4 1 1 12 31111</t>
  </si>
  <si>
    <t>1 2 4 1 1 12 31111 6</t>
  </si>
  <si>
    <t>1 2 4 1 1 12 31111 6 M78</t>
  </si>
  <si>
    <t>1 2 4 1 1 12 31111 6 M78 00000</t>
  </si>
  <si>
    <t>SIN ETIQUETA - 0 - 000</t>
  </si>
  <si>
    <t>1 2 4 1 1 12 31111 6 M78 00000 002</t>
  </si>
  <si>
    <t>1 2 4 1 1 12 31111 6 M78 00000 002 001</t>
  </si>
  <si>
    <t>ADMINISTRACION ANTERIOR</t>
  </si>
  <si>
    <t>1 2 4 1 1 12 31111 6 M78 00000 002 001 001</t>
  </si>
  <si>
    <t>ARCHIVEROS DE 4 GAVETAS COLOR BEIGE</t>
  </si>
  <si>
    <t>1 2 4 1 1 12 31111 6 M78 00000 002 001 002</t>
  </si>
  <si>
    <t>1 2 4 1 1 12 31111 6 M78 00000 002 001 003</t>
  </si>
  <si>
    <t>ESCRITORIO SECRETARIAL DE 2 GAVETAS MEDERA Y METALICO</t>
  </si>
  <si>
    <t>1 2 4 1 1 12 31111 6 M78 00000 002 001 004</t>
  </si>
  <si>
    <t>1 2 4 1 1 12 31111 6 M78 00000 002 001 005</t>
  </si>
  <si>
    <t>1 2 4 1 1 12 31111 6 M78 00000 002 001 006</t>
  </si>
  <si>
    <t>ARCHIVERO VERTICAL METALICO 4 GAVETAS</t>
  </si>
  <si>
    <t>1 2 4 1 1 12 31111 6 M78 00000 002 001 007</t>
  </si>
  <si>
    <t>1 2 4 1 1 12 31111 6 M78 00000 002 001 008</t>
  </si>
  <si>
    <t>1 2 4 1 1 12 31111 6 M78 00000 002 001 009</t>
  </si>
  <si>
    <t>1 2 4 1 1 12 31111 6 M78 00000 002 001 010</t>
  </si>
  <si>
    <t>MESA PARA LECTURA RECTANGULAR, 2.40X1.20 X0.75 M PEDESTAL EN "H" CON NIVELADORES</t>
  </si>
  <si>
    <t>1 2 4 1 1 12 31111 6 M78 00000 002 001 011</t>
  </si>
  <si>
    <t>1 2 4 1 1 12 31111 6 M78 00000 002 001 012</t>
  </si>
  <si>
    <t>1 2 4 1 1 12 31111 6 M78 00000 002 001 013</t>
  </si>
  <si>
    <t>1 2 4 1 1 12 31111 6 M78 00000 002 001 014</t>
  </si>
  <si>
    <t>1 2 4 1 1 12 31111 6 M78 00000 002 001 015</t>
  </si>
  <si>
    <t>1 2 4 1 1 12 31111 6 M78 00000 002 001 016</t>
  </si>
  <si>
    <t>1 2 4 1 1 12 31111 6 M78 00000 002 001 017</t>
  </si>
  <si>
    <t>1 2 4 1 1 12 31111 6 M78 00000 002 001 018</t>
  </si>
  <si>
    <t>SILLA EJECUTIVA CON RESPALDO ALTO TAPIZADO CON PIEL NEGRA MODELO OHE-65</t>
  </si>
  <si>
    <t>1 2 4 1 1 12 31111 6 M78 00000 002 001 019</t>
  </si>
  <si>
    <t>24 PIEZAS MUEBLE PARA COMPUTADORA CON DIVISIONES DE MADERA DE PINO ACABADO CON BARNIZ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</si>
  <si>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</si>
  <si>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</si>
  <si>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</si>
  <si>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</si>
  <si>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</si>
  <si>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</si>
  <si>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00000</t>
  </si>
  <si>
    <t>1 2 4 1 3 12 31111 6 M78 00000 002</t>
  </si>
  <si>
    <t>FONDO DE APORTACIONES PARA LA INFRAESTRUCTURA SOCIAL  MUNICIPAL</t>
  </si>
  <si>
    <t>1 2 4 1 3 12 31111 6 M78 00000 002 001</t>
  </si>
  <si>
    <t>1 2 4 1 3 12 31111 6 M78 00000 002 001 001</t>
  </si>
  <si>
    <t>EQUIPO DE COMPUTO DE ESCRITORIO HP (CPU, MONITOR, TECLADO, MOUSE)</t>
  </si>
  <si>
    <t>1 2 4 1 3 12 31111 6 M78 00000 002 001 002</t>
  </si>
  <si>
    <t>1 2 4 1 3 12 31111 6 M78 00000 002 001 003</t>
  </si>
  <si>
    <t>1 2 4 1 3 12 31111 6 M78 00000 002 001 004</t>
  </si>
  <si>
    <t>1 2 4 1 3 12 31111 6 M78 00000 002 001 005</t>
  </si>
  <si>
    <t>1 2 4 1 3 12 31111 6 M78 00000 002 001 006</t>
  </si>
  <si>
    <t>1 2 4 1 3 12 31111 6 M78 00000 002 001 007</t>
  </si>
  <si>
    <t>1 2 4 1 3 12 31111 6 M78 00000 002 001 008</t>
  </si>
  <si>
    <t>1 2 4 1 3 12 31111 6 M78 00000 002 001 009</t>
  </si>
  <si>
    <t>IMPRESORA EPSON L210</t>
  </si>
  <si>
    <t>1 2 4 1 3 12 31111 6 M78 00000 002 001 010</t>
  </si>
  <si>
    <t>1 2 4 1 3 12 31111 6 M78 00000 002 001 011</t>
  </si>
  <si>
    <t>1 2 4 1 3 12 31111 6 M78 00000 002 001 012</t>
  </si>
  <si>
    <t>1 2 4 1 3 12 31111 6 M78 00000 002 001 013</t>
  </si>
  <si>
    <t>1 2 4 1 3 12 31111 6 M78 00000 002 001 014</t>
  </si>
  <si>
    <t>1 2 4 1 3 12 31111 6 M78 00000 002 001 015</t>
  </si>
  <si>
    <t>1 2 4 1 3 12 31111 6 M78 00000 002 001 016</t>
  </si>
  <si>
    <t>1 2 4 1 9</t>
  </si>
  <si>
    <t>OTROS MOBILIARIOS Y EQUIPOS DE ADMINISTRACIÓN</t>
  </si>
  <si>
    <t>1 2 4 1 9 12</t>
  </si>
  <si>
    <t>1 2 4 1 9 12 31111</t>
  </si>
  <si>
    <t>1 2 4 1 9 12 31111 6</t>
  </si>
  <si>
    <t>1 2 4 1 9 12 31111 6 M78</t>
  </si>
  <si>
    <t>1 2 4 1 9 12 31111 6 M78 00000</t>
  </si>
  <si>
    <t>1 2 4 1 9 12 31111 6 M78 00000 002</t>
  </si>
  <si>
    <t>1 2 4 1 9 12 31111 6 M78 00000 002 001</t>
  </si>
  <si>
    <t>U8 PROGRAMA DE DESARROLLO INSTITUCIONAL MUNICIPAL.</t>
  </si>
  <si>
    <t>1 2 4 1 9 12 31111 6 M78 00000 002 001 001</t>
  </si>
  <si>
    <t>PRODIM, ADQUISICION DE EQUIPAMIENTO Y MOBILIARIO BASICO.</t>
  </si>
  <si>
    <t>1 2 4 1 9 12 31111 6 M78 00000 002 001 001 00001</t>
  </si>
  <si>
    <t>EQUIPO DE COMPUTO CON PROCESADOR INTEL DUAL CORE´S A 30 (6GHZ DISCO DURO 3.5 SATA SEAGATE 500GB LECTOR DE MEMORIAS 5-1 INT. 3.5" MONITOR LOD 18.5" MEMORIA RAM DOR 34GB TECLADO Y MOUSE</t>
  </si>
  <si>
    <t>1 2 4 1 9 12 31111 6 M78 00000 002 001 001 00002</t>
  </si>
  <si>
    <t>1 2 4 1 9 12 31111 6 M78 00000 002 001 001 00003</t>
  </si>
  <si>
    <t>1 2 4 1 9 12 31111 6 M78 00000 002 001 001 00004</t>
  </si>
  <si>
    <t>1 2 4 1 9 12 31111 6 M78 00000 002 001 001 00005</t>
  </si>
  <si>
    <t>1 2 4 1 9 12 31111 6 M78 00000 002 001 001 00006</t>
  </si>
  <si>
    <t>1 2 4 1 9 12 31111 6 M78 00000 002 001 001 00007</t>
  </si>
  <si>
    <t>1 2 4 1 9 12 31111 6 M78 00000 002 001 001 00008</t>
  </si>
  <si>
    <t>1 2 4 1 9 12 31111 6 M78 00000 002 001 001 00009</t>
  </si>
  <si>
    <t>1 2 4 1 9 12 31111 6 M78 00000 002 001 001 00010</t>
  </si>
  <si>
    <t>1 2 4 1 9 12 31111 6 M78 00000 002 001 001 00011</t>
  </si>
  <si>
    <t>1 2 4 1 9 12 31111 6 M78 00000 002 001 001 00012</t>
  </si>
  <si>
    <t>1 2 4 1 9 12 31111 6 M78 00000 002 001 001 00013</t>
  </si>
  <si>
    <t>1 2 4 1 9 12 31111 6 M78 00000 002 001 001 00014</t>
  </si>
  <si>
    <t>1 2 4 1 9 12 31111 6 M78 00000 002 001 001 00015</t>
  </si>
  <si>
    <t>1 2 4 1 9 12 31111 6 M78 00000 002 001 001 00016</t>
  </si>
  <si>
    <t>1 2 4 1 9 12 31111 6 M78 00000 002 001 001 00017</t>
  </si>
  <si>
    <t>1 2 4 1 9 12 31111 6 M78 00000 002 001 001 00018</t>
  </si>
  <si>
    <t>1 2 4 1 9 12 31111 6 M78 00000 002 001 001 00019</t>
  </si>
  <si>
    <t>1 2 4 1 9 12 31111 6 M78 00000 002 001 001 00020</t>
  </si>
  <si>
    <t>1 2 4 1 9 12 31111 6 M78 00000 002 001 001 00021</t>
  </si>
  <si>
    <t>1 2 4 1 9 12 31111 6 M78 00000 002 001 001 00022</t>
  </si>
  <si>
    <t>1 2 4 1 9 12 31111 6 M78 00000 002 001 001 00023</t>
  </si>
  <si>
    <t>1 2 4 1 9 12 31111 6 M78 00000 002 001 001 00024</t>
  </si>
  <si>
    <t>1 2 4 1 9 12 31111 6 M78 00000 002 001 001 00025</t>
  </si>
  <si>
    <t>1 2 4 1 9 12 31111 6 M78 00000 002 001 001 00026</t>
  </si>
  <si>
    <t>COMPUTADORA DE ESCRITORIO PROCESADOR INTEL CORE I3 MEMORIA RAM DE 4CG DD 500GB MONITOR LED 19" TECLADO Y MOUSE CCA</t>
  </si>
  <si>
    <t>1 2 4 1 9 12 31111 6 M78 00000 002 001 001 00027</t>
  </si>
  <si>
    <t>1 2 4 1 9 12 31111 6 M78 00000 002 001 001 00028</t>
  </si>
  <si>
    <t>1 2 4 1 9 12 31111 6 M78 00000 002 001 001 00029</t>
  </si>
  <si>
    <t>1 2 4 1 9 12 31111 6 M78 00000 002 001 001 00030</t>
  </si>
  <si>
    <t>5 ESCRITORIOS C/FALDON Y CAJONERAS 1200X600MMX750MM DE ALTURA</t>
  </si>
  <si>
    <t>1 2 4 1 9 12 31111 6 M78 00000 002 001 001 00031</t>
  </si>
  <si>
    <t>10 SILLÓN EJEC GIRAT DE 600X710X1130 MM C/ BRAZOS. RECLINABLE</t>
  </si>
  <si>
    <t>1 2 4 1 9 12 31111 6 M78 00000 002 001 001 00032</t>
  </si>
  <si>
    <t>6 IMPRESORA BROTHER T800 C/SISTEMA DE TINTA CONTINUA INALAMBRICA MULTIFULCIONAL</t>
  </si>
  <si>
    <t>1 2 4 1 9 12 31111 6 M78 00000 002 001 001 00033</t>
  </si>
  <si>
    <t>5 MINITOR AOC ULTRASUM 24" S/N</t>
  </si>
  <si>
    <t>1 2 4 1 9 12 31111 6 M78 00000 002 001 001 00034</t>
  </si>
  <si>
    <t>4 EQUIPOS DE COMPUTADORAS INTEL INSIDE CORE</t>
  </si>
  <si>
    <t>1 2 4 4</t>
  </si>
  <si>
    <t>VEHÍCULOS Y EQUIPO DE TRANSPORTE</t>
  </si>
  <si>
    <t>1 2 4 4 1</t>
  </si>
  <si>
    <t>AUTOMÓVILES Y EQUIPO TERRESTRE</t>
  </si>
  <si>
    <t>1 2 4 4 1 12</t>
  </si>
  <si>
    <t>1 2 4 4 1 12 31111</t>
  </si>
  <si>
    <t>1 2 4 4 1 12 31111 6</t>
  </si>
  <si>
    <t>1 2 4 4 1 12 31111 6 M78</t>
  </si>
  <si>
    <t>1 2 4 4 1 12 31111 6 M78 00000</t>
  </si>
  <si>
    <t>1 2 4 4 1 12 31111 6 M78 00000 002</t>
  </si>
  <si>
    <t>VEHICULOS Y EQUIPO TERRESTRE</t>
  </si>
  <si>
    <t>1 2 4 4 1 12 31111 6 M78 00000 002 002</t>
  </si>
  <si>
    <t>1 2 4 4 1 12 31111 6 M78 00000 002 002 001</t>
  </si>
  <si>
    <t>OBRAS PUBLICAS</t>
  </si>
  <si>
    <t>1 2 4 4 1 12 31111 6 M78 00000 002 002 001 00001</t>
  </si>
  <si>
    <t>CAMIONETA DOBLE CABINA COLOR PLATA 2014</t>
  </si>
  <si>
    <t>1 2 4 4 1 12 31111 6 M78 00000 002 002 001 00002</t>
  </si>
  <si>
    <t>CAMIONETA LOBO XLT4X4</t>
  </si>
  <si>
    <t>2</t>
  </si>
  <si>
    <t>PASIVO</t>
  </si>
  <si>
    <t>2 1</t>
  </si>
  <si>
    <t>PASIVO CIRCULANTE</t>
  </si>
  <si>
    <t>2 1 1</t>
  </si>
  <si>
    <t>CUENTAS POR PAGAR A CORTO PLAZO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</si>
  <si>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</si>
  <si>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</si>
  <si>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</si>
  <si>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</si>
  <si>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</si>
  <si>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</si>
  <si>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</si>
  <si>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</si>
  <si>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00002</t>
  </si>
  <si>
    <t>OBRA PÚBLICA</t>
  </si>
  <si>
    <t>2 1 1 2 1 12 31111 6 M78 00002 004</t>
  </si>
  <si>
    <t>2 1 1 2 1 12 31111 6 M78 00002 023</t>
  </si>
  <si>
    <t>ESMERALDA GARCIA PINEDA</t>
  </si>
  <si>
    <t>2 1 1 2 1 12 31111 6 M78 00002 025</t>
  </si>
  <si>
    <t>CHRISTIAN GREGORIO ADAME TEOFILO</t>
  </si>
  <si>
    <t>2 1 1 3</t>
  </si>
  <si>
    <t>CONTRATISTAS POR OBRAS PÚBLICAS POR PAGAR A CORTO PLAZO</t>
  </si>
  <si>
    <t>2 1 1 3 1</t>
  </si>
  <si>
    <t>CONTRATISTAS POR OBRAS PÚBLICAS EN BIENES DE DOMINIO PÚBLICO POR PAGAR A CP</t>
  </si>
  <si>
    <t>2 1 1 3 1 12</t>
  </si>
  <si>
    <t>2 1 1 3 1 12 31111</t>
  </si>
  <si>
    <t>2 1 1 3 1 12 31111 6</t>
  </si>
  <si>
    <t>2 1 1 3 1 12 31111 6 M78</t>
  </si>
  <si>
    <t>2 1 1 3 1 12 31111 6 M78 00002</t>
  </si>
  <si>
    <t>FONDO DE APORTACIONES PARA INFRAESTRUCTURA SOCIAL MUNICIPAL</t>
  </si>
  <si>
    <t>2 1 1 3 1 12 31111 6 M78 00002 003</t>
  </si>
  <si>
    <t>INGENIERIA RESPONSABLE S.A. DE C.V.</t>
  </si>
  <si>
    <t>2 1 1 3 1 12 31111 6 M78 00002 004</t>
  </si>
  <si>
    <t>FI CONSTRUCCIONES S.A. DE C.V.</t>
  </si>
  <si>
    <t>2 1 1 3 1 12 31111 6 M78 00002 008</t>
  </si>
  <si>
    <t>LUZAJO DISEÑO Y CONSTRUCCION SA DE CV</t>
  </si>
  <si>
    <t>2 1 1 3 1 12 31111 6 M78 00002 009</t>
  </si>
  <si>
    <t>PROYECCIONES GEOMETRICAS Y CONSTRUCCIONES GAR HER SA CV</t>
  </si>
  <si>
    <t>2 1 1 3 1 12 31111 6 M78 00002 010</t>
  </si>
  <si>
    <t>INPRO MATCO SA DE CV</t>
  </si>
  <si>
    <t>2 1 1 3 1 12 31111 6 M78 00002 013</t>
  </si>
  <si>
    <t>LUIS  ALBERTO MARTINEZ VAZQUEZ</t>
  </si>
  <si>
    <t>2 1 1 3 1 12 31111 6 M78 00002 015</t>
  </si>
  <si>
    <t>CAMINOS Y CONSTRUCCIONES JHODAR, S.A. DE C.V.</t>
  </si>
  <si>
    <t>2 1 1 3 1 12 31111 6 M78 00002 018</t>
  </si>
  <si>
    <t>JORGE NERI MARTINEZ VAZQUEZ</t>
  </si>
  <si>
    <t>2 1 1 7</t>
  </si>
  <si>
    <t>RETENCIONES Y CONTRIBUCIONES POR PAGAR A CORTO PLAZO</t>
  </si>
  <si>
    <t>2 1 1 7 5</t>
  </si>
  <si>
    <t>IMPUESTOS SOBRE NÓMINA Y OTROS QUE DERIVEN DE UNA RELACIÓN LABORAL POR PAGAR A CP</t>
  </si>
  <si>
    <t>2 1 1 7 5 12</t>
  </si>
  <si>
    <t>2 1 1 7 5 12 31111</t>
  </si>
  <si>
    <t>2 1 1 7 5 12 31111 6</t>
  </si>
  <si>
    <t>2 1 1 7 5 12 31111 6 M78</t>
  </si>
  <si>
    <t>2 1 1 7 5 12 31111 6 M78 00002</t>
  </si>
  <si>
    <t>FONDO DE APORTACIONES PARA LA INFRAESRUCTURA SOCIAL MUNICIPAL</t>
  </si>
  <si>
    <t>2 1 1 7 5 12 31111 6 M78 00002 003</t>
  </si>
  <si>
    <t>5% AL MILLAR 2020</t>
  </si>
  <si>
    <t>2 1 1 7 5 12 31111 6 M78 00002 004</t>
  </si>
  <si>
    <t>5% AL MILLAR 2021</t>
  </si>
  <si>
    <t>2 1 1 7 5 12 31111 6 M78 00002 005</t>
  </si>
  <si>
    <t>5% AL MILLAR 2022</t>
  </si>
  <si>
    <t>2 1 1 7 5 12 31111 6 M78 00002 006</t>
  </si>
  <si>
    <t>5% AL MILLAR 2023</t>
  </si>
  <si>
    <t>2 1 1 7 5 12 31111 6 M78 00002 007</t>
  </si>
  <si>
    <t>5% AL MILLAR 2024</t>
  </si>
  <si>
    <t>3</t>
  </si>
  <si>
    <t>HACIENDA PÚBLICA/ PATRIMONIO</t>
  </si>
  <si>
    <t>3 1</t>
  </si>
  <si>
    <t>HACIENDA PÚBLICA/PATRIMONIO CONTRIBUIDO</t>
  </si>
  <si>
    <t>3 1 1</t>
  </si>
  <si>
    <t>APORTACIONES</t>
  </si>
  <si>
    <t>3 1 1 1</t>
  </si>
  <si>
    <t>3 1 1 1 1</t>
  </si>
  <si>
    <t>3 1 1 1 1 12</t>
  </si>
  <si>
    <t>3 1 1 1 1 12 31111</t>
  </si>
  <si>
    <t>3 1 1 1 1 12 31111 6</t>
  </si>
  <si>
    <t>3 1 1 1 1 12 31111 6 M78</t>
  </si>
  <si>
    <t>3 1 1 1 1 12 31111 6 M78 00002</t>
  </si>
  <si>
    <t>3 2</t>
  </si>
  <si>
    <t>HACIENDA PÚBLICA /PATRIMONIO GENERADO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</si>
  <si>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</si>
  <si>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</si>
  <si>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</si>
  <si>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</si>
  <si>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</si>
  <si>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</si>
  <si>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</si>
  <si>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</si>
  <si>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</si>
  <si>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00002</t>
  </si>
  <si>
    <t>4</t>
  </si>
  <si>
    <t>INGRESOS Y OTROS BENEFICIOS</t>
  </si>
  <si>
    <t>4 1</t>
  </si>
  <si>
    <t>INGRESOS DE GESTIÓN</t>
  </si>
  <si>
    <t>4 1 5</t>
  </si>
  <si>
    <t>PRODUCTOS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</si>
  <si>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</si>
  <si>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</si>
  <si>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</si>
  <si>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</si>
  <si>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</si>
  <si>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</si>
  <si>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</si>
  <si>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10000</t>
  </si>
  <si>
    <t>4 1 5 1 1 12 31111 6 M78 10000 222</t>
  </si>
  <si>
    <t>4 1 5 1 1 12 31111 6 M78 10000 222 00I</t>
  </si>
  <si>
    <t>4 1 5 1 1 12 31111 6 M78 10000 222 00I 001</t>
  </si>
  <si>
    <t>GASTO CORRIENTE</t>
  </si>
  <si>
    <t>4 1 5 1 1 12 31111 6 M78 10000 222 00I 001 00051</t>
  </si>
  <si>
    <t>4 1 5 1 1 12 31111 6 M78 10000 222 00I 001 00051 025</t>
  </si>
  <si>
    <t>4 1 5 1 1 12 31111 6 M78 10000 222 00I 001 00051 025 1151100</t>
  </si>
  <si>
    <t>INTERNOS</t>
  </si>
  <si>
    <t>4 1 5 1 1 12 31111 6 M78 10000 222 00I 001 00051 025 1151100 2024</t>
  </si>
  <si>
    <t>4 1 5 1 1 12 31111 6 M78 10000 222 00I 001 00051 025 1151100 2024 00000000</t>
  </si>
  <si>
    <t>XXX ACTIVIDAD INSTITUCIONAL XXX</t>
  </si>
  <si>
    <t>4 1 5 1 1 12 31111 6 M78 10000 222 00I 001 00051 025 1151100 2024 00000000 002</t>
  </si>
  <si>
    <t>4 1 5 1 1 12 31111 6 M78 10000 222 00I 001 00051 025 1151100 2024 00000000 002 001</t>
  </si>
  <si>
    <t>INTERESES POR PRODUCTOS FINANCIEROS</t>
  </si>
  <si>
    <t>4 2</t>
  </si>
  <si>
    <t>PARTICIPACIONES, APORTACIONES, CONVENIOS, INCENTIVOS DERIVADOS DE LA COLABORACIÓN FISCAL, FONDOS DISTINTOS DE APORTACIONES, TRANSFERENCIAS, ASIGNACIONES, SUBSIDIOS Y SUBVENCIONES, Y PENSIONES Y JUBILACIONES</t>
  </si>
  <si>
    <t>4 2 1</t>
  </si>
  <si>
    <t>PARTICIPACIONES, APORTACIONES, CONVENIOS, INCENTIVOS DERIVADOS DE LA COLABORACIÓN FISCAL Y FONDOS DISTINTOS DE APORTACIONES</t>
  </si>
  <si>
    <t>4 2 1 2</t>
  </si>
  <si>
    <t>4 2 1 2 1</t>
  </si>
  <si>
    <t>4 2 1 2 1 12</t>
  </si>
  <si>
    <t>4 2 1 2 1 12 31111</t>
  </si>
  <si>
    <t>4 2 1 2 1 12 31111 6</t>
  </si>
  <si>
    <t>4 2 1 2 1 12 31111 6 M78</t>
  </si>
  <si>
    <t>4 2 1 2 1 12 31111 6 M78 10000</t>
  </si>
  <si>
    <t>4 2 1 2 1 12 31111 6 M78 10000 222</t>
  </si>
  <si>
    <t>4 2 1 2 1 12 31111 6 M78 10000 222 00I</t>
  </si>
  <si>
    <t>4 2 1 2 1 12 31111 6 M78 10000 222 00I 001</t>
  </si>
  <si>
    <t>4 2 1 2 1 12 31111 6 M78 10000 222 00I 001 00082</t>
  </si>
  <si>
    <t>4 2 1 2 1 12 31111 6 M78 10000 222 00I 001 00082 025</t>
  </si>
  <si>
    <t>4 2 1 2 1 12 31111 6 M78 10000 222 00I 001 00082 025 1182200</t>
  </si>
  <si>
    <t>DE ENTIDADES FEDERATIVAS</t>
  </si>
  <si>
    <t>4 2 1 2 1 12 31111 6 M78 10000 222 00I 001 00082 025 1182200 2024</t>
  </si>
  <si>
    <t>4 2 1 2 1 12 31111 6 M78 10000 222 00I 001 00082 025 1182200 2024 00000000</t>
  </si>
  <si>
    <t>4 2 1 2 1 12 31111 6 M78 10000 222 00I 001 00082 025 1182200 2024 00000000 002</t>
  </si>
  <si>
    <t>OBRAPUBLICA</t>
  </si>
  <si>
    <t>4 2 1 2 1 12 31111 6 M78 10000 222 00I 001 00082 025 1182200 2024 00000000 002 001</t>
  </si>
  <si>
    <t>APORTACIONES P/INFRA SOC MPAL</t>
  </si>
  <si>
    <t>5</t>
  </si>
  <si>
    <t>GASTOS Y OTRAS PÉRDIDAS</t>
  </si>
  <si>
    <t>5 1</t>
  </si>
  <si>
    <t>GASTOS DE FUNCIONAMIENTO</t>
  </si>
  <si>
    <t>5 1 3</t>
  </si>
  <si>
    <t>SERVICIOS GENERALES</t>
  </si>
  <si>
    <t>5 1 3 3</t>
  </si>
  <si>
    <t>SERVICIOS PROFESIONALES, CIENTÍFICOS Y TÉCNICOS Y OTROS SERVICIOS</t>
  </si>
  <si>
    <t>5 1 3 3 2</t>
  </si>
  <si>
    <t>SERVICIOS DE DISEÑO, ARQUITECTURA, INGENIERÍA Y ACTIVIDADES RELACIONADAS</t>
  </si>
  <si>
    <t>5 1 3 3 2 12</t>
  </si>
  <si>
    <t>5 1 3 3 2 12 31111</t>
  </si>
  <si>
    <t>5 1 3 3 2 12 31111 6</t>
  </si>
  <si>
    <t>5 1 3 3 2 12 31111 6 M78</t>
  </si>
  <si>
    <t>XXX CAMBIO DE ETIQUETA PRESUPUESTAL XXX</t>
  </si>
  <si>
    <t>5 1 3 3 2 12 31111 6 M78 10000</t>
  </si>
  <si>
    <t>5 1 3 3 2 12 31111 6 M78 10000 151</t>
  </si>
  <si>
    <t>ASUNTOS FINANCIEROS</t>
  </si>
  <si>
    <t>5 1 3 3 2 12 31111 6 M78 10000 151 00I</t>
  </si>
  <si>
    <t>5 1 3 3 2 12 31111 6 M78 10000 151 00I 001</t>
  </si>
  <si>
    <t>5 1 3 3 2 12 31111 6 M78 10000 151 00I 001 33201</t>
  </si>
  <si>
    <t>SERVICIOS DE DISEÑO, ARQUITECTURA, INGENIERIA Y ACTIVIDADES RELACIONADAS.</t>
  </si>
  <si>
    <t>5 1 3 3 2 12 31111 6 M78 10000 151 00I 001 33201 025</t>
  </si>
  <si>
    <t>5 1 3 3 2 12 31111 6 M78 10000 151 00I 001 33201 025 2112000</t>
  </si>
  <si>
    <t>COMPRA DE BIENES Y SERVICIOS</t>
  </si>
  <si>
    <t>5 1 3 3 2 12 31111 6 M78 10000 151 00I 001 33201 025 2112000 2024</t>
  </si>
  <si>
    <t>5 1 3 3 2 12 31111 6 M78 10000 151 00I 001 33201 025 2112000 2024 00000000</t>
  </si>
  <si>
    <t>5 1 3 3 2 12 31111 6 M78 10000 151 00I 001 33201 025 2112000 2024 00000000 002</t>
  </si>
  <si>
    <t>SERVICIOS PROFESIONALES, CIENTIFICOS Y TECNICOS INTEGRALES</t>
  </si>
  <si>
    <t>5 1 3 5</t>
  </si>
  <si>
    <t>SERVICIOS DE INSTALACIÓN, REPARACIÓN, MANTENIMIENTO Y CONSERVACIÓN</t>
  </si>
  <si>
    <t>5 1 3 5 5</t>
  </si>
  <si>
    <t>REPARACIÓN Y MANTENIMIENTO DE EQUIPO DE TRANSPORTE</t>
  </si>
  <si>
    <t>5 1 3 5 5 12</t>
  </si>
  <si>
    <t>5 1 3 5 5 12 31111</t>
  </si>
  <si>
    <t>5 1 3 5 5 12 31111 6</t>
  </si>
  <si>
    <t>5 1 3 5 5 12 31111 6 M78</t>
  </si>
  <si>
    <t>5 1 3 5 5 12 31111 6 M78 10000</t>
  </si>
  <si>
    <t>5 1 3 5 5 12 31111 6 M78 10000 151</t>
  </si>
  <si>
    <t>5 1 3 5 5 12 31111 6 M78 10000 151 00I</t>
  </si>
  <si>
    <t>5 1 3 5 5 12 31111 6 M78 10000 151 00I 001</t>
  </si>
  <si>
    <t>5 1 3 5 5 12 31111 6 M78 10000 151 00I 001 35501</t>
  </si>
  <si>
    <t>MANTENIMIENTO Y CONSERVACION DE VEHICULOS TERRESTRES, AEREOS, MARITIMOS, LACUSTRES Y FLUVIALES.</t>
  </si>
  <si>
    <t>5 1 3 5 5 12 31111 6 M78 10000 151 00I 001 35501 025</t>
  </si>
  <si>
    <t>5 1 3 5 5 12 31111 6 M78 10000 151 00I 001 35501 025 2112000</t>
  </si>
  <si>
    <t>5 1 3 5 5 12 31111 6 M78 10000 151 00I 001 35501 025 2112000 2024</t>
  </si>
  <si>
    <t>5 1 3 5 5 12 31111 6 M78 10000 151 00I 001 35501 025 2112000 2024 00000000</t>
  </si>
  <si>
    <t>5 1 3 5 5 12 31111 6 M78 10000 151 00I 001 35501 025 2112000 2024 00000000 002</t>
  </si>
  <si>
    <t>5 1 3 5 5 12 31111 6 M78 10000 151 00I 001 35501 025 2112000 2024 00000000 002 001</t>
  </si>
  <si>
    <t>REPARACIÒN Y MANTENIMIENTO DE EQUIPO DE TRANSPORTE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</si>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</sst>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none">
        <fgColor rgb="FFE2E2E2"/>
      </patternFill>
    </fill>
    <fill>
      <patternFill patternType="solid">
        <fgColor rgb="FFE2E2E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right" vertical="center"/>
    </xf>
    <xf numFmtId="0" fontId="0" fillId="0" borderId="11" xfId="0" applyBorder="1"/>
    <xf numFmtId="0" fontId="11" fillId="0" borderId="11" xfId="0" applyFont="1" applyBorder="1" applyAlignment="1">
      <alignment horizontal="left" vertical="center" wrapText="1"/>
    </xf>
    <xf numFmtId="4" fontId="14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vertical="top" wrapText="1"/>
    </xf>
    <xf numFmtId="4" fontId="2" fillId="0" borderId="11" xfId="0" applyNumberFormat="1" applyFont="1" applyBorder="1" applyAlignment="1">
      <alignment vertical="top"/>
    </xf>
    <xf numFmtId="4" fontId="16" fillId="4" borderId="11" xfId="0" applyNumberFormat="1" applyFont="1" applyFill="1" applyBorder="1" applyAlignment="1">
      <alignment horizontal="right" vertical="center"/>
    </xf>
    <xf numFmtId="0" fontId="3" fillId="3" borderId="0" xfId="0" quotePrefix="1" applyFont="1" applyFill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2" fillId="3" borderId="0" xfId="0" quotePrefix="1" applyFont="1" applyFill="1" applyAlignment="1">
      <alignment vertical="top"/>
    </xf>
    <xf numFmtId="4" fontId="2" fillId="0" borderId="0" xfId="0" quotePrefix="1" applyNumberFormat="1" applyFont="1" applyAlignment="1">
      <alignment vertical="top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429</xdr:row>
      <xdr:rowOff>0</xdr:rowOff>
    </xdr:from>
    <xdr:to>
      <xdr:col>2</xdr:col>
      <xdr:colOff>809625</xdr:colOff>
      <xdr:row>435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74985F8-76D2-42A9-9AE5-0C6F13615327}"/>
            </a:ext>
          </a:extLst>
        </xdr:cNvPr>
        <xdr:cNvSpPr txBox="1">
          <a:spLocks noChangeArrowheads="1"/>
        </xdr:cNvSpPr>
      </xdr:nvSpPr>
      <xdr:spPr bwMode="auto">
        <a:xfrm>
          <a:off x="47625" y="195853050"/>
          <a:ext cx="190500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>
    <xdr:from>
      <xdr:col>2</xdr:col>
      <xdr:colOff>1143000</xdr:colOff>
      <xdr:row>429</xdr:row>
      <xdr:rowOff>28575</xdr:rowOff>
    </xdr:from>
    <xdr:to>
      <xdr:col>3</xdr:col>
      <xdr:colOff>628650</xdr:colOff>
      <xdr:row>434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8C62388-CE71-4EA5-AC21-F3E71F44CBD8}"/>
            </a:ext>
          </a:extLst>
        </xdr:cNvPr>
        <xdr:cNvSpPr txBox="1">
          <a:spLocks noChangeArrowheads="1"/>
        </xdr:cNvSpPr>
      </xdr:nvSpPr>
      <xdr:spPr bwMode="auto">
        <a:xfrm>
          <a:off x="2286000" y="127044450"/>
          <a:ext cx="182880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>
    <xdr:from>
      <xdr:col>4</xdr:col>
      <xdr:colOff>161925</xdr:colOff>
      <xdr:row>429</xdr:row>
      <xdr:rowOff>38100</xdr:rowOff>
    </xdr:from>
    <xdr:to>
      <xdr:col>6</xdr:col>
      <xdr:colOff>209550</xdr:colOff>
      <xdr:row>435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C8BBF63-6B51-48C8-AA50-2946540E38C6}"/>
            </a:ext>
          </a:extLst>
        </xdr:cNvPr>
        <xdr:cNvSpPr txBox="1">
          <a:spLocks noChangeArrowheads="1"/>
        </xdr:cNvSpPr>
      </xdr:nvSpPr>
      <xdr:spPr bwMode="auto">
        <a:xfrm>
          <a:off x="5095875" y="195891150"/>
          <a:ext cx="181927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6</xdr:col>
      <xdr:colOff>638176</xdr:colOff>
      <xdr:row>429</xdr:row>
      <xdr:rowOff>28575</xdr:rowOff>
    </xdr:from>
    <xdr:to>
      <xdr:col>8</xdr:col>
      <xdr:colOff>685800</xdr:colOff>
      <xdr:row>435</xdr:row>
      <xdr:rowOff>15875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22C898D-FBF1-48F5-9D94-EC01E6EBA1FE}"/>
            </a:ext>
          </a:extLst>
        </xdr:cNvPr>
        <xdr:cNvSpPr txBox="1">
          <a:spLocks noChangeArrowheads="1"/>
        </xdr:cNvSpPr>
      </xdr:nvSpPr>
      <xdr:spPr bwMode="auto">
        <a:xfrm>
          <a:off x="7343776" y="195881625"/>
          <a:ext cx="1819274" cy="84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6"/>
  <sheetViews>
    <sheetView tabSelected="1" view="pageBreakPreview" topLeftCell="A405" zoomScale="60" zoomScaleNormal="100" workbookViewId="0">
      <selection activeCell="D437" sqref="D437"/>
    </sheetView>
  </sheetViews>
  <sheetFormatPr baseColWidth="10" defaultColWidth="9.1640625" defaultRowHeight="11" x14ac:dyDescent="0.15"/>
  <cols>
    <col min="1" max="1" width="0.6640625" style="2" customWidth="1" collapsed="1"/>
    <col min="2" max="2" width="16.5" style="2" customWidth="1" collapsed="1"/>
    <col min="3" max="3" width="35.1640625" style="5" customWidth="1" collapsed="1"/>
    <col min="4" max="6" width="13.33203125" style="4" customWidth="1" collapsed="1"/>
    <col min="7" max="7" width="13.33203125" style="2" customWidth="1" collapsed="1"/>
    <col min="8" max="8" width="13.33203125" style="5" customWidth="1" collapsed="1"/>
    <col min="9" max="9" width="13.33203125" style="4" customWidth="1" collapsed="1"/>
    <col min="10" max="10" width="0.6640625" style="2" customWidth="1" collapsed="1"/>
    <col min="11" max="11" width="13.6640625" style="2" hidden="1" customWidth="1" collapsed="1"/>
    <col min="12" max="13" width="0" style="2" hidden="1" customWidth="1" collapsed="1"/>
    <col min="14" max="16384" width="9.1640625" style="2" collapsed="1"/>
  </cols>
  <sheetData>
    <row r="1" spans="1:11" s="3" customFormat="1" ht="5.25" customHeight="1" x14ac:dyDescent="0.15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15">
      <c r="A2" s="24"/>
      <c r="B2" s="49" t="s">
        <v>7</v>
      </c>
      <c r="C2" s="49"/>
      <c r="D2" s="49"/>
      <c r="E2" s="49"/>
      <c r="F2" s="49"/>
      <c r="G2" s="49"/>
      <c r="H2" s="49"/>
      <c r="I2" s="49"/>
      <c r="J2" s="24"/>
    </row>
    <row r="3" spans="1:11" s="1" customFormat="1" ht="13.5" customHeight="1" x14ac:dyDescent="0.15">
      <c r="A3" s="25"/>
      <c r="B3" s="50" t="s">
        <v>8</v>
      </c>
      <c r="C3" s="50"/>
      <c r="D3" s="50"/>
      <c r="E3" s="50"/>
      <c r="F3" s="50"/>
      <c r="G3" s="50"/>
      <c r="H3" s="50"/>
      <c r="I3" s="50"/>
      <c r="J3" s="25"/>
    </row>
    <row r="4" spans="1:11" s="1" customFormat="1" ht="13.5" customHeight="1" x14ac:dyDescent="0.15">
      <c r="A4" s="25"/>
      <c r="B4" s="48" t="s">
        <v>9</v>
      </c>
      <c r="C4" s="48"/>
      <c r="D4" s="48"/>
      <c r="E4" s="48"/>
      <c r="F4" s="48"/>
      <c r="G4" s="48"/>
      <c r="H4" s="48"/>
      <c r="I4" s="48"/>
      <c r="J4" s="25"/>
    </row>
    <row r="5" spans="1:11" s="1" customFormat="1" ht="13.5" customHeight="1" x14ac:dyDescent="0.15">
      <c r="A5" s="25"/>
      <c r="B5" s="48" t="s">
        <v>10</v>
      </c>
      <c r="C5" s="48"/>
      <c r="D5" s="48"/>
      <c r="E5" s="48"/>
      <c r="F5" s="48"/>
      <c r="G5" s="48"/>
      <c r="H5" s="48"/>
      <c r="I5" s="48"/>
      <c r="J5" s="25"/>
    </row>
    <row r="6" spans="1:11" customFormat="1" ht="13.5" customHeight="1" x14ac:dyDescent="0.15">
      <c r="A6" s="24"/>
      <c r="B6" s="51" t="s">
        <v>11</v>
      </c>
      <c r="C6" s="51"/>
      <c r="D6" s="51"/>
      <c r="E6" s="51"/>
      <c r="F6" s="51"/>
      <c r="G6" s="51"/>
      <c r="H6" s="51"/>
      <c r="I6" s="51"/>
      <c r="J6" s="24"/>
    </row>
    <row r="7" spans="1:11" customFormat="1" ht="13.5" customHeight="1" x14ac:dyDescent="0.15">
      <c r="A7" s="24"/>
      <c r="B7" s="48"/>
      <c r="C7" s="48"/>
      <c r="D7" s="48"/>
      <c r="E7" s="48"/>
      <c r="F7" s="48"/>
      <c r="G7" s="48"/>
      <c r="H7" s="48"/>
      <c r="I7" s="48"/>
      <c r="J7" s="24"/>
    </row>
    <row r="8" spans="1:11" customFormat="1" ht="8.25" customHeight="1" x14ac:dyDescent="0.15">
      <c r="B8" s="6"/>
      <c r="C8" s="6"/>
      <c r="D8" s="6"/>
      <c r="E8" s="6"/>
      <c r="F8" s="6"/>
      <c r="G8" s="6"/>
      <c r="H8" s="6"/>
      <c r="I8" s="6"/>
    </row>
    <row r="9" spans="1:11" customFormat="1" ht="13" x14ac:dyDescent="0.15">
      <c r="A9" s="7"/>
      <c r="B9" s="13"/>
      <c r="C9" s="13"/>
      <c r="D9" s="45" t="s">
        <v>6</v>
      </c>
      <c r="E9" s="46"/>
      <c r="F9" s="45" t="s">
        <v>5</v>
      </c>
      <c r="G9" s="46"/>
      <c r="H9" s="47" t="s">
        <v>4</v>
      </c>
      <c r="I9" s="47"/>
      <c r="J9" s="10"/>
    </row>
    <row r="10" spans="1:11" customFormat="1" ht="13" x14ac:dyDescent="0.15">
      <c r="A10" s="8"/>
      <c r="B10" s="14" t="s">
        <v>2</v>
      </c>
      <c r="C10" s="26" t="s">
        <v>3</v>
      </c>
      <c r="D10" s="42" t="s">
        <v>12</v>
      </c>
      <c r="E10" s="43"/>
      <c r="F10" s="42" t="s">
        <v>13</v>
      </c>
      <c r="G10" s="43"/>
      <c r="H10" s="44" t="s">
        <v>14</v>
      </c>
      <c r="I10" s="44"/>
      <c r="J10" s="12"/>
    </row>
    <row r="11" spans="1:11" x14ac:dyDescent="0.15">
      <c r="A11" s="9"/>
      <c r="B11" s="15"/>
      <c r="C11" s="16"/>
      <c r="D11" s="17" t="s">
        <v>0</v>
      </c>
      <c r="E11" s="18" t="s">
        <v>1</v>
      </c>
      <c r="F11" s="17" t="s">
        <v>0</v>
      </c>
      <c r="G11" s="18" t="s">
        <v>1</v>
      </c>
      <c r="H11" s="19" t="s">
        <v>0</v>
      </c>
      <c r="I11" s="19" t="s">
        <v>1</v>
      </c>
      <c r="J11" s="11"/>
    </row>
    <row r="12" spans="1:11" ht="13" x14ac:dyDescent="0.15">
      <c r="B12" s="28" t="s">
        <v>15</v>
      </c>
      <c r="C12" s="28" t="s">
        <v>16</v>
      </c>
      <c r="D12" s="29">
        <f>SUMIFS(D13:D420,K13:K420,"0",B13:B420,"1*")-SUMIFS(E13:E420,K13:K420,"0",B13:B420,"1*")</f>
        <v>1685038.5999999992</v>
      </c>
      <c r="E12" s="30"/>
      <c r="F12" s="29">
        <f>SUMIFS(F13:F420,K13:K420,"0",B13:B420,"1*")</f>
        <v>191467981.20000005</v>
      </c>
      <c r="G12" s="29">
        <f>SUMIFS(G13:G420,K13:K420,"0",B13:B420,"1*")</f>
        <v>139723281.51999998</v>
      </c>
      <c r="H12" s="29">
        <f t="shared" ref="H12:H75" si="0">D12 + F12 - G12</f>
        <v>53429738.280000061</v>
      </c>
      <c r="I12" s="29"/>
      <c r="K12" t="s">
        <v>15</v>
      </c>
    </row>
    <row r="13" spans="1:11" ht="13" x14ac:dyDescent="0.15">
      <c r="B13" s="28" t="s">
        <v>17</v>
      </c>
      <c r="C13" s="28" t="s">
        <v>18</v>
      </c>
      <c r="D13" s="29">
        <f>SUMIFS(D14:D420,K14:K420,"0",B14:B420,"1 1*")-SUMIFS(E14:E420,K14:K420,"0",B14:B420,"1 1*")</f>
        <v>47978.73</v>
      </c>
      <c r="E13" s="30"/>
      <c r="F13" s="29">
        <f>SUMIFS(F14:F420,K14:K420,"0",B14:B420,"1 1*")</f>
        <v>163524628.16</v>
      </c>
      <c r="G13" s="29">
        <f>SUMIFS(G14:G420,K14:K420,"0",B14:B420,"1 1*")</f>
        <v>139573281.51999998</v>
      </c>
      <c r="H13" s="29">
        <f t="shared" si="0"/>
        <v>23999325.370000005</v>
      </c>
      <c r="I13" s="29"/>
      <c r="K13" t="s">
        <v>15</v>
      </c>
    </row>
    <row r="14" spans="1:11" ht="13" x14ac:dyDescent="0.15">
      <c r="B14" s="28" t="s">
        <v>19</v>
      </c>
      <c r="C14" s="28" t="s">
        <v>20</v>
      </c>
      <c r="D14" s="29">
        <f>SUMIFS(D15:D420,K15:K420,"0",B15:B420,"1 1 1*")-SUMIFS(E15:E420,K15:K420,"0",B15:B420,"1 1 1*")</f>
        <v>45468.91</v>
      </c>
      <c r="E14" s="30"/>
      <c r="F14" s="29">
        <f>SUMIFS(F15:F420,K15:K420,"0",B15:B420,"1 1 1*")</f>
        <v>109762314.09</v>
      </c>
      <c r="G14" s="29">
        <f>SUMIFS(G15:G420,K15:K420,"0",B15:B420,"1 1 1*")</f>
        <v>85810967.450000003</v>
      </c>
      <c r="H14" s="29">
        <f t="shared" si="0"/>
        <v>23996815.549999997</v>
      </c>
      <c r="I14" s="29"/>
      <c r="K14" t="s">
        <v>15</v>
      </c>
    </row>
    <row r="15" spans="1:11" ht="13" x14ac:dyDescent="0.15">
      <c r="B15" s="28" t="s">
        <v>21</v>
      </c>
      <c r="C15" s="28" t="s">
        <v>22</v>
      </c>
      <c r="D15" s="29">
        <f>SUMIFS(D16:D420,K16:K420,"0",B16:B420,"1 1 1 2*")-SUMIFS(E16:E420,K16:K420,"0",B16:B420,"1 1 1 2*")</f>
        <v>45468.91</v>
      </c>
      <c r="E15" s="30"/>
      <c r="F15" s="29">
        <f>SUMIFS(F16:F420,K16:K420,"0",B16:B420,"1 1 1 2*")</f>
        <v>109762314.09</v>
      </c>
      <c r="G15" s="29">
        <f>SUMIFS(G16:G420,K16:K420,"0",B16:B420,"1 1 1 2*")</f>
        <v>85810967.450000003</v>
      </c>
      <c r="H15" s="29">
        <f t="shared" si="0"/>
        <v>23996815.549999997</v>
      </c>
      <c r="I15" s="29"/>
      <c r="K15" t="s">
        <v>15</v>
      </c>
    </row>
    <row r="16" spans="1:11" ht="13" x14ac:dyDescent="0.15">
      <c r="B16" s="28" t="s">
        <v>23</v>
      </c>
      <c r="C16" s="28" t="s">
        <v>24</v>
      </c>
      <c r="D16" s="29">
        <f>SUMIFS(D17:D420,K17:K420,"0",B17:B420,"1 1 1 2 1*")-SUMIFS(E17:E420,K17:K420,"0",B17:B420,"1 1 1 2 1*")</f>
        <v>45468.91</v>
      </c>
      <c r="E16" s="30"/>
      <c r="F16" s="29">
        <f>SUMIFS(F17:F420,K17:K420,"0",B17:B420,"1 1 1 2 1*")</f>
        <v>109762314.09</v>
      </c>
      <c r="G16" s="29">
        <f>SUMIFS(G17:G420,K17:K420,"0",B17:B420,"1 1 1 2 1*")</f>
        <v>85810967.450000003</v>
      </c>
      <c r="H16" s="29">
        <f t="shared" si="0"/>
        <v>23996815.549999997</v>
      </c>
      <c r="I16" s="29"/>
      <c r="K16" t="s">
        <v>15</v>
      </c>
    </row>
    <row r="17" spans="2:11" ht="13" x14ac:dyDescent="0.15">
      <c r="B17" s="28" t="s">
        <v>25</v>
      </c>
      <c r="C17" s="28" t="s">
        <v>26</v>
      </c>
      <c r="D17" s="29">
        <f>SUMIFS(D18:D420,K18:K420,"0",B18:B420,"1 1 1 2 1 12*")-SUMIFS(E18:E420,K18:K420,"0",B18:B420,"1 1 1 2 1 12*")</f>
        <v>45468.91</v>
      </c>
      <c r="E17" s="30"/>
      <c r="F17" s="29">
        <f>SUMIFS(F18:F420,K18:K420,"0",B18:B420,"1 1 1 2 1 12*")</f>
        <v>109762314.09</v>
      </c>
      <c r="G17" s="29">
        <f>SUMIFS(G18:G420,K18:K420,"0",B18:B420,"1 1 1 2 1 12*")</f>
        <v>85810967.450000003</v>
      </c>
      <c r="H17" s="29">
        <f t="shared" si="0"/>
        <v>23996815.549999997</v>
      </c>
      <c r="I17" s="29"/>
      <c r="K17" t="s">
        <v>15</v>
      </c>
    </row>
    <row r="18" spans="2:11" ht="13" x14ac:dyDescent="0.15">
      <c r="B18" s="28" t="s">
        <v>27</v>
      </c>
      <c r="C18" s="28" t="s">
        <v>28</v>
      </c>
      <c r="D18" s="29">
        <f>SUMIFS(D19:D420,K19:K420,"0",B19:B420,"1 1 1 2 1 12 31111*")-SUMIFS(E19:E420,K19:K420,"0",B19:B420,"1 1 1 2 1 12 31111*")</f>
        <v>45468.91</v>
      </c>
      <c r="E18" s="30"/>
      <c r="F18" s="29">
        <f>SUMIFS(F19:F420,K19:K420,"0",B19:B420,"1 1 1 2 1 12 31111*")</f>
        <v>109762314.09</v>
      </c>
      <c r="G18" s="29">
        <f>SUMIFS(G19:G420,K19:K420,"0",B19:B420,"1 1 1 2 1 12 31111*")</f>
        <v>85810967.450000003</v>
      </c>
      <c r="H18" s="29">
        <f t="shared" si="0"/>
        <v>23996815.549999997</v>
      </c>
      <c r="I18" s="29"/>
      <c r="K18" t="s">
        <v>15</v>
      </c>
    </row>
    <row r="19" spans="2:11" ht="13" x14ac:dyDescent="0.15">
      <c r="B19" s="28" t="s">
        <v>29</v>
      </c>
      <c r="C19" s="28" t="s">
        <v>30</v>
      </c>
      <c r="D19" s="29">
        <f>SUMIFS(D20:D420,K20:K420,"0",B20:B420,"1 1 1 2 1 12 31111 6*")-SUMIFS(E20:E420,K20:K420,"0",B20:B420,"1 1 1 2 1 12 31111 6*")</f>
        <v>45468.91</v>
      </c>
      <c r="E19" s="30"/>
      <c r="F19" s="29">
        <f>SUMIFS(F20:F420,K20:K420,"0",B20:B420,"1 1 1 2 1 12 31111 6*")</f>
        <v>109762314.09</v>
      </c>
      <c r="G19" s="29">
        <f>SUMIFS(G20:G420,K20:K420,"0",B20:B420,"1 1 1 2 1 12 31111 6*")</f>
        <v>85810967.450000003</v>
      </c>
      <c r="H19" s="29">
        <f t="shared" si="0"/>
        <v>23996815.549999997</v>
      </c>
      <c r="I19" s="29"/>
      <c r="K19" t="s">
        <v>15</v>
      </c>
    </row>
    <row r="20" spans="2:11" ht="13" x14ac:dyDescent="0.15">
      <c r="B20" s="28" t="s">
        <v>31</v>
      </c>
      <c r="C20" s="28" t="s">
        <v>32</v>
      </c>
      <c r="D20" s="29">
        <f>SUMIFS(D21:D420,K21:K420,"0",B21:B420,"1 1 1 2 1 12 31111 6 M78*")-SUMIFS(E21:E420,K21:K420,"0",B21:B420,"1 1 1 2 1 12 31111 6 M78*")</f>
        <v>45468.91</v>
      </c>
      <c r="E20" s="30"/>
      <c r="F20" s="29">
        <f>SUMIFS(F21:F420,K21:K420,"0",B21:B420,"1 1 1 2 1 12 31111 6 M78*")</f>
        <v>109762314.09</v>
      </c>
      <c r="G20" s="29">
        <f>SUMIFS(G21:G420,K21:K420,"0",B21:B420,"1 1 1 2 1 12 31111 6 M78*")</f>
        <v>85810967.450000003</v>
      </c>
      <c r="H20" s="29">
        <f t="shared" si="0"/>
        <v>23996815.549999997</v>
      </c>
      <c r="I20" s="29"/>
      <c r="K20" t="s">
        <v>15</v>
      </c>
    </row>
    <row r="21" spans="2:11" ht="22" x14ac:dyDescent="0.15">
      <c r="B21" s="28" t="s">
        <v>33</v>
      </c>
      <c r="C21" s="28" t="s">
        <v>34</v>
      </c>
      <c r="D21" s="29">
        <f>SUMIFS(D22:D420,K22:K420,"0",B22:B420,"1 1 1 2 1 12 31111 6 M78 00002*")-SUMIFS(E22:E420,K22:K420,"0",B22:B420,"1 1 1 2 1 12 31111 6 M78 00002*")</f>
        <v>45468.91</v>
      </c>
      <c r="E21" s="30"/>
      <c r="F21" s="29">
        <f>SUMIFS(F22:F420,K22:K420,"0",B22:B420,"1 1 1 2 1 12 31111 6 M78 00002*")</f>
        <v>109762314.09</v>
      </c>
      <c r="G21" s="29">
        <f>SUMIFS(G22:G420,K22:K420,"0",B22:B420,"1 1 1 2 1 12 31111 6 M78 00002*")</f>
        <v>85810967.450000003</v>
      </c>
      <c r="H21" s="29">
        <f t="shared" si="0"/>
        <v>23996815.549999997</v>
      </c>
      <c r="I21" s="29"/>
      <c r="K21" t="s">
        <v>15</v>
      </c>
    </row>
    <row r="22" spans="2:11" ht="22" x14ac:dyDescent="0.15">
      <c r="B22" s="28" t="s">
        <v>35</v>
      </c>
      <c r="C22" s="28" t="s">
        <v>36</v>
      </c>
      <c r="D22" s="29">
        <f>SUMIFS(D23:D420,K23:K420,"0",B23:B420,"1 1 1 2 1 12 31111 6 M78 00002 002*")-SUMIFS(E23:E420,K23:K420,"0",B23:B420,"1 1 1 2 1 12 31111 6 M78 00002 002*")</f>
        <v>45468.91</v>
      </c>
      <c r="E22" s="30"/>
      <c r="F22" s="29">
        <f>SUMIFS(F23:F420,K23:K420,"0",B23:B420,"1 1 1 2 1 12 31111 6 M78 00002 002*")</f>
        <v>109762314.09</v>
      </c>
      <c r="G22" s="29">
        <f>SUMIFS(G23:G420,K23:K420,"0",B23:B420,"1 1 1 2 1 12 31111 6 M78 00002 002*")</f>
        <v>85810967.450000003</v>
      </c>
      <c r="H22" s="29">
        <f t="shared" si="0"/>
        <v>23996815.549999997</v>
      </c>
      <c r="I22" s="29"/>
      <c r="K22" t="s">
        <v>15</v>
      </c>
    </row>
    <row r="23" spans="2:11" ht="22" x14ac:dyDescent="0.15">
      <c r="B23" s="31" t="s">
        <v>37</v>
      </c>
      <c r="C23" s="31" t="s">
        <v>38</v>
      </c>
      <c r="D23" s="32">
        <v>16427.53</v>
      </c>
      <c r="E23" s="32"/>
      <c r="F23" s="32">
        <v>0</v>
      </c>
      <c r="G23" s="32">
        <v>0</v>
      </c>
      <c r="H23" s="32">
        <f t="shared" si="0"/>
        <v>16427.53</v>
      </c>
      <c r="I23" s="32"/>
      <c r="K23" t="s">
        <v>39</v>
      </c>
    </row>
    <row r="24" spans="2:11" ht="22" x14ac:dyDescent="0.15">
      <c r="B24" s="31" t="s">
        <v>40</v>
      </c>
      <c r="C24" s="31" t="s">
        <v>41</v>
      </c>
      <c r="D24" s="32">
        <v>0</v>
      </c>
      <c r="E24" s="32"/>
      <c r="F24" s="32">
        <v>32347661.199999999</v>
      </c>
      <c r="G24" s="32">
        <v>24000000</v>
      </c>
      <c r="H24" s="32">
        <f t="shared" si="0"/>
        <v>8347661.1999999993</v>
      </c>
      <c r="I24" s="32"/>
      <c r="K24" t="s">
        <v>39</v>
      </c>
    </row>
    <row r="25" spans="2:11" ht="22" x14ac:dyDescent="0.15">
      <c r="B25" s="31" t="s">
        <v>42</v>
      </c>
      <c r="C25" s="31" t="s">
        <v>43</v>
      </c>
      <c r="D25" s="32">
        <v>29041.38</v>
      </c>
      <c r="E25" s="32"/>
      <c r="F25" s="32">
        <v>0</v>
      </c>
      <c r="G25" s="32">
        <v>0</v>
      </c>
      <c r="H25" s="32">
        <f t="shared" si="0"/>
        <v>29041.38</v>
      </c>
      <c r="I25" s="32"/>
      <c r="K25" t="s">
        <v>39</v>
      </c>
    </row>
    <row r="26" spans="2:11" ht="22" x14ac:dyDescent="0.15">
      <c r="B26" s="31" t="s">
        <v>44</v>
      </c>
      <c r="C26" s="31" t="s">
        <v>45</v>
      </c>
      <c r="D26" s="32">
        <v>0</v>
      </c>
      <c r="E26" s="32"/>
      <c r="F26" s="32">
        <v>77414652.890000001</v>
      </c>
      <c r="G26" s="32">
        <v>61810967.450000003</v>
      </c>
      <c r="H26" s="32">
        <f t="shared" si="0"/>
        <v>15603685.439999998</v>
      </c>
      <c r="I26" s="32"/>
      <c r="K26" t="s">
        <v>39</v>
      </c>
    </row>
    <row r="27" spans="2:11" ht="13" x14ac:dyDescent="0.15">
      <c r="B27" s="28" t="s">
        <v>46</v>
      </c>
      <c r="C27" s="28" t="s">
        <v>47</v>
      </c>
      <c r="D27" s="29">
        <f>SUMIFS(D28:D420,K28:K420,"0",B28:B420,"1 1 2*")-SUMIFS(E28:E420,K28:K420,"0",B28:B420,"1 1 2*")</f>
        <v>-1.06</v>
      </c>
      <c r="E27" s="30"/>
      <c r="F27" s="29">
        <f>SUMIFS(F28:F420,K28:K420,"0",B28:B420,"1 1 2*")</f>
        <v>53762314.070000008</v>
      </c>
      <c r="G27" s="29">
        <f>SUMIFS(G28:G420,K28:K420,"0",B28:B420,"1 1 2*")</f>
        <v>53762314.070000008</v>
      </c>
      <c r="H27" s="29">
        <f t="shared" si="0"/>
        <v>-1.0600000023841858</v>
      </c>
      <c r="I27" s="29"/>
      <c r="K27" t="s">
        <v>15</v>
      </c>
    </row>
    <row r="28" spans="2:11" ht="13" x14ac:dyDescent="0.15">
      <c r="B28" s="28" t="s">
        <v>48</v>
      </c>
      <c r="C28" s="28" t="s">
        <v>49</v>
      </c>
      <c r="D28" s="29">
        <f>SUMIFS(D29:D420,K29:K420,"0",B29:B420,"1 1 2 2*")-SUMIFS(E29:E420,K29:K420,"0",B29:B420,"1 1 2 2*")</f>
        <v>0</v>
      </c>
      <c r="E28" s="30"/>
      <c r="F28" s="29">
        <f>SUMIFS(F29:F420,K29:K420,"0",B29:B420,"1 1 2 2*")</f>
        <v>52311496.200000003</v>
      </c>
      <c r="G28" s="29">
        <f>SUMIFS(G29:G420,K29:K420,"0",B29:B420,"1 1 2 2*")</f>
        <v>52311496.200000003</v>
      </c>
      <c r="H28" s="29">
        <f t="shared" si="0"/>
        <v>0</v>
      </c>
      <c r="I28" s="29"/>
      <c r="K28" t="s">
        <v>15</v>
      </c>
    </row>
    <row r="29" spans="2:11" ht="13" x14ac:dyDescent="0.15">
      <c r="B29" s="28" t="s">
        <v>50</v>
      </c>
      <c r="C29" s="28" t="s">
        <v>51</v>
      </c>
      <c r="D29" s="29">
        <f>SUMIFS(D30:D420,K30:K420,"0",B30:B420,"1 1 2 2 5*")-SUMIFS(E30:E420,K30:K420,"0",B30:B420,"1 1 2 2 5*")</f>
        <v>0</v>
      </c>
      <c r="E29" s="30"/>
      <c r="F29" s="29">
        <f>SUMIFS(F30:F420,K30:K420,"0",B30:B420,"1 1 2 2 5*")</f>
        <v>52311496.200000003</v>
      </c>
      <c r="G29" s="29">
        <f>SUMIFS(G30:G420,K30:K420,"0",B30:B420,"1 1 2 2 5*")</f>
        <v>52311496.200000003</v>
      </c>
      <c r="H29" s="29">
        <f t="shared" si="0"/>
        <v>0</v>
      </c>
      <c r="I29" s="29"/>
      <c r="K29" t="s">
        <v>15</v>
      </c>
    </row>
    <row r="30" spans="2:11" ht="13" x14ac:dyDescent="0.15">
      <c r="B30" s="28" t="s">
        <v>52</v>
      </c>
      <c r="C30" s="28" t="s">
        <v>26</v>
      </c>
      <c r="D30" s="29">
        <f>SUMIFS(D31:D420,K31:K420,"0",B31:B420,"1 1 2 2 5 12*")-SUMIFS(E31:E420,K31:K420,"0",B31:B420,"1 1 2 2 5 12*")</f>
        <v>0</v>
      </c>
      <c r="E30" s="30"/>
      <c r="F30" s="29">
        <f>SUMIFS(F31:F420,K31:K420,"0",B31:B420,"1 1 2 2 5 12*")</f>
        <v>52311496.200000003</v>
      </c>
      <c r="G30" s="29">
        <f>SUMIFS(G31:G420,K31:K420,"0",B31:B420,"1 1 2 2 5 12*")</f>
        <v>52311496.200000003</v>
      </c>
      <c r="H30" s="29">
        <f t="shared" si="0"/>
        <v>0</v>
      </c>
      <c r="I30" s="29"/>
      <c r="K30" t="s">
        <v>15</v>
      </c>
    </row>
    <row r="31" spans="2:11" ht="13" x14ac:dyDescent="0.15">
      <c r="B31" s="28" t="s">
        <v>53</v>
      </c>
      <c r="C31" s="28" t="s">
        <v>28</v>
      </c>
      <c r="D31" s="29">
        <f>SUMIFS(D32:D420,K32:K420,"0",B32:B420,"1 1 2 2 5 12 31111*")-SUMIFS(E32:E420,K32:K420,"0",B32:B420,"1 1 2 2 5 12 31111*")</f>
        <v>0</v>
      </c>
      <c r="E31" s="30"/>
      <c r="F31" s="29">
        <f>SUMIFS(F32:F420,K32:K420,"0",B32:B420,"1 1 2 2 5 12 31111*")</f>
        <v>52311496.200000003</v>
      </c>
      <c r="G31" s="29">
        <f>SUMIFS(G32:G420,K32:K420,"0",B32:B420,"1 1 2 2 5 12 31111*")</f>
        <v>52311496.200000003</v>
      </c>
      <c r="H31" s="29">
        <f t="shared" si="0"/>
        <v>0</v>
      </c>
      <c r="I31" s="29"/>
      <c r="K31" t="s">
        <v>15</v>
      </c>
    </row>
    <row r="32" spans="2:11" ht="13" x14ac:dyDescent="0.15">
      <c r="B32" s="28" t="s">
        <v>54</v>
      </c>
      <c r="C32" s="28" t="s">
        <v>30</v>
      </c>
      <c r="D32" s="29">
        <f>SUMIFS(D33:D420,K33:K420,"0",B33:B420,"1 1 2 2 5 12 31111 6*")-SUMIFS(E33:E420,K33:K420,"0",B33:B420,"1 1 2 2 5 12 31111 6*")</f>
        <v>0</v>
      </c>
      <c r="E32" s="30"/>
      <c r="F32" s="29">
        <f>SUMIFS(F33:F420,K33:K420,"0",B33:B420,"1 1 2 2 5 12 31111 6*")</f>
        <v>52311496.200000003</v>
      </c>
      <c r="G32" s="29">
        <f>SUMIFS(G33:G420,K33:K420,"0",B33:B420,"1 1 2 2 5 12 31111 6*")</f>
        <v>52311496.200000003</v>
      </c>
      <c r="H32" s="29">
        <f t="shared" si="0"/>
        <v>0</v>
      </c>
      <c r="I32" s="29"/>
      <c r="K32" t="s">
        <v>15</v>
      </c>
    </row>
    <row r="33" spans="2:11" ht="13" x14ac:dyDescent="0.15">
      <c r="B33" s="28" t="s">
        <v>55</v>
      </c>
      <c r="C33" s="28" t="s">
        <v>32</v>
      </c>
      <c r="D33" s="29">
        <f>SUMIFS(D34:D420,K34:K420,"0",B34:B420,"1 1 2 2 5 12 31111 6 M78*")-SUMIFS(E34:E420,K34:K420,"0",B34:B420,"1 1 2 2 5 12 31111 6 M78*")</f>
        <v>0</v>
      </c>
      <c r="E33" s="30"/>
      <c r="F33" s="29">
        <f>SUMIFS(F34:F420,K34:K420,"0",B34:B420,"1 1 2 2 5 12 31111 6 M78*")</f>
        <v>52311496.200000003</v>
      </c>
      <c r="G33" s="29">
        <f>SUMIFS(G34:G420,K34:K420,"0",B34:B420,"1 1 2 2 5 12 31111 6 M78*")</f>
        <v>52311496.200000003</v>
      </c>
      <c r="H33" s="29">
        <f t="shared" si="0"/>
        <v>0</v>
      </c>
      <c r="I33" s="29"/>
      <c r="K33" t="s">
        <v>15</v>
      </c>
    </row>
    <row r="34" spans="2:11" ht="22" x14ac:dyDescent="0.15">
      <c r="B34" s="28" t="s">
        <v>56</v>
      </c>
      <c r="C34" s="28" t="s">
        <v>34</v>
      </c>
      <c r="D34" s="29">
        <f>SUMIFS(D35:D420,K35:K420,"0",B35:B420,"1 1 2 2 5 12 31111 6 M78 00002*")-SUMIFS(E35:E420,K35:K420,"0",B35:B420,"1 1 2 2 5 12 31111 6 M78 00002*")</f>
        <v>0</v>
      </c>
      <c r="E34" s="30"/>
      <c r="F34" s="29">
        <f>SUMIFS(F35:F420,K35:K420,"0",B35:B420,"1 1 2 2 5 12 31111 6 M78 00002*")</f>
        <v>52311496.200000003</v>
      </c>
      <c r="G34" s="29">
        <f>SUMIFS(G35:G420,K35:K420,"0",B35:B420,"1 1 2 2 5 12 31111 6 M78 00002*")</f>
        <v>52311496.200000003</v>
      </c>
      <c r="H34" s="29">
        <f t="shared" si="0"/>
        <v>0</v>
      </c>
      <c r="I34" s="29"/>
      <c r="K34" t="s">
        <v>15</v>
      </c>
    </row>
    <row r="35" spans="2:11" ht="22" x14ac:dyDescent="0.15">
      <c r="B35" s="28" t="s">
        <v>57</v>
      </c>
      <c r="C35" s="28" t="s">
        <v>36</v>
      </c>
      <c r="D35" s="29">
        <f>SUMIFS(D36:D420,K36:K420,"0",B36:B420,"1 1 2 2 5 12 31111 6 M78 00002 002*")-SUMIFS(E36:E420,K36:K420,"0",B36:B420,"1 1 2 2 5 12 31111 6 M78 00002 002*")</f>
        <v>0</v>
      </c>
      <c r="E35" s="30"/>
      <c r="F35" s="29">
        <f>SUMIFS(F36:F420,K36:K420,"0",B36:B420,"1 1 2 2 5 12 31111 6 M78 00002 002*")</f>
        <v>52311496.200000003</v>
      </c>
      <c r="G35" s="29">
        <f>SUMIFS(G36:G420,K36:K420,"0",B36:B420,"1 1 2 2 5 12 31111 6 M78 00002 002*")</f>
        <v>52311496.200000003</v>
      </c>
      <c r="H35" s="29">
        <f t="shared" si="0"/>
        <v>0</v>
      </c>
      <c r="I35" s="29"/>
      <c r="K35" t="s">
        <v>15</v>
      </c>
    </row>
    <row r="36" spans="2:11" ht="22" x14ac:dyDescent="0.15">
      <c r="B36" s="31" t="s">
        <v>58</v>
      </c>
      <c r="C36" s="31" t="s">
        <v>59</v>
      </c>
      <c r="D36" s="32">
        <v>0</v>
      </c>
      <c r="E36" s="32"/>
      <c r="F36" s="32">
        <v>52311496.200000003</v>
      </c>
      <c r="G36" s="32">
        <v>52311496.200000003</v>
      </c>
      <c r="H36" s="32">
        <f t="shared" si="0"/>
        <v>0</v>
      </c>
      <c r="I36" s="32"/>
      <c r="K36" t="s">
        <v>39</v>
      </c>
    </row>
    <row r="37" spans="2:11" ht="13" x14ac:dyDescent="0.15">
      <c r="B37" s="28" t="s">
        <v>60</v>
      </c>
      <c r="C37" s="28" t="s">
        <v>61</v>
      </c>
      <c r="D37" s="29">
        <f>SUMIFS(D38:D420,K38:K420,"0",B38:B420,"1 1 2 3*")-SUMIFS(E38:E420,K38:K420,"0",B38:B420,"1 1 2 3*")</f>
        <v>-1.06</v>
      </c>
      <c r="E37" s="30"/>
      <c r="F37" s="29">
        <f>SUMIFS(F38:F420,K38:K420,"0",B38:B420,"1 1 2 3*")</f>
        <v>1047809.95</v>
      </c>
      <c r="G37" s="29">
        <f>SUMIFS(G38:G420,K38:K420,"0",B38:B420,"1 1 2 3*")</f>
        <v>1047809.95</v>
      </c>
      <c r="H37" s="29">
        <f t="shared" si="0"/>
        <v>-1.0600000000558794</v>
      </c>
      <c r="I37" s="29"/>
      <c r="K37" t="s">
        <v>15</v>
      </c>
    </row>
    <row r="38" spans="2:11" ht="13" x14ac:dyDescent="0.15">
      <c r="B38" s="28" t="s">
        <v>62</v>
      </c>
      <c r="C38" s="28" t="s">
        <v>63</v>
      </c>
      <c r="D38" s="29">
        <f>SUMIFS(D39:D420,K39:K420,"0",B39:B420,"1 1 2 3 1*")-SUMIFS(E39:E420,K39:K420,"0",B39:B420,"1 1 2 3 1*")</f>
        <v>-1.06</v>
      </c>
      <c r="E38" s="30"/>
      <c r="F38" s="29">
        <f>SUMIFS(F39:F420,K39:K420,"0",B39:B420,"1 1 2 3 1*")</f>
        <v>1047809.95</v>
      </c>
      <c r="G38" s="29">
        <f>SUMIFS(G39:G420,K39:K420,"0",B39:B420,"1 1 2 3 1*")</f>
        <v>1047809.95</v>
      </c>
      <c r="H38" s="29">
        <f t="shared" si="0"/>
        <v>-1.0600000000558794</v>
      </c>
      <c r="I38" s="29"/>
      <c r="K38" t="s">
        <v>15</v>
      </c>
    </row>
    <row r="39" spans="2:11" ht="13" x14ac:dyDescent="0.15">
      <c r="B39" s="28" t="s">
        <v>64</v>
      </c>
      <c r="C39" s="28" t="s">
        <v>26</v>
      </c>
      <c r="D39" s="29">
        <f>SUMIFS(D40:D420,K40:K420,"0",B40:B420,"1 1 2 3 1 12*")-SUMIFS(E40:E420,K40:K420,"0",B40:B420,"1 1 2 3 1 12*")</f>
        <v>-1.06</v>
      </c>
      <c r="E39" s="30"/>
      <c r="F39" s="29">
        <f>SUMIFS(F40:F420,K40:K420,"0",B40:B420,"1 1 2 3 1 12*")</f>
        <v>1047809.95</v>
      </c>
      <c r="G39" s="29">
        <f>SUMIFS(G40:G420,K40:K420,"0",B40:B420,"1 1 2 3 1 12*")</f>
        <v>1047809.95</v>
      </c>
      <c r="H39" s="29">
        <f t="shared" si="0"/>
        <v>-1.0600000000558794</v>
      </c>
      <c r="I39" s="29"/>
      <c r="K39" t="s">
        <v>15</v>
      </c>
    </row>
    <row r="40" spans="2:11" ht="13" x14ac:dyDescent="0.15">
      <c r="B40" s="28" t="s">
        <v>65</v>
      </c>
      <c r="C40" s="28" t="s">
        <v>28</v>
      </c>
      <c r="D40" s="29">
        <f>SUMIFS(D41:D420,K41:K420,"0",B41:B420,"1 1 2 3 1 12 31111*")-SUMIFS(E41:E420,K41:K420,"0",B41:B420,"1 1 2 3 1 12 31111*")</f>
        <v>-1.06</v>
      </c>
      <c r="E40" s="30"/>
      <c r="F40" s="29">
        <f>SUMIFS(F41:F420,K41:K420,"0",B41:B420,"1 1 2 3 1 12 31111*")</f>
        <v>1047809.95</v>
      </c>
      <c r="G40" s="29">
        <f>SUMIFS(G41:G420,K41:K420,"0",B41:B420,"1 1 2 3 1 12 31111*")</f>
        <v>1047809.95</v>
      </c>
      <c r="H40" s="29">
        <f t="shared" si="0"/>
        <v>-1.0600000000558794</v>
      </c>
      <c r="I40" s="29"/>
      <c r="K40" t="s">
        <v>15</v>
      </c>
    </row>
    <row r="41" spans="2:11" ht="13" x14ac:dyDescent="0.15">
      <c r="B41" s="28" t="s">
        <v>66</v>
      </c>
      <c r="C41" s="28" t="s">
        <v>30</v>
      </c>
      <c r="D41" s="29">
        <f>SUMIFS(D42:D420,K42:K420,"0",B42:B420,"1 1 2 3 1 12 31111 6*")-SUMIFS(E42:E420,K42:K420,"0",B42:B420,"1 1 2 3 1 12 31111 6*")</f>
        <v>-1.06</v>
      </c>
      <c r="E41" s="30"/>
      <c r="F41" s="29">
        <f>SUMIFS(F42:F420,K42:K420,"0",B42:B420,"1 1 2 3 1 12 31111 6*")</f>
        <v>1047809.95</v>
      </c>
      <c r="G41" s="29">
        <f>SUMIFS(G42:G420,K42:K420,"0",B42:B420,"1 1 2 3 1 12 31111 6*")</f>
        <v>1047809.95</v>
      </c>
      <c r="H41" s="29">
        <f t="shared" si="0"/>
        <v>-1.0600000000558794</v>
      </c>
      <c r="I41" s="29"/>
      <c r="K41" t="s">
        <v>15</v>
      </c>
    </row>
    <row r="42" spans="2:11" ht="13" x14ac:dyDescent="0.15">
      <c r="B42" s="28" t="s">
        <v>67</v>
      </c>
      <c r="C42" s="28" t="s">
        <v>32</v>
      </c>
      <c r="D42" s="29">
        <f>SUMIFS(D43:D420,K43:K420,"0",B43:B420,"1 1 2 3 1 12 31111 6 M78*")-SUMIFS(E43:E420,K43:K420,"0",B43:B420,"1 1 2 3 1 12 31111 6 M78*")</f>
        <v>-1.06</v>
      </c>
      <c r="E42" s="30"/>
      <c r="F42" s="29">
        <f>SUMIFS(F43:F420,K43:K420,"0",B43:B420,"1 1 2 3 1 12 31111 6 M78*")</f>
        <v>1047809.95</v>
      </c>
      <c r="G42" s="29">
        <f>SUMIFS(G43:G420,K43:K420,"0",B43:B420,"1 1 2 3 1 12 31111 6 M78*")</f>
        <v>1047809.95</v>
      </c>
      <c r="H42" s="29">
        <f t="shared" si="0"/>
        <v>-1.0600000000558794</v>
      </c>
      <c r="I42" s="29"/>
      <c r="K42" t="s">
        <v>15</v>
      </c>
    </row>
    <row r="43" spans="2:11" ht="22" x14ac:dyDescent="0.15">
      <c r="B43" s="28" t="s">
        <v>68</v>
      </c>
      <c r="C43" s="28" t="s">
        <v>34</v>
      </c>
      <c r="D43" s="29">
        <f>SUMIFS(D44:D420,K44:K420,"0",B44:B420,"1 1 2 3 1 12 31111 6 M78 00002*")-SUMIFS(E44:E420,K44:K420,"0",B44:B420,"1 1 2 3 1 12 31111 6 M78 00002*")</f>
        <v>-1.06</v>
      </c>
      <c r="E43" s="30"/>
      <c r="F43" s="29">
        <f>SUMIFS(F44:F420,K44:K420,"0",B44:B420,"1 1 2 3 1 12 31111 6 M78 00002*")</f>
        <v>1047809.95</v>
      </c>
      <c r="G43" s="29">
        <f>SUMIFS(G44:G420,K44:K420,"0",B44:B420,"1 1 2 3 1 12 31111 6 M78 00002*")</f>
        <v>1047809.95</v>
      </c>
      <c r="H43" s="29">
        <f t="shared" si="0"/>
        <v>-1.0600000000558794</v>
      </c>
      <c r="I43" s="29"/>
      <c r="K43" t="s">
        <v>15</v>
      </c>
    </row>
    <row r="44" spans="2:11" ht="22" x14ac:dyDescent="0.15">
      <c r="B44" s="28" t="s">
        <v>69</v>
      </c>
      <c r="C44" s="28" t="s">
        <v>70</v>
      </c>
      <c r="D44" s="29">
        <f>SUMIFS(D45:D420,K45:K420,"0",B45:B420,"1 1 2 3 1 12 31111 6 M78 00002 002*")-SUMIFS(E45:E420,K45:K420,"0",B45:B420,"1 1 2 3 1 12 31111 6 M78 00002 002*")</f>
        <v>-1.06</v>
      </c>
      <c r="E44" s="30"/>
      <c r="F44" s="29">
        <f>SUMIFS(F45:F420,K45:K420,"0",B45:B420,"1 1 2 3 1 12 31111 6 M78 00002 002*")</f>
        <v>1047809.95</v>
      </c>
      <c r="G44" s="29">
        <f>SUMIFS(G45:G420,K45:K420,"0",B45:B420,"1 1 2 3 1 12 31111 6 M78 00002 002*")</f>
        <v>1047809.95</v>
      </c>
      <c r="H44" s="29">
        <f t="shared" si="0"/>
        <v>-1.0600000000558794</v>
      </c>
      <c r="I44" s="29"/>
      <c r="K44" t="s">
        <v>15</v>
      </c>
    </row>
    <row r="45" spans="2:11" ht="22" x14ac:dyDescent="0.15">
      <c r="B45" s="31" t="s">
        <v>71</v>
      </c>
      <c r="C45" s="31" t="s">
        <v>72</v>
      </c>
      <c r="D45" s="32">
        <v>-1.06</v>
      </c>
      <c r="E45" s="32"/>
      <c r="F45" s="32">
        <v>1047809.95</v>
      </c>
      <c r="G45" s="32">
        <v>1047809.95</v>
      </c>
      <c r="H45" s="32">
        <f t="shared" si="0"/>
        <v>-1.0600000000558794</v>
      </c>
      <c r="I45" s="32"/>
      <c r="K45" t="s">
        <v>39</v>
      </c>
    </row>
    <row r="46" spans="2:11" ht="13" x14ac:dyDescent="0.15">
      <c r="B46" s="28" t="s">
        <v>73</v>
      </c>
      <c r="C46" s="28" t="s">
        <v>74</v>
      </c>
      <c r="D46" s="29">
        <f>SUMIFS(D47:D420,K47:K420,"0",B47:B420,"1 1 2 4*")-SUMIFS(E47:E420,K47:K420,"0",B47:B420,"1 1 2 4*")</f>
        <v>0</v>
      </c>
      <c r="E46" s="30"/>
      <c r="F46" s="29">
        <f>SUMIFS(F47:F420,K47:K420,"0",B47:B420,"1 1 2 4*")</f>
        <v>403007.92</v>
      </c>
      <c r="G46" s="29">
        <f>SUMIFS(G47:G420,K47:K420,"0",B47:B420,"1 1 2 4*")</f>
        <v>403007.92</v>
      </c>
      <c r="H46" s="29">
        <f t="shared" si="0"/>
        <v>0</v>
      </c>
      <c r="I46" s="29"/>
      <c r="K46" t="s">
        <v>15</v>
      </c>
    </row>
    <row r="47" spans="2:11" ht="13" x14ac:dyDescent="0.15">
      <c r="B47" s="28" t="s">
        <v>75</v>
      </c>
      <c r="C47" s="28" t="s">
        <v>76</v>
      </c>
      <c r="D47" s="29">
        <f>SUMIFS(D48:D420,K48:K420,"0",B48:B420,"1 1 2 4 4*")-SUMIFS(E48:E420,K48:K420,"0",B48:B420,"1 1 2 4 4*")</f>
        <v>0</v>
      </c>
      <c r="E47" s="30"/>
      <c r="F47" s="29">
        <f>SUMIFS(F48:F420,K48:K420,"0",B48:B420,"1 1 2 4 4*")</f>
        <v>403007.92</v>
      </c>
      <c r="G47" s="29">
        <f>SUMIFS(G48:G420,K48:K420,"0",B48:B420,"1 1 2 4 4*")</f>
        <v>403007.92</v>
      </c>
      <c r="H47" s="29">
        <f t="shared" si="0"/>
        <v>0</v>
      </c>
      <c r="I47" s="29"/>
      <c r="K47" t="s">
        <v>15</v>
      </c>
    </row>
    <row r="48" spans="2:11" ht="13" x14ac:dyDescent="0.15">
      <c r="B48" s="28" t="s">
        <v>77</v>
      </c>
      <c r="C48" s="28" t="s">
        <v>26</v>
      </c>
      <c r="D48" s="29">
        <f>SUMIFS(D49:D420,K49:K420,"0",B49:B420,"1 1 2 4 4 12*")-SUMIFS(E49:E420,K49:K420,"0",B49:B420,"1 1 2 4 4 12*")</f>
        <v>0</v>
      </c>
      <c r="E48" s="30"/>
      <c r="F48" s="29">
        <f>SUMIFS(F49:F420,K49:K420,"0",B49:B420,"1 1 2 4 4 12*")</f>
        <v>403007.92</v>
      </c>
      <c r="G48" s="29">
        <f>SUMIFS(G49:G420,K49:K420,"0",B49:B420,"1 1 2 4 4 12*")</f>
        <v>403007.92</v>
      </c>
      <c r="H48" s="29">
        <f t="shared" si="0"/>
        <v>0</v>
      </c>
      <c r="I48" s="29"/>
      <c r="K48" t="s">
        <v>15</v>
      </c>
    </row>
    <row r="49" spans="2:11" ht="13" x14ac:dyDescent="0.15">
      <c r="B49" s="28" t="s">
        <v>78</v>
      </c>
      <c r="C49" s="28" t="s">
        <v>28</v>
      </c>
      <c r="D49" s="29">
        <f>SUMIFS(D50:D420,K50:K420,"0",B50:B420,"1 1 2 4 4 12 31111*")-SUMIFS(E50:E420,K50:K420,"0",B50:B420,"1 1 2 4 4 12 31111*")</f>
        <v>0</v>
      </c>
      <c r="E49" s="30"/>
      <c r="F49" s="29">
        <f>SUMIFS(F50:F420,K50:K420,"0",B50:B420,"1 1 2 4 4 12 31111*")</f>
        <v>403007.92</v>
      </c>
      <c r="G49" s="29">
        <f>SUMIFS(G50:G420,K50:K420,"0",B50:B420,"1 1 2 4 4 12 31111*")</f>
        <v>403007.92</v>
      </c>
      <c r="H49" s="29">
        <f t="shared" si="0"/>
        <v>0</v>
      </c>
      <c r="I49" s="29"/>
      <c r="K49" t="s">
        <v>15</v>
      </c>
    </row>
    <row r="50" spans="2:11" ht="13" x14ac:dyDescent="0.15">
      <c r="B50" s="28" t="s">
        <v>79</v>
      </c>
      <c r="C50" s="28" t="s">
        <v>30</v>
      </c>
      <c r="D50" s="29">
        <f>SUMIFS(D51:D420,K51:K420,"0",B51:B420,"1 1 2 4 4 12 31111 6*")-SUMIFS(E51:E420,K51:K420,"0",B51:B420,"1 1 2 4 4 12 31111 6*")</f>
        <v>0</v>
      </c>
      <c r="E50" s="30"/>
      <c r="F50" s="29">
        <f>SUMIFS(F51:F420,K51:K420,"0",B51:B420,"1 1 2 4 4 12 31111 6*")</f>
        <v>403007.92</v>
      </c>
      <c r="G50" s="29">
        <f>SUMIFS(G51:G420,K51:K420,"0",B51:B420,"1 1 2 4 4 12 31111 6*")</f>
        <v>403007.92</v>
      </c>
      <c r="H50" s="29">
        <f t="shared" si="0"/>
        <v>0</v>
      </c>
      <c r="I50" s="29"/>
      <c r="K50" t="s">
        <v>15</v>
      </c>
    </row>
    <row r="51" spans="2:11" ht="13" x14ac:dyDescent="0.15">
      <c r="B51" s="28" t="s">
        <v>80</v>
      </c>
      <c r="C51" s="28" t="s">
        <v>32</v>
      </c>
      <c r="D51" s="29">
        <f>SUMIFS(D52:D420,K52:K420,"0",B52:B420,"1 1 2 4 4 12 31111 6 M78*")-SUMIFS(E52:E420,K52:K420,"0",B52:B420,"1 1 2 4 4 12 31111 6 M78*")</f>
        <v>0</v>
      </c>
      <c r="E51" s="30"/>
      <c r="F51" s="29">
        <f>SUMIFS(F52:F420,K52:K420,"0",B52:B420,"1 1 2 4 4 12 31111 6 M78*")</f>
        <v>403007.92</v>
      </c>
      <c r="G51" s="29">
        <f>SUMIFS(G52:G420,K52:K420,"0",B52:B420,"1 1 2 4 4 12 31111 6 M78*")</f>
        <v>403007.92</v>
      </c>
      <c r="H51" s="29">
        <f t="shared" si="0"/>
        <v>0</v>
      </c>
      <c r="I51" s="29"/>
      <c r="K51" t="s">
        <v>15</v>
      </c>
    </row>
    <row r="52" spans="2:11" ht="22" x14ac:dyDescent="0.15">
      <c r="B52" s="28" t="s">
        <v>81</v>
      </c>
      <c r="C52" s="28" t="s">
        <v>34</v>
      </c>
      <c r="D52" s="29">
        <f>SUMIFS(D53:D420,K53:K420,"0",B53:B420,"1 1 2 4 4 12 31111 6 M78 00002*")-SUMIFS(E53:E420,K53:K420,"0",B53:B420,"1 1 2 4 4 12 31111 6 M78 00002*")</f>
        <v>0</v>
      </c>
      <c r="E52" s="30"/>
      <c r="F52" s="29">
        <f>SUMIFS(F53:F420,K53:K420,"0",B53:B420,"1 1 2 4 4 12 31111 6 M78 00002*")</f>
        <v>403007.92</v>
      </c>
      <c r="G52" s="29">
        <f>SUMIFS(G53:G420,K53:K420,"0",B53:B420,"1 1 2 4 4 12 31111 6 M78 00002*")</f>
        <v>403007.92</v>
      </c>
      <c r="H52" s="29">
        <f t="shared" si="0"/>
        <v>0</v>
      </c>
      <c r="I52" s="29"/>
      <c r="K52" t="s">
        <v>15</v>
      </c>
    </row>
    <row r="53" spans="2:11" ht="22" x14ac:dyDescent="0.15">
      <c r="B53" s="28" t="s">
        <v>82</v>
      </c>
      <c r="C53" s="28" t="s">
        <v>83</v>
      </c>
      <c r="D53" s="29">
        <f>SUMIFS(D54:D420,K54:K420,"0",B54:B420,"1 1 2 4 4 12 31111 6 M78 00002 002*")-SUMIFS(E54:E420,K54:K420,"0",B54:B420,"1 1 2 4 4 12 31111 6 M78 00002 002*")</f>
        <v>0</v>
      </c>
      <c r="E53" s="30"/>
      <c r="F53" s="29">
        <f>SUMIFS(F54:F420,K54:K420,"0",B54:B420,"1 1 2 4 4 12 31111 6 M78 00002 002*")</f>
        <v>403007.92</v>
      </c>
      <c r="G53" s="29">
        <f>SUMIFS(G54:G420,K54:K420,"0",B54:B420,"1 1 2 4 4 12 31111 6 M78 00002 002*")</f>
        <v>403007.92</v>
      </c>
      <c r="H53" s="29">
        <f t="shared" si="0"/>
        <v>0</v>
      </c>
      <c r="I53" s="29"/>
      <c r="K53" t="s">
        <v>15</v>
      </c>
    </row>
    <row r="54" spans="2:11" ht="22" x14ac:dyDescent="0.15">
      <c r="B54" s="31" t="s">
        <v>84</v>
      </c>
      <c r="C54" s="31" t="s">
        <v>85</v>
      </c>
      <c r="D54" s="32">
        <v>0</v>
      </c>
      <c r="E54" s="32"/>
      <c r="F54" s="32">
        <v>403007.92</v>
      </c>
      <c r="G54" s="32">
        <v>403007.92</v>
      </c>
      <c r="H54" s="32">
        <f t="shared" si="0"/>
        <v>0</v>
      </c>
      <c r="I54" s="32"/>
      <c r="K54" t="s">
        <v>39</v>
      </c>
    </row>
    <row r="55" spans="2:11" ht="13" x14ac:dyDescent="0.15">
      <c r="B55" s="28" t="s">
        <v>86</v>
      </c>
      <c r="C55" s="28" t="s">
        <v>87</v>
      </c>
      <c r="D55" s="29">
        <f>SUMIFS(D56:D420,K56:K420,"0",B56:B420,"1 1 3*")-SUMIFS(E56:E420,K56:K420,"0",B56:B420,"1 1 3*")</f>
        <v>2510.88</v>
      </c>
      <c r="E55" s="30"/>
      <c r="F55" s="29">
        <f>SUMIFS(F56:F420,K56:K420,"0",B56:B420,"1 1 3*")</f>
        <v>0</v>
      </c>
      <c r="G55" s="29">
        <f>SUMIFS(G56:G420,K56:K420,"0",B56:B420,"1 1 3*")</f>
        <v>0</v>
      </c>
      <c r="H55" s="29">
        <f t="shared" si="0"/>
        <v>2510.88</v>
      </c>
      <c r="I55" s="29"/>
      <c r="K55" t="s">
        <v>15</v>
      </c>
    </row>
    <row r="56" spans="2:11" ht="22" x14ac:dyDescent="0.15">
      <c r="B56" s="28" t="s">
        <v>88</v>
      </c>
      <c r="C56" s="28" t="s">
        <v>89</v>
      </c>
      <c r="D56" s="29">
        <f>SUMIFS(D57:D420,K57:K420,"0",B57:B420,"1 1 3 4*")-SUMIFS(E57:E420,K57:K420,"0",B57:B420,"1 1 3 4*")</f>
        <v>2510.88</v>
      </c>
      <c r="E56" s="30"/>
      <c r="F56" s="29">
        <f>SUMIFS(F57:F420,K57:K420,"0",B57:B420,"1 1 3 4*")</f>
        <v>0</v>
      </c>
      <c r="G56" s="29">
        <f>SUMIFS(G57:G420,K57:K420,"0",B57:B420,"1 1 3 4*")</f>
        <v>0</v>
      </c>
      <c r="H56" s="29">
        <f t="shared" si="0"/>
        <v>2510.88</v>
      </c>
      <c r="I56" s="29"/>
      <c r="K56" t="s">
        <v>15</v>
      </c>
    </row>
    <row r="57" spans="2:11" ht="22" x14ac:dyDescent="0.15">
      <c r="B57" s="28" t="s">
        <v>90</v>
      </c>
      <c r="C57" s="28" t="s">
        <v>91</v>
      </c>
      <c r="D57" s="29">
        <f>SUMIFS(D58:D420,K58:K420,"0",B58:B420,"1 1 3 4 1*")-SUMIFS(E58:E420,K58:K420,"0",B58:B420,"1 1 3 4 1*")</f>
        <v>2510.88</v>
      </c>
      <c r="E57" s="30"/>
      <c r="F57" s="29">
        <f>SUMIFS(F58:F420,K58:K420,"0",B58:B420,"1 1 3 4 1*")</f>
        <v>0</v>
      </c>
      <c r="G57" s="29">
        <f>SUMIFS(G58:G420,K58:K420,"0",B58:B420,"1 1 3 4 1*")</f>
        <v>0</v>
      </c>
      <c r="H57" s="29">
        <f t="shared" si="0"/>
        <v>2510.88</v>
      </c>
      <c r="I57" s="29"/>
      <c r="K57" t="s">
        <v>15</v>
      </c>
    </row>
    <row r="58" spans="2:11" ht="13" x14ac:dyDescent="0.15">
      <c r="B58" s="28" t="s">
        <v>92</v>
      </c>
      <c r="C58" s="28" t="s">
        <v>26</v>
      </c>
      <c r="D58" s="29">
        <f>SUMIFS(D59:D420,K59:K420,"0",B59:B420,"1 1 3 4 1 12*")-SUMIFS(E59:E420,K59:K420,"0",B59:B420,"1 1 3 4 1 12*")</f>
        <v>2510.88</v>
      </c>
      <c r="E58" s="30"/>
      <c r="F58" s="29">
        <f>SUMIFS(F59:F420,K59:K420,"0",B59:B420,"1 1 3 4 1 12*")</f>
        <v>0</v>
      </c>
      <c r="G58" s="29">
        <f>SUMIFS(G59:G420,K59:K420,"0",B59:B420,"1 1 3 4 1 12*")</f>
        <v>0</v>
      </c>
      <c r="H58" s="29">
        <f t="shared" si="0"/>
        <v>2510.88</v>
      </c>
      <c r="I58" s="29"/>
      <c r="K58" t="s">
        <v>15</v>
      </c>
    </row>
    <row r="59" spans="2:11" ht="13" x14ac:dyDescent="0.15">
      <c r="B59" s="28" t="s">
        <v>93</v>
      </c>
      <c r="C59" s="28" t="s">
        <v>28</v>
      </c>
      <c r="D59" s="29">
        <f>SUMIFS(D60:D420,K60:K420,"0",B60:B420,"1 1 3 4 1 12 31111*")-SUMIFS(E60:E420,K60:K420,"0",B60:B420,"1 1 3 4 1 12 31111*")</f>
        <v>2510.88</v>
      </c>
      <c r="E59" s="30"/>
      <c r="F59" s="29">
        <f>SUMIFS(F60:F420,K60:K420,"0",B60:B420,"1 1 3 4 1 12 31111*")</f>
        <v>0</v>
      </c>
      <c r="G59" s="29">
        <f>SUMIFS(G60:G420,K60:K420,"0",B60:B420,"1 1 3 4 1 12 31111*")</f>
        <v>0</v>
      </c>
      <c r="H59" s="29">
        <f t="shared" si="0"/>
        <v>2510.88</v>
      </c>
      <c r="I59" s="29"/>
      <c r="K59" t="s">
        <v>15</v>
      </c>
    </row>
    <row r="60" spans="2:11" ht="13" x14ac:dyDescent="0.15">
      <c r="B60" s="28" t="s">
        <v>94</v>
      </c>
      <c r="C60" s="28" t="s">
        <v>30</v>
      </c>
      <c r="D60" s="29">
        <f>SUMIFS(D61:D420,K61:K420,"0",B61:B420,"1 1 3 4 1 12 31111 6*")-SUMIFS(E61:E420,K61:K420,"0",B61:B420,"1 1 3 4 1 12 31111 6*")</f>
        <v>2510.88</v>
      </c>
      <c r="E60" s="30"/>
      <c r="F60" s="29">
        <f>SUMIFS(F61:F420,K61:K420,"0",B61:B420,"1 1 3 4 1 12 31111 6*")</f>
        <v>0</v>
      </c>
      <c r="G60" s="29">
        <f>SUMIFS(G61:G420,K61:K420,"0",B61:B420,"1 1 3 4 1 12 31111 6*")</f>
        <v>0</v>
      </c>
      <c r="H60" s="29">
        <f t="shared" si="0"/>
        <v>2510.88</v>
      </c>
      <c r="I60" s="29"/>
      <c r="K60" t="s">
        <v>15</v>
      </c>
    </row>
    <row r="61" spans="2:11" ht="13" x14ac:dyDescent="0.15">
      <c r="B61" s="28" t="s">
        <v>95</v>
      </c>
      <c r="C61" s="28" t="s">
        <v>32</v>
      </c>
      <c r="D61" s="29">
        <f>SUMIFS(D62:D420,K62:K420,"0",B62:B420,"1 1 3 4 1 12 31111 6 M78*")-SUMIFS(E62:E420,K62:K420,"0",B62:B420,"1 1 3 4 1 12 31111 6 M78*")</f>
        <v>2510.88</v>
      </c>
      <c r="E61" s="30"/>
      <c r="F61" s="29">
        <f>SUMIFS(F62:F420,K62:K420,"0",B62:B420,"1 1 3 4 1 12 31111 6 M78*")</f>
        <v>0</v>
      </c>
      <c r="G61" s="29">
        <f>SUMIFS(G62:G420,K62:K420,"0",B62:B420,"1 1 3 4 1 12 31111 6 M78*")</f>
        <v>0</v>
      </c>
      <c r="H61" s="29">
        <f t="shared" si="0"/>
        <v>2510.88</v>
      </c>
      <c r="I61" s="29"/>
      <c r="K61" t="s">
        <v>15</v>
      </c>
    </row>
    <row r="62" spans="2:11" ht="22" x14ac:dyDescent="0.15">
      <c r="B62" s="28" t="s">
        <v>96</v>
      </c>
      <c r="C62" s="28" t="s">
        <v>34</v>
      </c>
      <c r="D62" s="29">
        <f>SUMIFS(D63:D420,K63:K420,"0",B63:B420,"1 1 3 4 1 12 31111 6 M78 00002*")-SUMIFS(E63:E420,K63:K420,"0",B63:B420,"1 1 3 4 1 12 31111 6 M78 00002*")</f>
        <v>2510.88</v>
      </c>
      <c r="E62" s="30"/>
      <c r="F62" s="29">
        <f>SUMIFS(F63:F420,K63:K420,"0",B63:B420,"1 1 3 4 1 12 31111 6 M78 00002*")</f>
        <v>0</v>
      </c>
      <c r="G62" s="29">
        <f>SUMIFS(G63:G420,K63:K420,"0",B63:B420,"1 1 3 4 1 12 31111 6 M78 00002*")</f>
        <v>0</v>
      </c>
      <c r="H62" s="29">
        <f t="shared" si="0"/>
        <v>2510.88</v>
      </c>
      <c r="I62" s="29"/>
      <c r="K62" t="s">
        <v>15</v>
      </c>
    </row>
    <row r="63" spans="2:11" ht="22" x14ac:dyDescent="0.15">
      <c r="B63" s="28" t="s">
        <v>97</v>
      </c>
      <c r="C63" s="28" t="s">
        <v>70</v>
      </c>
      <c r="D63" s="29">
        <f>SUMIFS(D64:D420,K64:K420,"0",B64:B420,"1 1 3 4 1 12 31111 6 M78 00002 002*")-SUMIFS(E64:E420,K64:K420,"0",B64:B420,"1 1 3 4 1 12 31111 6 M78 00002 002*")</f>
        <v>2510.88</v>
      </c>
      <c r="E63" s="30"/>
      <c r="F63" s="29">
        <f>SUMIFS(F64:F420,K64:K420,"0",B64:B420,"1 1 3 4 1 12 31111 6 M78 00002 002*")</f>
        <v>0</v>
      </c>
      <c r="G63" s="29">
        <f>SUMIFS(G64:G420,K64:K420,"0",B64:B420,"1 1 3 4 1 12 31111 6 M78 00002 002*")</f>
        <v>0</v>
      </c>
      <c r="H63" s="29">
        <f t="shared" si="0"/>
        <v>2510.88</v>
      </c>
      <c r="I63" s="29"/>
      <c r="K63" t="s">
        <v>15</v>
      </c>
    </row>
    <row r="64" spans="2:11" ht="22" x14ac:dyDescent="0.15">
      <c r="B64" s="31" t="s">
        <v>98</v>
      </c>
      <c r="C64" s="31" t="s">
        <v>99</v>
      </c>
      <c r="D64" s="32">
        <v>2510.88</v>
      </c>
      <c r="E64" s="32"/>
      <c r="F64" s="32">
        <v>0</v>
      </c>
      <c r="G64" s="32">
        <v>0</v>
      </c>
      <c r="H64" s="32">
        <f t="shared" si="0"/>
        <v>2510.88</v>
      </c>
      <c r="I64" s="32"/>
      <c r="K64" t="s">
        <v>39</v>
      </c>
    </row>
    <row r="65" spans="2:11" ht="13" x14ac:dyDescent="0.15">
      <c r="B65" s="28" t="s">
        <v>100</v>
      </c>
      <c r="C65" s="28" t="s">
        <v>101</v>
      </c>
      <c r="D65" s="29">
        <f>SUMIFS(D66:D420,K66:K420,"0",B66:B420,"1 2*")-SUMIFS(E66:E420,K66:K420,"0",B66:B420,"1 2*")</f>
        <v>1637059.8699999994</v>
      </c>
      <c r="E65" s="30"/>
      <c r="F65" s="29">
        <f>SUMIFS(F66:F420,K66:K420,"0",B66:B420,"1 2*")</f>
        <v>27943353.039999999</v>
      </c>
      <c r="G65" s="29">
        <f>SUMIFS(G66:G420,K66:K420,"0",B66:B420,"1 2*")</f>
        <v>150000</v>
      </c>
      <c r="H65" s="29">
        <f t="shared" si="0"/>
        <v>29430412.91</v>
      </c>
      <c r="I65" s="29"/>
      <c r="K65" t="s">
        <v>15</v>
      </c>
    </row>
    <row r="66" spans="2:11" ht="22" x14ac:dyDescent="0.15">
      <c r="B66" s="28" t="s">
        <v>102</v>
      </c>
      <c r="C66" s="28" t="s">
        <v>103</v>
      </c>
      <c r="D66" s="29">
        <f>SUMIFS(D67:D420,K67:K420,"0",B67:B420,"1 2 3*")-SUMIFS(E67:E420,K67:K420,"0",B67:B420,"1 2 3*")</f>
        <v>0</v>
      </c>
      <c r="E66" s="30"/>
      <c r="F66" s="29">
        <f>SUMIFS(F67:F420,K67:K420,"0",B67:B420,"1 2 3*")</f>
        <v>27943353.039999999</v>
      </c>
      <c r="G66" s="29">
        <f>SUMIFS(G67:G420,K67:K420,"0",B67:B420,"1 2 3*")</f>
        <v>0</v>
      </c>
      <c r="H66" s="29">
        <f t="shared" si="0"/>
        <v>27943353.039999999</v>
      </c>
      <c r="I66" s="29"/>
      <c r="K66" t="s">
        <v>15</v>
      </c>
    </row>
    <row r="67" spans="2:11" ht="22" x14ac:dyDescent="0.15">
      <c r="B67" s="28" t="s">
        <v>104</v>
      </c>
      <c r="C67" s="28" t="s">
        <v>105</v>
      </c>
      <c r="D67" s="29">
        <f>SUMIFS(D68:D420,K68:K420,"0",B68:B420,"1 2 3 5*")-SUMIFS(E68:E420,K68:K420,"0",B68:B420,"1 2 3 5*")</f>
        <v>0</v>
      </c>
      <c r="E67" s="30"/>
      <c r="F67" s="29">
        <f>SUMIFS(F68:F420,K68:K420,"0",B68:B420,"1 2 3 5*")</f>
        <v>27943353.039999999</v>
      </c>
      <c r="G67" s="29">
        <f>SUMIFS(G68:G420,K68:K420,"0",B68:B420,"1 2 3 5*")</f>
        <v>0</v>
      </c>
      <c r="H67" s="29">
        <f t="shared" si="0"/>
        <v>27943353.039999999</v>
      </c>
      <c r="I67" s="29"/>
      <c r="K67" t="s">
        <v>15</v>
      </c>
    </row>
    <row r="68" spans="2:11" ht="13" x14ac:dyDescent="0.15">
      <c r="B68" s="28" t="s">
        <v>106</v>
      </c>
      <c r="C68" s="28" t="s">
        <v>107</v>
      </c>
      <c r="D68" s="29">
        <f>SUMIFS(D69:D420,K69:K420,"0",B69:B420,"1 2 3 5 2*")-SUMIFS(E69:E420,K69:K420,"0",B69:B420,"1 2 3 5 2*")</f>
        <v>0</v>
      </c>
      <c r="E68" s="30"/>
      <c r="F68" s="29">
        <f>SUMIFS(F69:F420,K69:K420,"0",B69:B420,"1 2 3 5 2*")</f>
        <v>6827377.4199999999</v>
      </c>
      <c r="G68" s="29">
        <f>SUMIFS(G69:G420,K69:K420,"0",B69:B420,"1 2 3 5 2*")</f>
        <v>0</v>
      </c>
      <c r="H68" s="29">
        <f t="shared" si="0"/>
        <v>6827377.4199999999</v>
      </c>
      <c r="I68" s="29"/>
      <c r="K68" t="s">
        <v>15</v>
      </c>
    </row>
    <row r="69" spans="2:11" ht="13" x14ac:dyDescent="0.15">
      <c r="B69" s="28" t="s">
        <v>108</v>
      </c>
      <c r="C69" s="28" t="s">
        <v>26</v>
      </c>
      <c r="D69" s="29">
        <f>SUMIFS(D70:D420,K70:K420,"0",B70:B420,"1 2 3 5 2 12*")-SUMIFS(E70:E420,K70:K420,"0",B70:B420,"1 2 3 5 2 12*")</f>
        <v>0</v>
      </c>
      <c r="E69" s="30"/>
      <c r="F69" s="29">
        <f>SUMIFS(F70:F420,K70:K420,"0",B70:B420,"1 2 3 5 2 12*")</f>
        <v>6827377.4199999999</v>
      </c>
      <c r="G69" s="29">
        <f>SUMIFS(G70:G420,K70:K420,"0",B70:B420,"1 2 3 5 2 12*")</f>
        <v>0</v>
      </c>
      <c r="H69" s="29">
        <f t="shared" si="0"/>
        <v>6827377.4199999999</v>
      </c>
      <c r="I69" s="29"/>
      <c r="K69" t="s">
        <v>15</v>
      </c>
    </row>
    <row r="70" spans="2:11" ht="13" x14ac:dyDescent="0.15">
      <c r="B70" s="28" t="s">
        <v>109</v>
      </c>
      <c r="C70" s="28" t="s">
        <v>28</v>
      </c>
      <c r="D70" s="29">
        <f>SUMIFS(D71:D420,K71:K420,"0",B71:B420,"1 2 3 5 2 12 31111*")-SUMIFS(E71:E420,K71:K420,"0",B71:B420,"1 2 3 5 2 12 31111*")</f>
        <v>0</v>
      </c>
      <c r="E70" s="30"/>
      <c r="F70" s="29">
        <f>SUMIFS(F71:F420,K71:K420,"0",B71:B420,"1 2 3 5 2 12 31111*")</f>
        <v>6827377.4199999999</v>
      </c>
      <c r="G70" s="29">
        <f>SUMIFS(G71:G420,K71:K420,"0",B71:B420,"1 2 3 5 2 12 31111*")</f>
        <v>0</v>
      </c>
      <c r="H70" s="29">
        <f t="shared" si="0"/>
        <v>6827377.4199999999</v>
      </c>
      <c r="I70" s="29"/>
      <c r="K70" t="s">
        <v>15</v>
      </c>
    </row>
    <row r="71" spans="2:11" ht="13" x14ac:dyDescent="0.15">
      <c r="B71" s="28" t="s">
        <v>110</v>
      </c>
      <c r="C71" s="28" t="s">
        <v>30</v>
      </c>
      <c r="D71" s="29">
        <f>SUMIFS(D72:D420,K72:K420,"0",B72:B420,"1 2 3 5 2 12 31111 6*")-SUMIFS(E72:E420,K72:K420,"0",B72:B420,"1 2 3 5 2 12 31111 6*")</f>
        <v>0</v>
      </c>
      <c r="E71" s="30"/>
      <c r="F71" s="29">
        <f>SUMIFS(F72:F420,K72:K420,"0",B72:B420,"1 2 3 5 2 12 31111 6*")</f>
        <v>6827377.4199999999</v>
      </c>
      <c r="G71" s="29">
        <f>SUMIFS(G72:G420,K72:K420,"0",B72:B420,"1 2 3 5 2 12 31111 6*")</f>
        <v>0</v>
      </c>
      <c r="H71" s="29">
        <f t="shared" si="0"/>
        <v>6827377.4199999999</v>
      </c>
      <c r="I71" s="29"/>
      <c r="K71" t="s">
        <v>15</v>
      </c>
    </row>
    <row r="72" spans="2:11" ht="13" x14ac:dyDescent="0.15">
      <c r="B72" s="28" t="s">
        <v>111</v>
      </c>
      <c r="C72" s="28" t="s">
        <v>32</v>
      </c>
      <c r="D72" s="29">
        <f>SUMIFS(D73:D420,K73:K420,"0",B73:B420,"1 2 3 5 2 12 31111 6 M78*")-SUMIFS(E73:E420,K73:K420,"0",B73:B420,"1 2 3 5 2 12 31111 6 M78*")</f>
        <v>0</v>
      </c>
      <c r="E72" s="30"/>
      <c r="F72" s="29">
        <f>SUMIFS(F73:F420,K73:K420,"0",B73:B420,"1 2 3 5 2 12 31111 6 M78*")</f>
        <v>6827377.4199999999</v>
      </c>
      <c r="G72" s="29">
        <f>SUMIFS(G73:G420,K73:K420,"0",B73:B420,"1 2 3 5 2 12 31111 6 M78*")</f>
        <v>0</v>
      </c>
      <c r="H72" s="29">
        <f t="shared" si="0"/>
        <v>6827377.4199999999</v>
      </c>
      <c r="I72" s="29"/>
      <c r="K72" t="s">
        <v>15</v>
      </c>
    </row>
    <row r="73" spans="2:11" ht="13" x14ac:dyDescent="0.15">
      <c r="B73" s="28" t="s">
        <v>112</v>
      </c>
      <c r="C73" s="28" t="s">
        <v>113</v>
      </c>
      <c r="D73" s="29">
        <f>SUMIFS(D74:D420,K74:K420,"0",B74:B420,"1 2 3 5 2 12 31111 6 M78 10000*")-SUMIFS(E74:E420,K74:K420,"0",B74:B420,"1 2 3 5 2 12 31111 6 M78 10000*")</f>
        <v>0</v>
      </c>
      <c r="E73" s="30"/>
      <c r="F73" s="29">
        <f>SUMIFS(F74:F420,K74:K420,"0",B74:B420,"1 2 3 5 2 12 31111 6 M78 10000*")</f>
        <v>6827377.4199999999</v>
      </c>
      <c r="G73" s="29">
        <f>SUMIFS(G74:G420,K74:K420,"0",B74:B420,"1 2 3 5 2 12 31111 6 M78 10000*")</f>
        <v>0</v>
      </c>
      <c r="H73" s="29">
        <f t="shared" si="0"/>
        <v>6827377.4199999999</v>
      </c>
      <c r="I73" s="29"/>
      <c r="K73" t="s">
        <v>15</v>
      </c>
    </row>
    <row r="74" spans="2:11" ht="22" x14ac:dyDescent="0.15">
      <c r="B74" s="28" t="s">
        <v>114</v>
      </c>
      <c r="C74" s="28" t="s">
        <v>115</v>
      </c>
      <c r="D74" s="29">
        <f>SUMIFS(D75:D420,K75:K420,"0",B75:B420,"1 2 3 5 2 12 31111 6 M78 10000 222*")-SUMIFS(E75:E420,K75:K420,"0",B75:B420,"1 2 3 5 2 12 31111 6 M78 10000 222*")</f>
        <v>0</v>
      </c>
      <c r="E74" s="30"/>
      <c r="F74" s="29">
        <f>SUMIFS(F75:F420,K75:K420,"0",B75:B420,"1 2 3 5 2 12 31111 6 M78 10000 222*")</f>
        <v>2168469.7400000002</v>
      </c>
      <c r="G74" s="29">
        <f>SUMIFS(G75:G420,K75:K420,"0",B75:B420,"1 2 3 5 2 12 31111 6 M78 10000 222*")</f>
        <v>0</v>
      </c>
      <c r="H74" s="29">
        <f t="shared" si="0"/>
        <v>2168469.7400000002</v>
      </c>
      <c r="I74" s="29"/>
      <c r="K74" t="s">
        <v>15</v>
      </c>
    </row>
    <row r="75" spans="2:11" ht="22" x14ac:dyDescent="0.15">
      <c r="B75" s="28" t="s">
        <v>116</v>
      </c>
      <c r="C75" s="28" t="s">
        <v>117</v>
      </c>
      <c r="D75" s="29">
        <f>SUMIFS(D76:D420,K76:K420,"0",B76:B420,"1 2 3 5 2 12 31111 6 M78 10000 222 00I*")-SUMIFS(E76:E420,K76:K420,"0",B76:B420,"1 2 3 5 2 12 31111 6 M78 10000 222 00I*")</f>
        <v>0</v>
      </c>
      <c r="E75" s="30"/>
      <c r="F75" s="29">
        <f>SUMIFS(F76:F420,K76:K420,"0",B76:B420,"1 2 3 5 2 12 31111 6 M78 10000 222 00I*")</f>
        <v>2168469.7400000002</v>
      </c>
      <c r="G75" s="29">
        <f>SUMIFS(G76:G420,K76:K420,"0",B76:B420,"1 2 3 5 2 12 31111 6 M78 10000 222 00I*")</f>
        <v>0</v>
      </c>
      <c r="H75" s="29">
        <f t="shared" si="0"/>
        <v>2168469.7400000002</v>
      </c>
      <c r="I75" s="29"/>
      <c r="K75" t="s">
        <v>15</v>
      </c>
    </row>
    <row r="76" spans="2:11" ht="22" x14ac:dyDescent="0.15">
      <c r="B76" s="28" t="s">
        <v>118</v>
      </c>
      <c r="C76" s="28" t="s">
        <v>119</v>
      </c>
      <c r="D76" s="29">
        <f>SUMIFS(D77:D420,K77:K420,"0",B77:B420,"1 2 3 5 2 12 31111 6 M78 10000 222 00I 002*")-SUMIFS(E77:E420,K77:K420,"0",B77:B420,"1 2 3 5 2 12 31111 6 M78 10000 222 00I 002*")</f>
        <v>0</v>
      </c>
      <c r="E76" s="30"/>
      <c r="F76" s="29">
        <f>SUMIFS(F77:F420,K77:K420,"0",B77:B420,"1 2 3 5 2 12 31111 6 M78 10000 222 00I 002*")</f>
        <v>2168469.7400000002</v>
      </c>
      <c r="G76" s="29">
        <f>SUMIFS(G77:G420,K77:K420,"0",B77:B420,"1 2 3 5 2 12 31111 6 M78 10000 222 00I 002*")</f>
        <v>0</v>
      </c>
      <c r="H76" s="29">
        <f t="shared" ref="H76:H139" si="1">D76 + F76 - G76</f>
        <v>2168469.7400000002</v>
      </c>
      <c r="I76" s="29"/>
      <c r="K76" t="s">
        <v>15</v>
      </c>
    </row>
    <row r="77" spans="2:11" ht="22" x14ac:dyDescent="0.15">
      <c r="B77" s="28" t="s">
        <v>120</v>
      </c>
      <c r="C77" s="28" t="s">
        <v>121</v>
      </c>
      <c r="D77" s="29">
        <f>SUMIFS(D78:D420,K78:K420,"0",B78:B420,"1 2 3 5 2 12 31111 6 M78 10000 222 00I 002 61200*")-SUMIFS(E78:E420,K78:K420,"0",B78:B420,"1 2 3 5 2 12 31111 6 M78 10000 222 00I 002 61200*")</f>
        <v>0</v>
      </c>
      <c r="E77" s="30"/>
      <c r="F77" s="29">
        <f>SUMIFS(F78:F420,K78:K420,"0",B78:B420,"1 2 3 5 2 12 31111 6 M78 10000 222 00I 002 61200*")</f>
        <v>2168469.7400000002</v>
      </c>
      <c r="G77" s="29">
        <f>SUMIFS(G78:G420,K78:K420,"0",B78:B420,"1 2 3 5 2 12 31111 6 M78 10000 222 00I 002 61200*")</f>
        <v>0</v>
      </c>
      <c r="H77" s="29">
        <f t="shared" si="1"/>
        <v>2168469.7400000002</v>
      </c>
      <c r="I77" s="29"/>
      <c r="K77" t="s">
        <v>15</v>
      </c>
    </row>
    <row r="78" spans="2:11" ht="22" x14ac:dyDescent="0.15">
      <c r="B78" s="28" t="s">
        <v>122</v>
      </c>
      <c r="C78" s="28" t="s">
        <v>123</v>
      </c>
      <c r="D78" s="29">
        <f>SUMIFS(D79:D420,K79:K420,"0",B79:B420,"1 2 3 5 2 12 31111 6 M78 10000 222 00I 002 61200 025*")-SUMIFS(E79:E420,K79:K420,"0",B79:B420,"1 2 3 5 2 12 31111 6 M78 10000 222 00I 002 61200 025*")</f>
        <v>0</v>
      </c>
      <c r="E78" s="30"/>
      <c r="F78" s="29">
        <f>SUMIFS(F79:F420,K79:K420,"0",B79:B420,"1 2 3 5 2 12 31111 6 M78 10000 222 00I 002 61200 025*")</f>
        <v>2168469.7400000002</v>
      </c>
      <c r="G78" s="29">
        <f>SUMIFS(G79:G420,K79:K420,"0",B79:B420,"1 2 3 5 2 12 31111 6 M78 10000 222 00I 002 61200 025*")</f>
        <v>0</v>
      </c>
      <c r="H78" s="29">
        <f t="shared" si="1"/>
        <v>2168469.7400000002</v>
      </c>
      <c r="I78" s="29"/>
      <c r="K78" t="s">
        <v>15</v>
      </c>
    </row>
    <row r="79" spans="2:11" ht="22" x14ac:dyDescent="0.15">
      <c r="B79" s="28" t="s">
        <v>124</v>
      </c>
      <c r="C79" s="28" t="s">
        <v>125</v>
      </c>
      <c r="D79" s="29">
        <f>SUMIFS(D80:D420,K80:K420,"0",B80:B420,"1 2 3 5 2 12 31111 6 M78 10000 222 00I 002 61200 025 2210000*")-SUMIFS(E80:E420,K80:K420,"0",B80:B420,"1 2 3 5 2 12 31111 6 M78 10000 222 00I 002 61200 025 2210000*")</f>
        <v>0</v>
      </c>
      <c r="E79" s="30"/>
      <c r="F79" s="29">
        <f>SUMIFS(F80:F420,K80:K420,"0",B80:B420,"1 2 3 5 2 12 31111 6 M78 10000 222 00I 002 61200 025 2210000*")</f>
        <v>2168469.7400000002</v>
      </c>
      <c r="G79" s="29">
        <f>SUMIFS(G80:G420,K80:K420,"0",B80:B420,"1 2 3 5 2 12 31111 6 M78 10000 222 00I 002 61200 025 2210000*")</f>
        <v>0</v>
      </c>
      <c r="H79" s="29">
        <f t="shared" si="1"/>
        <v>2168469.7400000002</v>
      </c>
      <c r="I79" s="29"/>
      <c r="K79" t="s">
        <v>15</v>
      </c>
    </row>
    <row r="80" spans="2:11" ht="33" x14ac:dyDescent="0.15">
      <c r="B80" s="28" t="s">
        <v>126</v>
      </c>
      <c r="C80" s="28" t="s">
        <v>127</v>
      </c>
      <c r="D80" s="29">
        <f>SUMIFS(D81:D420,K81:K420,"0",B81:B420,"1 2 3 5 2 12 31111 6 M78 10000 222 00I 002 61200 025 2210000 2024*")-SUMIFS(E81:E420,K81:K420,"0",B81:B420,"1 2 3 5 2 12 31111 6 M78 10000 222 00I 002 61200 025 2210000 2024*")</f>
        <v>0</v>
      </c>
      <c r="E80" s="30"/>
      <c r="F80" s="29">
        <f>SUMIFS(F81:F420,K81:K420,"0",B81:B420,"1 2 3 5 2 12 31111 6 M78 10000 222 00I 002 61200 025 2210000 2024*")</f>
        <v>2168469.7400000002</v>
      </c>
      <c r="G80" s="29">
        <f>SUMIFS(G81:G420,K81:K420,"0",B81:B420,"1 2 3 5 2 12 31111 6 M78 10000 222 00I 002 61200 025 2210000 2024*")</f>
        <v>0</v>
      </c>
      <c r="H80" s="29">
        <f t="shared" si="1"/>
        <v>2168469.7400000002</v>
      </c>
      <c r="I80" s="29"/>
      <c r="K80" t="s">
        <v>15</v>
      </c>
    </row>
    <row r="81" spans="2:11" ht="33" x14ac:dyDescent="0.15">
      <c r="B81" s="28" t="s">
        <v>128</v>
      </c>
      <c r="C81" s="28" t="s">
        <v>129</v>
      </c>
      <c r="D81" s="29">
        <f>SUMIFS(D82:D420,K82:K420,"0",B82:B420,"1 2 3 5 2 12 31111 6 M78 10000 222 00I 002 61200 025 2210000 2024 00000000*")-SUMIFS(E82:E420,K82:K420,"0",B82:B420,"1 2 3 5 2 12 31111 6 M78 10000 222 00I 002 61200 025 2210000 2024 00000000*")</f>
        <v>0</v>
      </c>
      <c r="E81" s="30"/>
      <c r="F81" s="29">
        <f>SUMIFS(F82:F420,K82:K420,"0",B82:B420,"1 2 3 5 2 12 31111 6 M78 10000 222 00I 002 61200 025 2210000 2024 00000000*")</f>
        <v>2168469.7400000002</v>
      </c>
      <c r="G81" s="29">
        <f>SUMIFS(G82:G420,K82:K420,"0",B82:B420,"1 2 3 5 2 12 31111 6 M78 10000 222 00I 002 61200 025 2210000 2024 00000000*")</f>
        <v>0</v>
      </c>
      <c r="H81" s="29">
        <f t="shared" si="1"/>
        <v>2168469.7400000002</v>
      </c>
      <c r="I81" s="29"/>
      <c r="K81" t="s">
        <v>15</v>
      </c>
    </row>
    <row r="82" spans="2:11" ht="33" x14ac:dyDescent="0.15">
      <c r="B82" s="28" t="s">
        <v>130</v>
      </c>
      <c r="C82" s="28" t="s">
        <v>9</v>
      </c>
      <c r="D82" s="29">
        <f>SUMIFS(D83:D420,K83:K420,"0",B83:B420,"1 2 3 5 2 12 31111 6 M78 10000 222 00I 002 61200 025 2210000 2024 00000000 002*")-SUMIFS(E83:E420,K83:K420,"0",B83:B420,"1 2 3 5 2 12 31111 6 M78 10000 222 00I 002 61200 025 2210000 2024 00000000 002*")</f>
        <v>0</v>
      </c>
      <c r="E82" s="30"/>
      <c r="F82" s="29">
        <f>SUMIFS(F83:F420,K83:K420,"0",B83:B420,"1 2 3 5 2 12 31111 6 M78 10000 222 00I 002 61200 025 2210000 2024 00000000 002*")</f>
        <v>2168469.7400000002</v>
      </c>
      <c r="G82" s="29">
        <f>SUMIFS(G83:G420,K83:K420,"0",B83:B420,"1 2 3 5 2 12 31111 6 M78 10000 222 00I 002 61200 025 2210000 2024 00000000 002*")</f>
        <v>0</v>
      </c>
      <c r="H82" s="29">
        <f t="shared" si="1"/>
        <v>2168469.7400000002</v>
      </c>
      <c r="I82" s="29"/>
      <c r="K82" t="s">
        <v>15</v>
      </c>
    </row>
    <row r="83" spans="2:11" ht="33" x14ac:dyDescent="0.15">
      <c r="B83" s="31" t="s">
        <v>131</v>
      </c>
      <c r="C83" s="31" t="s">
        <v>132</v>
      </c>
      <c r="D83" s="32">
        <v>0</v>
      </c>
      <c r="E83" s="32"/>
      <c r="F83" s="32">
        <v>2168469.7400000002</v>
      </c>
      <c r="G83" s="32">
        <v>0</v>
      </c>
      <c r="H83" s="32">
        <f t="shared" si="1"/>
        <v>2168469.7400000002</v>
      </c>
      <c r="I83" s="32"/>
      <c r="K83" t="s">
        <v>39</v>
      </c>
    </row>
    <row r="84" spans="2:11" ht="22" x14ac:dyDescent="0.15">
      <c r="B84" s="28" t="s">
        <v>133</v>
      </c>
      <c r="C84" s="28" t="s">
        <v>134</v>
      </c>
      <c r="D84" s="29">
        <f>SUMIFS(D85:D420,K85:K420,"0",B85:B420,"1 2 3 5 2 12 31111 6 M78 10000 241*")-SUMIFS(E85:E420,K85:K420,"0",B85:B420,"1 2 3 5 2 12 31111 6 M78 10000 241*")</f>
        <v>0</v>
      </c>
      <c r="E84" s="30"/>
      <c r="F84" s="29">
        <f>SUMIFS(F85:F420,K85:K420,"0",B85:B420,"1 2 3 5 2 12 31111 6 M78 10000 241*")</f>
        <v>1088138.77</v>
      </c>
      <c r="G84" s="29">
        <f>SUMIFS(G85:G420,K85:K420,"0",B85:B420,"1 2 3 5 2 12 31111 6 M78 10000 241*")</f>
        <v>0</v>
      </c>
      <c r="H84" s="29">
        <f t="shared" si="1"/>
        <v>1088138.77</v>
      </c>
      <c r="I84" s="29"/>
      <c r="K84" t="s">
        <v>15</v>
      </c>
    </row>
    <row r="85" spans="2:11" ht="22" x14ac:dyDescent="0.15">
      <c r="B85" s="28" t="s">
        <v>135</v>
      </c>
      <c r="C85" s="28" t="s">
        <v>117</v>
      </c>
      <c r="D85" s="29">
        <f>SUMIFS(D86:D420,K86:K420,"0",B86:B420,"1 2 3 5 2 12 31111 6 M78 10000 241 00I*")-SUMIFS(E86:E420,K86:K420,"0",B86:B420,"1 2 3 5 2 12 31111 6 M78 10000 241 00I*")</f>
        <v>0</v>
      </c>
      <c r="E85" s="30"/>
      <c r="F85" s="29">
        <f>SUMIFS(F86:F420,K86:K420,"0",B86:B420,"1 2 3 5 2 12 31111 6 M78 10000 241 00I*")</f>
        <v>1088138.77</v>
      </c>
      <c r="G85" s="29">
        <f>SUMIFS(G86:G420,K86:K420,"0",B86:B420,"1 2 3 5 2 12 31111 6 M78 10000 241 00I*")</f>
        <v>0</v>
      </c>
      <c r="H85" s="29">
        <f t="shared" si="1"/>
        <v>1088138.77</v>
      </c>
      <c r="I85" s="29"/>
      <c r="K85" t="s">
        <v>15</v>
      </c>
    </row>
    <row r="86" spans="2:11" ht="22" x14ac:dyDescent="0.15">
      <c r="B86" s="28" t="s">
        <v>136</v>
      </c>
      <c r="C86" s="28" t="s">
        <v>119</v>
      </c>
      <c r="D86" s="29">
        <f>SUMIFS(D87:D420,K87:K420,"0",B87:B420,"1 2 3 5 2 12 31111 6 M78 10000 241 00I 002*")-SUMIFS(E87:E420,K87:K420,"0",B87:B420,"1 2 3 5 2 12 31111 6 M78 10000 241 00I 002*")</f>
        <v>0</v>
      </c>
      <c r="E86" s="30"/>
      <c r="F86" s="29">
        <f>SUMIFS(F87:F420,K87:K420,"0",B87:B420,"1 2 3 5 2 12 31111 6 M78 10000 241 00I 002*")</f>
        <v>1088138.77</v>
      </c>
      <c r="G86" s="29">
        <f>SUMIFS(G87:G420,K87:K420,"0",B87:B420,"1 2 3 5 2 12 31111 6 M78 10000 241 00I 002*")</f>
        <v>0</v>
      </c>
      <c r="H86" s="29">
        <f t="shared" si="1"/>
        <v>1088138.77</v>
      </c>
      <c r="I86" s="29"/>
      <c r="K86" t="s">
        <v>15</v>
      </c>
    </row>
    <row r="87" spans="2:11" ht="22" x14ac:dyDescent="0.15">
      <c r="B87" s="28" t="s">
        <v>137</v>
      </c>
      <c r="C87" s="28" t="s">
        <v>121</v>
      </c>
      <c r="D87" s="29">
        <f>SUMIFS(D88:D420,K88:K420,"0",B88:B420,"1 2 3 5 2 12 31111 6 M78 10000 241 00I 002 61200*")-SUMIFS(E88:E420,K88:K420,"0",B88:B420,"1 2 3 5 2 12 31111 6 M78 10000 241 00I 002 61200*")</f>
        <v>0</v>
      </c>
      <c r="E87" s="30"/>
      <c r="F87" s="29">
        <f>SUMIFS(F88:F420,K88:K420,"0",B88:B420,"1 2 3 5 2 12 31111 6 M78 10000 241 00I 002 61200*")</f>
        <v>1088138.77</v>
      </c>
      <c r="G87" s="29">
        <f>SUMIFS(G88:G420,K88:K420,"0",B88:B420,"1 2 3 5 2 12 31111 6 M78 10000 241 00I 002 61200*")</f>
        <v>0</v>
      </c>
      <c r="H87" s="29">
        <f t="shared" si="1"/>
        <v>1088138.77</v>
      </c>
      <c r="I87" s="29"/>
      <c r="K87" t="s">
        <v>15</v>
      </c>
    </row>
    <row r="88" spans="2:11" ht="22" x14ac:dyDescent="0.15">
      <c r="B88" s="28" t="s">
        <v>138</v>
      </c>
      <c r="C88" s="28" t="s">
        <v>123</v>
      </c>
      <c r="D88" s="29">
        <f>SUMIFS(D89:D420,K89:K420,"0",B89:B420,"1 2 3 5 2 12 31111 6 M78 10000 241 00I 002 61200 025*")-SUMIFS(E89:E420,K89:K420,"0",B89:B420,"1 2 3 5 2 12 31111 6 M78 10000 241 00I 002 61200 025*")</f>
        <v>0</v>
      </c>
      <c r="E88" s="30"/>
      <c r="F88" s="29">
        <f>SUMIFS(F89:F420,K89:K420,"0",B89:B420,"1 2 3 5 2 12 31111 6 M78 10000 241 00I 002 61200 025*")</f>
        <v>1088138.77</v>
      </c>
      <c r="G88" s="29">
        <f>SUMIFS(G89:G420,K89:K420,"0",B89:B420,"1 2 3 5 2 12 31111 6 M78 10000 241 00I 002 61200 025*")</f>
        <v>0</v>
      </c>
      <c r="H88" s="29">
        <f t="shared" si="1"/>
        <v>1088138.77</v>
      </c>
      <c r="I88" s="29"/>
      <c r="K88" t="s">
        <v>15</v>
      </c>
    </row>
    <row r="89" spans="2:11" ht="22" x14ac:dyDescent="0.15">
      <c r="B89" s="28" t="s">
        <v>139</v>
      </c>
      <c r="C89" s="28" t="s">
        <v>125</v>
      </c>
      <c r="D89" s="29">
        <f>SUMIFS(D90:D420,K90:K420,"0",B90:B420,"1 2 3 5 2 12 31111 6 M78 10000 241 00I 002 61200 025 2210000*")-SUMIFS(E90:E420,K90:K420,"0",B90:B420,"1 2 3 5 2 12 31111 6 M78 10000 241 00I 002 61200 025 2210000*")</f>
        <v>0</v>
      </c>
      <c r="E89" s="30"/>
      <c r="F89" s="29">
        <f>SUMIFS(F90:F420,K90:K420,"0",B90:B420,"1 2 3 5 2 12 31111 6 M78 10000 241 00I 002 61200 025 2210000*")</f>
        <v>1088138.77</v>
      </c>
      <c r="G89" s="29">
        <f>SUMIFS(G90:G420,K90:K420,"0",B90:B420,"1 2 3 5 2 12 31111 6 M78 10000 241 00I 002 61200 025 2210000*")</f>
        <v>0</v>
      </c>
      <c r="H89" s="29">
        <f t="shared" si="1"/>
        <v>1088138.77</v>
      </c>
      <c r="I89" s="29"/>
      <c r="K89" t="s">
        <v>15</v>
      </c>
    </row>
    <row r="90" spans="2:11" ht="33" x14ac:dyDescent="0.15">
      <c r="B90" s="28" t="s">
        <v>140</v>
      </c>
      <c r="C90" s="28" t="s">
        <v>127</v>
      </c>
      <c r="D90" s="29">
        <f>SUMIFS(D91:D420,K91:K420,"0",B91:B420,"1 2 3 5 2 12 31111 6 M78 10000 241 00I 002 61200 025 2210000 2024*")-SUMIFS(E91:E420,K91:K420,"0",B91:B420,"1 2 3 5 2 12 31111 6 M78 10000 241 00I 002 61200 025 2210000 2024*")</f>
        <v>0</v>
      </c>
      <c r="E90" s="30"/>
      <c r="F90" s="29">
        <f>SUMIFS(F91:F420,K91:K420,"0",B91:B420,"1 2 3 5 2 12 31111 6 M78 10000 241 00I 002 61200 025 2210000 2024*")</f>
        <v>1088138.77</v>
      </c>
      <c r="G90" s="29">
        <f>SUMIFS(G91:G420,K91:K420,"0",B91:B420,"1 2 3 5 2 12 31111 6 M78 10000 241 00I 002 61200 025 2210000 2024*")</f>
        <v>0</v>
      </c>
      <c r="H90" s="29">
        <f t="shared" si="1"/>
        <v>1088138.77</v>
      </c>
      <c r="I90" s="29"/>
      <c r="K90" t="s">
        <v>15</v>
      </c>
    </row>
    <row r="91" spans="2:11" ht="33" x14ac:dyDescent="0.15">
      <c r="B91" s="28" t="s">
        <v>141</v>
      </c>
      <c r="C91" s="28" t="s">
        <v>129</v>
      </c>
      <c r="D91" s="29">
        <f>SUMIFS(D92:D420,K92:K420,"0",B92:B420,"1 2 3 5 2 12 31111 6 M78 10000 241 00I 002 61200 025 2210000 2024 00000000*")-SUMIFS(E92:E420,K92:K420,"0",B92:B420,"1 2 3 5 2 12 31111 6 M78 10000 241 00I 002 61200 025 2210000 2024 00000000*")</f>
        <v>0</v>
      </c>
      <c r="E91" s="30"/>
      <c r="F91" s="29">
        <f>SUMIFS(F92:F420,K92:K420,"0",B92:B420,"1 2 3 5 2 12 31111 6 M78 10000 241 00I 002 61200 025 2210000 2024 00000000*")</f>
        <v>1088138.77</v>
      </c>
      <c r="G91" s="29">
        <f>SUMIFS(G92:G420,K92:K420,"0",B92:B420,"1 2 3 5 2 12 31111 6 M78 10000 241 00I 002 61200 025 2210000 2024 00000000*")</f>
        <v>0</v>
      </c>
      <c r="H91" s="29">
        <f t="shared" si="1"/>
        <v>1088138.77</v>
      </c>
      <c r="I91" s="29"/>
      <c r="K91" t="s">
        <v>15</v>
      </c>
    </row>
    <row r="92" spans="2:11" ht="33" x14ac:dyDescent="0.15">
      <c r="B92" s="28" t="s">
        <v>142</v>
      </c>
      <c r="C92" s="28" t="s">
        <v>9</v>
      </c>
      <c r="D92" s="29">
        <f>SUMIFS(D93:D420,K93:K420,"0",B93:B420,"1 2 3 5 2 12 31111 6 M78 10000 241 00I 002 61200 025 2210000 2024 00000000 002*")-SUMIFS(E93:E420,K93:K420,"0",B93:B420,"1 2 3 5 2 12 31111 6 M78 10000 241 00I 002 61200 025 2210000 2024 00000000 002*")</f>
        <v>0</v>
      </c>
      <c r="E92" s="30"/>
      <c r="F92" s="29">
        <f>SUMIFS(F93:F420,K93:K420,"0",B93:B420,"1 2 3 5 2 12 31111 6 M78 10000 241 00I 002 61200 025 2210000 2024 00000000 002*")</f>
        <v>1088138.77</v>
      </c>
      <c r="G92" s="29">
        <f>SUMIFS(G93:G420,K93:K420,"0",B93:B420,"1 2 3 5 2 12 31111 6 M78 10000 241 00I 002 61200 025 2210000 2024 00000000 002*")</f>
        <v>0</v>
      </c>
      <c r="H92" s="29">
        <f t="shared" si="1"/>
        <v>1088138.77</v>
      </c>
      <c r="I92" s="29"/>
      <c r="K92" t="s">
        <v>15</v>
      </c>
    </row>
    <row r="93" spans="2:11" ht="33" x14ac:dyDescent="0.15">
      <c r="B93" s="31" t="s">
        <v>143</v>
      </c>
      <c r="C93" s="31" t="s">
        <v>144</v>
      </c>
      <c r="D93" s="32">
        <v>0</v>
      </c>
      <c r="E93" s="32"/>
      <c r="F93" s="32">
        <v>1088138.77</v>
      </c>
      <c r="G93" s="32">
        <v>0</v>
      </c>
      <c r="H93" s="32">
        <f t="shared" si="1"/>
        <v>1088138.77</v>
      </c>
      <c r="I93" s="32"/>
      <c r="K93" t="s">
        <v>39</v>
      </c>
    </row>
    <row r="94" spans="2:11" ht="22" x14ac:dyDescent="0.15">
      <c r="B94" s="28" t="s">
        <v>145</v>
      </c>
      <c r="C94" s="28" t="s">
        <v>146</v>
      </c>
      <c r="D94" s="29">
        <f>SUMIFS(D95:D420,K95:K420,"0",B95:B420,"1 2 3 5 2 12 31111 6 M78 10000 252*")-SUMIFS(E95:E420,K95:K420,"0",B95:B420,"1 2 3 5 2 12 31111 6 M78 10000 252*")</f>
        <v>0</v>
      </c>
      <c r="E94" s="30"/>
      <c r="F94" s="29">
        <f>SUMIFS(F95:F420,K95:K420,"0",B95:B420,"1 2 3 5 2 12 31111 6 M78 10000 252*")</f>
        <v>3570768.91</v>
      </c>
      <c r="G94" s="29">
        <f>SUMIFS(G95:G420,K95:K420,"0",B95:B420,"1 2 3 5 2 12 31111 6 M78 10000 252*")</f>
        <v>0</v>
      </c>
      <c r="H94" s="29">
        <f t="shared" si="1"/>
        <v>3570768.91</v>
      </c>
      <c r="I94" s="29"/>
      <c r="K94" t="s">
        <v>15</v>
      </c>
    </row>
    <row r="95" spans="2:11" ht="22" x14ac:dyDescent="0.15">
      <c r="B95" s="28" t="s">
        <v>147</v>
      </c>
      <c r="C95" s="28" t="s">
        <v>117</v>
      </c>
      <c r="D95" s="29">
        <f>SUMIFS(D96:D420,K96:K420,"0",B96:B420,"1 2 3 5 2 12 31111 6 M78 10000 252 00I*")-SUMIFS(E96:E420,K96:K420,"0",B96:B420,"1 2 3 5 2 12 31111 6 M78 10000 252 00I*")</f>
        <v>0</v>
      </c>
      <c r="E95" s="30"/>
      <c r="F95" s="29">
        <f>SUMIFS(F96:F420,K96:K420,"0",B96:B420,"1 2 3 5 2 12 31111 6 M78 10000 252 00I*")</f>
        <v>3570768.91</v>
      </c>
      <c r="G95" s="29">
        <f>SUMIFS(G96:G420,K96:K420,"0",B96:B420,"1 2 3 5 2 12 31111 6 M78 10000 252 00I*")</f>
        <v>0</v>
      </c>
      <c r="H95" s="29">
        <f t="shared" si="1"/>
        <v>3570768.91</v>
      </c>
      <c r="I95" s="29"/>
      <c r="K95" t="s">
        <v>15</v>
      </c>
    </row>
    <row r="96" spans="2:11" ht="22" x14ac:dyDescent="0.15">
      <c r="B96" s="28" t="s">
        <v>148</v>
      </c>
      <c r="C96" s="28" t="s">
        <v>119</v>
      </c>
      <c r="D96" s="29">
        <f>SUMIFS(D97:D420,K97:K420,"0",B97:B420,"1 2 3 5 2 12 31111 6 M78 10000 252 00I 002*")-SUMIFS(E97:E420,K97:K420,"0",B97:B420,"1 2 3 5 2 12 31111 6 M78 10000 252 00I 002*")</f>
        <v>0</v>
      </c>
      <c r="E96" s="30"/>
      <c r="F96" s="29">
        <f>SUMIFS(F97:F420,K97:K420,"0",B97:B420,"1 2 3 5 2 12 31111 6 M78 10000 252 00I 002*")</f>
        <v>3570768.91</v>
      </c>
      <c r="G96" s="29">
        <f>SUMIFS(G97:G420,K97:K420,"0",B97:B420,"1 2 3 5 2 12 31111 6 M78 10000 252 00I 002*")</f>
        <v>0</v>
      </c>
      <c r="H96" s="29">
        <f t="shared" si="1"/>
        <v>3570768.91</v>
      </c>
      <c r="I96" s="29"/>
      <c r="K96" t="s">
        <v>15</v>
      </c>
    </row>
    <row r="97" spans="2:11" ht="22" x14ac:dyDescent="0.15">
      <c r="B97" s="28" t="s">
        <v>149</v>
      </c>
      <c r="C97" s="28" t="s">
        <v>121</v>
      </c>
      <c r="D97" s="29">
        <f>SUMIFS(D98:D420,K98:K420,"0",B98:B420,"1 2 3 5 2 12 31111 6 M78 10000 252 00I 002 61200*")-SUMIFS(E98:E420,K98:K420,"0",B98:B420,"1 2 3 5 2 12 31111 6 M78 10000 252 00I 002 61200*")</f>
        <v>0</v>
      </c>
      <c r="E97" s="30"/>
      <c r="F97" s="29">
        <f>SUMIFS(F98:F420,K98:K420,"0",B98:B420,"1 2 3 5 2 12 31111 6 M78 10000 252 00I 002 61200*")</f>
        <v>3570768.91</v>
      </c>
      <c r="G97" s="29">
        <f>SUMIFS(G98:G420,K98:K420,"0",B98:B420,"1 2 3 5 2 12 31111 6 M78 10000 252 00I 002 61200*")</f>
        <v>0</v>
      </c>
      <c r="H97" s="29">
        <f t="shared" si="1"/>
        <v>3570768.91</v>
      </c>
      <c r="I97" s="29"/>
      <c r="K97" t="s">
        <v>15</v>
      </c>
    </row>
    <row r="98" spans="2:11" ht="22" x14ac:dyDescent="0.15">
      <c r="B98" s="28" t="s">
        <v>150</v>
      </c>
      <c r="C98" s="28" t="s">
        <v>123</v>
      </c>
      <c r="D98" s="29">
        <f>SUMIFS(D99:D420,K99:K420,"0",B99:B420,"1 2 3 5 2 12 31111 6 M78 10000 252 00I 002 61200 025*")-SUMIFS(E99:E420,K99:K420,"0",B99:B420,"1 2 3 5 2 12 31111 6 M78 10000 252 00I 002 61200 025*")</f>
        <v>0</v>
      </c>
      <c r="E98" s="30"/>
      <c r="F98" s="29">
        <f>SUMIFS(F99:F420,K99:K420,"0",B99:B420,"1 2 3 5 2 12 31111 6 M78 10000 252 00I 002 61200 025*")</f>
        <v>3570768.91</v>
      </c>
      <c r="G98" s="29">
        <f>SUMIFS(G99:G420,K99:K420,"0",B99:B420,"1 2 3 5 2 12 31111 6 M78 10000 252 00I 002 61200 025*")</f>
        <v>0</v>
      </c>
      <c r="H98" s="29">
        <f t="shared" si="1"/>
        <v>3570768.91</v>
      </c>
      <c r="I98" s="29"/>
      <c r="K98" t="s">
        <v>15</v>
      </c>
    </row>
    <row r="99" spans="2:11" ht="22" x14ac:dyDescent="0.15">
      <c r="B99" s="28" t="s">
        <v>151</v>
      </c>
      <c r="C99" s="28" t="s">
        <v>125</v>
      </c>
      <c r="D99" s="29">
        <f>SUMIFS(D100:D420,K100:K420,"0",B100:B420,"1 2 3 5 2 12 31111 6 M78 10000 252 00I 002 61200 025 2210000*")-SUMIFS(E100:E420,K100:K420,"0",B100:B420,"1 2 3 5 2 12 31111 6 M78 10000 252 00I 002 61200 025 2210000*")</f>
        <v>0</v>
      </c>
      <c r="E99" s="30"/>
      <c r="F99" s="29">
        <f>SUMIFS(F100:F420,K100:K420,"0",B100:B420,"1 2 3 5 2 12 31111 6 M78 10000 252 00I 002 61200 025 2210000*")</f>
        <v>3570768.91</v>
      </c>
      <c r="G99" s="29">
        <f>SUMIFS(G100:G420,K100:K420,"0",B100:B420,"1 2 3 5 2 12 31111 6 M78 10000 252 00I 002 61200 025 2210000*")</f>
        <v>0</v>
      </c>
      <c r="H99" s="29">
        <f t="shared" si="1"/>
        <v>3570768.91</v>
      </c>
      <c r="I99" s="29"/>
      <c r="K99" t="s">
        <v>15</v>
      </c>
    </row>
    <row r="100" spans="2:11" ht="33" x14ac:dyDescent="0.15">
      <c r="B100" s="28" t="s">
        <v>152</v>
      </c>
      <c r="C100" s="28" t="s">
        <v>127</v>
      </c>
      <c r="D100" s="29">
        <f>SUMIFS(D101:D420,K101:K420,"0",B101:B420,"1 2 3 5 2 12 31111 6 M78 10000 252 00I 002 61200 025 2210000 2024*")-SUMIFS(E101:E420,K101:K420,"0",B101:B420,"1 2 3 5 2 12 31111 6 M78 10000 252 00I 002 61200 025 2210000 2024*")</f>
        <v>0</v>
      </c>
      <c r="E100" s="30"/>
      <c r="F100" s="29">
        <f>SUMIFS(F101:F420,K101:K420,"0",B101:B420,"1 2 3 5 2 12 31111 6 M78 10000 252 00I 002 61200 025 2210000 2024*")</f>
        <v>3570768.91</v>
      </c>
      <c r="G100" s="29">
        <f>SUMIFS(G101:G420,K101:K420,"0",B101:B420,"1 2 3 5 2 12 31111 6 M78 10000 252 00I 002 61200 025 2210000 2024*")</f>
        <v>0</v>
      </c>
      <c r="H100" s="29">
        <f t="shared" si="1"/>
        <v>3570768.91</v>
      </c>
      <c r="I100" s="29"/>
      <c r="K100" t="s">
        <v>15</v>
      </c>
    </row>
    <row r="101" spans="2:11" ht="33" x14ac:dyDescent="0.15">
      <c r="B101" s="28" t="s">
        <v>153</v>
      </c>
      <c r="C101" s="28" t="s">
        <v>129</v>
      </c>
      <c r="D101" s="29">
        <f>SUMIFS(D102:D420,K102:K420,"0",B102:B420,"1 2 3 5 2 12 31111 6 M78 10000 252 00I 002 61200 025 2210000 2024 00000000*")-SUMIFS(E102:E420,K102:K420,"0",B102:B420,"1 2 3 5 2 12 31111 6 M78 10000 252 00I 002 61200 025 2210000 2024 00000000*")</f>
        <v>0</v>
      </c>
      <c r="E101" s="30"/>
      <c r="F101" s="29">
        <f>SUMIFS(F102:F420,K102:K420,"0",B102:B420,"1 2 3 5 2 12 31111 6 M78 10000 252 00I 002 61200 025 2210000 2024 00000000*")</f>
        <v>3570768.91</v>
      </c>
      <c r="G101" s="29">
        <f>SUMIFS(G102:G420,K102:K420,"0",B102:B420,"1 2 3 5 2 12 31111 6 M78 10000 252 00I 002 61200 025 2210000 2024 00000000*")</f>
        <v>0</v>
      </c>
      <c r="H101" s="29">
        <f t="shared" si="1"/>
        <v>3570768.91</v>
      </c>
      <c r="I101" s="29"/>
      <c r="K101" t="s">
        <v>15</v>
      </c>
    </row>
    <row r="102" spans="2:11" ht="33" x14ac:dyDescent="0.15">
      <c r="B102" s="28" t="s">
        <v>154</v>
      </c>
      <c r="C102" s="28" t="s">
        <v>9</v>
      </c>
      <c r="D102" s="29">
        <f>SUMIFS(D103:D420,K103:K420,"0",B103:B420,"1 2 3 5 2 12 31111 6 M78 10000 252 00I 002 61200 025 2210000 2024 00000000 002*")-SUMIFS(E103:E420,K103:K420,"0",B103:B420,"1 2 3 5 2 12 31111 6 M78 10000 252 00I 002 61200 025 2210000 2024 00000000 002*")</f>
        <v>0</v>
      </c>
      <c r="E102" s="30"/>
      <c r="F102" s="29">
        <f>SUMIFS(F103:F420,K103:K420,"0",B103:B420,"1 2 3 5 2 12 31111 6 M78 10000 252 00I 002 61200 025 2210000 2024 00000000 002*")</f>
        <v>3570768.91</v>
      </c>
      <c r="G102" s="29">
        <f>SUMIFS(G103:G420,K103:K420,"0",B103:B420,"1 2 3 5 2 12 31111 6 M78 10000 252 00I 002 61200 025 2210000 2024 00000000 002*")</f>
        <v>0</v>
      </c>
      <c r="H102" s="29">
        <f t="shared" si="1"/>
        <v>3570768.91</v>
      </c>
      <c r="I102" s="29"/>
      <c r="K102" t="s">
        <v>15</v>
      </c>
    </row>
    <row r="103" spans="2:11" ht="33" x14ac:dyDescent="0.15">
      <c r="B103" s="31" t="s">
        <v>155</v>
      </c>
      <c r="C103" s="31" t="s">
        <v>156</v>
      </c>
      <c r="D103" s="32">
        <v>0</v>
      </c>
      <c r="E103" s="32"/>
      <c r="F103" s="32">
        <v>474325.4</v>
      </c>
      <c r="G103" s="32">
        <v>0</v>
      </c>
      <c r="H103" s="32">
        <f t="shared" si="1"/>
        <v>474325.4</v>
      </c>
      <c r="I103" s="32"/>
      <c r="K103" t="s">
        <v>39</v>
      </c>
    </row>
    <row r="104" spans="2:11" ht="33" x14ac:dyDescent="0.15">
      <c r="B104" s="31" t="s">
        <v>157</v>
      </c>
      <c r="C104" s="31" t="s">
        <v>158</v>
      </c>
      <c r="D104" s="32">
        <v>0</v>
      </c>
      <c r="E104" s="32"/>
      <c r="F104" s="32">
        <v>1056080.46</v>
      </c>
      <c r="G104" s="32">
        <v>0</v>
      </c>
      <c r="H104" s="32">
        <f t="shared" si="1"/>
        <v>1056080.46</v>
      </c>
      <c r="I104" s="32"/>
      <c r="K104" t="s">
        <v>39</v>
      </c>
    </row>
    <row r="105" spans="2:11" ht="33" x14ac:dyDescent="0.15">
      <c r="B105" s="31" t="s">
        <v>159</v>
      </c>
      <c r="C105" s="31" t="s">
        <v>160</v>
      </c>
      <c r="D105" s="32">
        <v>0</v>
      </c>
      <c r="E105" s="32"/>
      <c r="F105" s="32">
        <v>494289.75</v>
      </c>
      <c r="G105" s="32">
        <v>0</v>
      </c>
      <c r="H105" s="32">
        <f t="shared" si="1"/>
        <v>494289.75</v>
      </c>
      <c r="I105" s="32"/>
      <c r="K105" t="s">
        <v>39</v>
      </c>
    </row>
    <row r="106" spans="2:11" ht="33" x14ac:dyDescent="0.15">
      <c r="B106" s="31" t="s">
        <v>161</v>
      </c>
      <c r="C106" s="31" t="s">
        <v>162</v>
      </c>
      <c r="D106" s="32">
        <v>0</v>
      </c>
      <c r="E106" s="32"/>
      <c r="F106" s="32">
        <v>662671.62</v>
      </c>
      <c r="G106" s="32">
        <v>0</v>
      </c>
      <c r="H106" s="32">
        <f t="shared" si="1"/>
        <v>662671.62</v>
      </c>
      <c r="I106" s="32"/>
      <c r="K106" t="s">
        <v>39</v>
      </c>
    </row>
    <row r="107" spans="2:11" ht="33" x14ac:dyDescent="0.15">
      <c r="B107" s="31" t="s">
        <v>163</v>
      </c>
      <c r="C107" s="31" t="s">
        <v>164</v>
      </c>
      <c r="D107" s="32">
        <v>0</v>
      </c>
      <c r="E107" s="32"/>
      <c r="F107" s="32">
        <v>493604.83</v>
      </c>
      <c r="G107" s="32">
        <v>0</v>
      </c>
      <c r="H107" s="32">
        <f t="shared" si="1"/>
        <v>493604.83</v>
      </c>
      <c r="I107" s="32"/>
      <c r="K107" t="s">
        <v>39</v>
      </c>
    </row>
    <row r="108" spans="2:11" ht="33" x14ac:dyDescent="0.15">
      <c r="B108" s="31" t="s">
        <v>165</v>
      </c>
      <c r="C108" s="31" t="s">
        <v>166</v>
      </c>
      <c r="D108" s="32">
        <v>0</v>
      </c>
      <c r="E108" s="32"/>
      <c r="F108" s="32">
        <v>389796.85</v>
      </c>
      <c r="G108" s="32">
        <v>0</v>
      </c>
      <c r="H108" s="32">
        <f t="shared" si="1"/>
        <v>389796.85</v>
      </c>
      <c r="I108" s="32"/>
      <c r="K108" t="s">
        <v>39</v>
      </c>
    </row>
    <row r="109" spans="2:11" ht="33" x14ac:dyDescent="0.15">
      <c r="B109" s="28" t="s">
        <v>167</v>
      </c>
      <c r="C109" s="28" t="s">
        <v>168</v>
      </c>
      <c r="D109" s="29">
        <f>SUMIFS(D110:D420,K110:K420,"0",B110:B420,"1 2 3 5 3*")-SUMIFS(E110:E420,K110:K420,"0",B110:B420,"1 2 3 5 3*")</f>
        <v>0</v>
      </c>
      <c r="E109" s="30"/>
      <c r="F109" s="29">
        <f>SUMIFS(F110:F420,K110:K420,"0",B110:B420,"1 2 3 5 3*")</f>
        <v>708315.98</v>
      </c>
      <c r="G109" s="29">
        <f>SUMIFS(G110:G420,K110:K420,"0",B110:B420,"1 2 3 5 3*")</f>
        <v>0</v>
      </c>
      <c r="H109" s="29">
        <f t="shared" si="1"/>
        <v>708315.98</v>
      </c>
      <c r="I109" s="29"/>
      <c r="K109" t="s">
        <v>15</v>
      </c>
    </row>
    <row r="110" spans="2:11" ht="13" x14ac:dyDescent="0.15">
      <c r="B110" s="28" t="s">
        <v>169</v>
      </c>
      <c r="C110" s="28" t="s">
        <v>26</v>
      </c>
      <c r="D110" s="29">
        <f>SUMIFS(D111:D420,K111:K420,"0",B111:B420,"1 2 3 5 3 12*")-SUMIFS(E111:E420,K111:K420,"0",B111:B420,"1 2 3 5 3 12*")</f>
        <v>0</v>
      </c>
      <c r="E110" s="30"/>
      <c r="F110" s="29">
        <f>SUMIFS(F111:F420,K111:K420,"0",B111:B420,"1 2 3 5 3 12*")</f>
        <v>708315.98</v>
      </c>
      <c r="G110" s="29">
        <f>SUMIFS(G111:G420,K111:K420,"0",B111:B420,"1 2 3 5 3 12*")</f>
        <v>0</v>
      </c>
      <c r="H110" s="29">
        <f t="shared" si="1"/>
        <v>708315.98</v>
      </c>
      <c r="I110" s="29"/>
      <c r="K110" t="s">
        <v>15</v>
      </c>
    </row>
    <row r="111" spans="2:11" ht="13" x14ac:dyDescent="0.15">
      <c r="B111" s="28" t="s">
        <v>170</v>
      </c>
      <c r="C111" s="28" t="s">
        <v>28</v>
      </c>
      <c r="D111" s="29">
        <f>SUMIFS(D112:D420,K112:K420,"0",B112:B420,"1 2 3 5 3 12 31111*")-SUMIFS(E112:E420,K112:K420,"0",B112:B420,"1 2 3 5 3 12 31111*")</f>
        <v>0</v>
      </c>
      <c r="E111" s="30"/>
      <c r="F111" s="29">
        <f>SUMIFS(F112:F420,K112:K420,"0",B112:B420,"1 2 3 5 3 12 31111*")</f>
        <v>708315.98</v>
      </c>
      <c r="G111" s="29">
        <f>SUMIFS(G112:G420,K112:K420,"0",B112:B420,"1 2 3 5 3 12 31111*")</f>
        <v>0</v>
      </c>
      <c r="H111" s="29">
        <f t="shared" si="1"/>
        <v>708315.98</v>
      </c>
      <c r="I111" s="29"/>
      <c r="K111" t="s">
        <v>15</v>
      </c>
    </row>
    <row r="112" spans="2:11" ht="13" x14ac:dyDescent="0.15">
      <c r="B112" s="28" t="s">
        <v>171</v>
      </c>
      <c r="C112" s="28" t="s">
        <v>30</v>
      </c>
      <c r="D112" s="29">
        <f>SUMIFS(D113:D420,K113:K420,"0",B113:B420,"1 2 3 5 3 12 31111 6*")-SUMIFS(E113:E420,K113:K420,"0",B113:B420,"1 2 3 5 3 12 31111 6*")</f>
        <v>0</v>
      </c>
      <c r="E112" s="30"/>
      <c r="F112" s="29">
        <f>SUMIFS(F113:F420,K113:K420,"0",B113:B420,"1 2 3 5 3 12 31111 6*")</f>
        <v>708315.98</v>
      </c>
      <c r="G112" s="29">
        <f>SUMIFS(G113:G420,K113:K420,"0",B113:B420,"1 2 3 5 3 12 31111 6*")</f>
        <v>0</v>
      </c>
      <c r="H112" s="29">
        <f t="shared" si="1"/>
        <v>708315.98</v>
      </c>
      <c r="I112" s="29"/>
      <c r="K112" t="s">
        <v>15</v>
      </c>
    </row>
    <row r="113" spans="2:11" ht="13" x14ac:dyDescent="0.15">
      <c r="B113" s="28" t="s">
        <v>172</v>
      </c>
      <c r="C113" s="28" t="s">
        <v>32</v>
      </c>
      <c r="D113" s="29">
        <f>SUMIFS(D114:D420,K114:K420,"0",B114:B420,"1 2 3 5 3 12 31111 6 M78*")-SUMIFS(E114:E420,K114:K420,"0",B114:B420,"1 2 3 5 3 12 31111 6 M78*")</f>
        <v>0</v>
      </c>
      <c r="E113" s="30"/>
      <c r="F113" s="29">
        <f>SUMIFS(F114:F420,K114:K420,"0",B114:B420,"1 2 3 5 3 12 31111 6 M78*")</f>
        <v>708315.98</v>
      </c>
      <c r="G113" s="29">
        <f>SUMIFS(G114:G420,K114:K420,"0",B114:B420,"1 2 3 5 3 12 31111 6 M78*")</f>
        <v>0</v>
      </c>
      <c r="H113" s="29">
        <f t="shared" si="1"/>
        <v>708315.98</v>
      </c>
      <c r="I113" s="29"/>
      <c r="K113" t="s">
        <v>15</v>
      </c>
    </row>
    <row r="114" spans="2:11" ht="13" x14ac:dyDescent="0.15">
      <c r="B114" s="28" t="s">
        <v>173</v>
      </c>
      <c r="C114" s="28" t="s">
        <v>113</v>
      </c>
      <c r="D114" s="29">
        <f>SUMIFS(D115:D420,K115:K420,"0",B115:B420,"1 2 3 5 3 12 31111 6 M78 10000*")-SUMIFS(E115:E420,K115:K420,"0",B115:B420,"1 2 3 5 3 12 31111 6 M78 10000*")</f>
        <v>0</v>
      </c>
      <c r="E114" s="30"/>
      <c r="F114" s="29">
        <f>SUMIFS(F115:F420,K115:K420,"0",B115:B420,"1 2 3 5 3 12 31111 6 M78 10000*")</f>
        <v>708315.98</v>
      </c>
      <c r="G114" s="29">
        <f>SUMIFS(G115:G420,K115:K420,"0",B115:B420,"1 2 3 5 3 12 31111 6 M78 10000*")</f>
        <v>0</v>
      </c>
      <c r="H114" s="29">
        <f t="shared" si="1"/>
        <v>708315.98</v>
      </c>
      <c r="I114" s="29"/>
      <c r="K114" t="s">
        <v>15</v>
      </c>
    </row>
    <row r="115" spans="2:11" ht="22" x14ac:dyDescent="0.15">
      <c r="B115" s="28" t="s">
        <v>174</v>
      </c>
      <c r="C115" s="28" t="s">
        <v>175</v>
      </c>
      <c r="D115" s="29">
        <f>SUMIFS(D116:D420,K116:K420,"0",B116:B420,"1 2 3 5 3 12 31111 6 M78 10000 223*")-SUMIFS(E116:E420,K116:K420,"0",B116:B420,"1 2 3 5 3 12 31111 6 M78 10000 223*")</f>
        <v>0</v>
      </c>
      <c r="E115" s="30"/>
      <c r="F115" s="29">
        <f>SUMIFS(F116:F420,K116:K420,"0",B116:B420,"1 2 3 5 3 12 31111 6 M78 10000 223*")</f>
        <v>708315.98</v>
      </c>
      <c r="G115" s="29">
        <f>SUMIFS(G116:G420,K116:K420,"0",B116:B420,"1 2 3 5 3 12 31111 6 M78 10000 223*")</f>
        <v>0</v>
      </c>
      <c r="H115" s="29">
        <f t="shared" si="1"/>
        <v>708315.98</v>
      </c>
      <c r="I115" s="29"/>
      <c r="K115" t="s">
        <v>15</v>
      </c>
    </row>
    <row r="116" spans="2:11" ht="22" x14ac:dyDescent="0.15">
      <c r="B116" s="28" t="s">
        <v>176</v>
      </c>
      <c r="C116" s="28" t="s">
        <v>117</v>
      </c>
      <c r="D116" s="29">
        <f>SUMIFS(D117:D420,K117:K420,"0",B117:B420,"1 2 3 5 3 12 31111 6 M78 10000 223 00I*")-SUMIFS(E117:E420,K117:K420,"0",B117:B420,"1 2 3 5 3 12 31111 6 M78 10000 223 00I*")</f>
        <v>0</v>
      </c>
      <c r="E116" s="30"/>
      <c r="F116" s="29">
        <f>SUMIFS(F117:F420,K117:K420,"0",B117:B420,"1 2 3 5 3 12 31111 6 M78 10000 223 00I*")</f>
        <v>708315.98</v>
      </c>
      <c r="G116" s="29">
        <f>SUMIFS(G117:G420,K117:K420,"0",B117:B420,"1 2 3 5 3 12 31111 6 M78 10000 223 00I*")</f>
        <v>0</v>
      </c>
      <c r="H116" s="29">
        <f t="shared" si="1"/>
        <v>708315.98</v>
      </c>
      <c r="I116" s="29"/>
      <c r="K116" t="s">
        <v>15</v>
      </c>
    </row>
    <row r="117" spans="2:11" ht="22" x14ac:dyDescent="0.15">
      <c r="B117" s="28" t="s">
        <v>177</v>
      </c>
      <c r="C117" s="28" t="s">
        <v>119</v>
      </c>
      <c r="D117" s="29">
        <f>SUMIFS(D118:D420,K118:K420,"0",B118:B420,"1 2 3 5 3 12 31111 6 M78 10000 223 00I 002*")-SUMIFS(E118:E420,K118:K420,"0",B118:B420,"1 2 3 5 3 12 31111 6 M78 10000 223 00I 002*")</f>
        <v>0</v>
      </c>
      <c r="E117" s="30"/>
      <c r="F117" s="29">
        <f>SUMIFS(F118:F420,K118:K420,"0",B118:B420,"1 2 3 5 3 12 31111 6 M78 10000 223 00I 002*")</f>
        <v>708315.98</v>
      </c>
      <c r="G117" s="29">
        <f>SUMIFS(G118:G420,K118:K420,"0",B118:B420,"1 2 3 5 3 12 31111 6 M78 10000 223 00I 002*")</f>
        <v>0</v>
      </c>
      <c r="H117" s="29">
        <f t="shared" si="1"/>
        <v>708315.98</v>
      </c>
      <c r="I117" s="29"/>
      <c r="K117" t="s">
        <v>15</v>
      </c>
    </row>
    <row r="118" spans="2:11" ht="33" x14ac:dyDescent="0.15">
      <c r="B118" s="28" t="s">
        <v>178</v>
      </c>
      <c r="C118" s="28" t="s">
        <v>179</v>
      </c>
      <c r="D118" s="29">
        <f>SUMIFS(D119:D420,K119:K420,"0",B119:B420,"1 2 3 5 3 12 31111 6 M78 10000 223 00I 002 61300*")-SUMIFS(E119:E420,K119:K420,"0",B119:B420,"1 2 3 5 3 12 31111 6 M78 10000 223 00I 002 61300*")</f>
        <v>0</v>
      </c>
      <c r="E118" s="30"/>
      <c r="F118" s="29">
        <f>SUMIFS(F119:F420,K119:K420,"0",B119:B420,"1 2 3 5 3 12 31111 6 M78 10000 223 00I 002 61300*")</f>
        <v>708315.98</v>
      </c>
      <c r="G118" s="29">
        <f>SUMIFS(G119:G420,K119:K420,"0",B119:B420,"1 2 3 5 3 12 31111 6 M78 10000 223 00I 002 61300*")</f>
        <v>0</v>
      </c>
      <c r="H118" s="29">
        <f t="shared" si="1"/>
        <v>708315.98</v>
      </c>
      <c r="I118" s="29"/>
      <c r="K118" t="s">
        <v>15</v>
      </c>
    </row>
    <row r="119" spans="2:11" ht="22" x14ac:dyDescent="0.15">
      <c r="B119" s="28" t="s">
        <v>180</v>
      </c>
      <c r="C119" s="28" t="s">
        <v>123</v>
      </c>
      <c r="D119" s="29">
        <f>SUMIFS(D120:D420,K120:K420,"0",B120:B420,"1 2 3 5 3 12 31111 6 M78 10000 223 00I 002 61300 025*")-SUMIFS(E120:E420,K120:K420,"0",B120:B420,"1 2 3 5 3 12 31111 6 M78 10000 223 00I 002 61300 025*")</f>
        <v>0</v>
      </c>
      <c r="E119" s="30"/>
      <c r="F119" s="29">
        <f>SUMIFS(F120:F420,K120:K420,"0",B120:B420,"1 2 3 5 3 12 31111 6 M78 10000 223 00I 002 61300 025*")</f>
        <v>708315.98</v>
      </c>
      <c r="G119" s="29">
        <f>SUMIFS(G120:G420,K120:K420,"0",B120:B420,"1 2 3 5 3 12 31111 6 M78 10000 223 00I 002 61300 025*")</f>
        <v>0</v>
      </c>
      <c r="H119" s="29">
        <f t="shared" si="1"/>
        <v>708315.98</v>
      </c>
      <c r="I119" s="29"/>
      <c r="K119" t="s">
        <v>15</v>
      </c>
    </row>
    <row r="120" spans="2:11" ht="22" x14ac:dyDescent="0.15">
      <c r="B120" s="28" t="s">
        <v>181</v>
      </c>
      <c r="C120" s="28" t="s">
        <v>125</v>
      </c>
      <c r="D120" s="29">
        <f>SUMIFS(D121:D420,K121:K420,"0",B121:B420,"1 2 3 5 3 12 31111 6 M78 10000 223 00I 002 61300 025 2210000*")-SUMIFS(E121:E420,K121:K420,"0",B121:B420,"1 2 3 5 3 12 31111 6 M78 10000 223 00I 002 61300 025 2210000*")</f>
        <v>0</v>
      </c>
      <c r="E120" s="30"/>
      <c r="F120" s="29">
        <f>SUMIFS(F121:F420,K121:K420,"0",B121:B420,"1 2 3 5 3 12 31111 6 M78 10000 223 00I 002 61300 025 2210000*")</f>
        <v>708315.98</v>
      </c>
      <c r="G120" s="29">
        <f>SUMIFS(G121:G420,K121:K420,"0",B121:B420,"1 2 3 5 3 12 31111 6 M78 10000 223 00I 002 61300 025 2210000*")</f>
        <v>0</v>
      </c>
      <c r="H120" s="29">
        <f t="shared" si="1"/>
        <v>708315.98</v>
      </c>
      <c r="I120" s="29"/>
      <c r="K120" t="s">
        <v>15</v>
      </c>
    </row>
    <row r="121" spans="2:11" ht="33" x14ac:dyDescent="0.15">
      <c r="B121" s="28" t="s">
        <v>182</v>
      </c>
      <c r="C121" s="28" t="s">
        <v>127</v>
      </c>
      <c r="D121" s="29">
        <f>SUMIFS(D122:D420,K122:K420,"0",B122:B420,"1 2 3 5 3 12 31111 6 M78 10000 223 00I 002 61300 025 2210000 2024*")-SUMIFS(E122:E420,K122:K420,"0",B122:B420,"1 2 3 5 3 12 31111 6 M78 10000 223 00I 002 61300 025 2210000 2024*")</f>
        <v>0</v>
      </c>
      <c r="E121" s="30"/>
      <c r="F121" s="29">
        <f>SUMIFS(F122:F420,K122:K420,"0",B122:B420,"1 2 3 5 3 12 31111 6 M78 10000 223 00I 002 61300 025 2210000 2024*")</f>
        <v>708315.98</v>
      </c>
      <c r="G121" s="29">
        <f>SUMIFS(G122:G420,K122:K420,"0",B122:B420,"1 2 3 5 3 12 31111 6 M78 10000 223 00I 002 61300 025 2210000 2024*")</f>
        <v>0</v>
      </c>
      <c r="H121" s="29">
        <f t="shared" si="1"/>
        <v>708315.98</v>
      </c>
      <c r="I121" s="29"/>
      <c r="K121" t="s">
        <v>15</v>
      </c>
    </row>
    <row r="122" spans="2:11" ht="33" x14ac:dyDescent="0.15">
      <c r="B122" s="28" t="s">
        <v>183</v>
      </c>
      <c r="C122" s="28" t="s">
        <v>129</v>
      </c>
      <c r="D122" s="29">
        <f>SUMIFS(D123:D420,K123:K420,"0",B123:B420,"1 2 3 5 3 12 31111 6 M78 10000 223 00I 002 61300 025 2210000 2024 00000000*")-SUMIFS(E123:E420,K123:K420,"0",B123:B420,"1 2 3 5 3 12 31111 6 M78 10000 223 00I 002 61300 025 2210000 2024 00000000*")</f>
        <v>0</v>
      </c>
      <c r="E122" s="30"/>
      <c r="F122" s="29">
        <f>SUMIFS(F123:F420,K123:K420,"0",B123:B420,"1 2 3 5 3 12 31111 6 M78 10000 223 00I 002 61300 025 2210000 2024 00000000*")</f>
        <v>708315.98</v>
      </c>
      <c r="G122" s="29">
        <f>SUMIFS(G123:G420,K123:K420,"0",B123:B420,"1 2 3 5 3 12 31111 6 M78 10000 223 00I 002 61300 025 2210000 2024 00000000*")</f>
        <v>0</v>
      </c>
      <c r="H122" s="29">
        <f t="shared" si="1"/>
        <v>708315.98</v>
      </c>
      <c r="I122" s="29"/>
      <c r="K122" t="s">
        <v>15</v>
      </c>
    </row>
    <row r="123" spans="2:11" ht="33" x14ac:dyDescent="0.15">
      <c r="B123" s="28" t="s">
        <v>184</v>
      </c>
      <c r="C123" s="28" t="s">
        <v>9</v>
      </c>
      <c r="D123" s="29">
        <f>SUMIFS(D124:D420,K124:K420,"0",B124:B420,"1 2 3 5 3 12 31111 6 M78 10000 223 00I 002 61300 025 2210000 2024 00000000 002*")-SUMIFS(E124:E420,K124:K420,"0",B124:B420,"1 2 3 5 3 12 31111 6 M78 10000 223 00I 002 61300 025 2210000 2024 00000000 002*")</f>
        <v>0</v>
      </c>
      <c r="E123" s="30"/>
      <c r="F123" s="29">
        <f>SUMIFS(F124:F420,K124:K420,"0",B124:B420,"1 2 3 5 3 12 31111 6 M78 10000 223 00I 002 61300 025 2210000 2024 00000000 002*")</f>
        <v>708315.98</v>
      </c>
      <c r="G123" s="29">
        <f>SUMIFS(G124:G420,K124:K420,"0",B124:B420,"1 2 3 5 3 12 31111 6 M78 10000 223 00I 002 61300 025 2210000 2024 00000000 002*")</f>
        <v>0</v>
      </c>
      <c r="H123" s="29">
        <f t="shared" si="1"/>
        <v>708315.98</v>
      </c>
      <c r="I123" s="29"/>
      <c r="K123" t="s">
        <v>15</v>
      </c>
    </row>
    <row r="124" spans="2:11" ht="33" x14ac:dyDescent="0.15">
      <c r="B124" s="31" t="s">
        <v>185</v>
      </c>
      <c r="C124" s="31" t="s">
        <v>186</v>
      </c>
      <c r="D124" s="32">
        <v>0</v>
      </c>
      <c r="E124" s="32"/>
      <c r="F124" s="32">
        <v>708315.98</v>
      </c>
      <c r="G124" s="32">
        <v>0</v>
      </c>
      <c r="H124" s="32">
        <f t="shared" si="1"/>
        <v>708315.98</v>
      </c>
      <c r="I124" s="32"/>
      <c r="K124" t="s">
        <v>39</v>
      </c>
    </row>
    <row r="125" spans="2:11" ht="22" x14ac:dyDescent="0.15">
      <c r="B125" s="28" t="s">
        <v>187</v>
      </c>
      <c r="C125" s="28" t="s">
        <v>188</v>
      </c>
      <c r="D125" s="29">
        <f>SUMIFS(D126:D420,K126:K420,"0",B126:B420,"1 2 3 5 4*")-SUMIFS(E126:E420,K126:K420,"0",B126:B420,"1 2 3 5 4*")</f>
        <v>0</v>
      </c>
      <c r="E125" s="30"/>
      <c r="F125" s="29">
        <f>SUMIFS(F126:F420,K126:K420,"0",B126:B420,"1 2 3 5 4*")</f>
        <v>20407659.640000001</v>
      </c>
      <c r="G125" s="29">
        <f>SUMIFS(G126:G420,K126:K420,"0",B126:B420,"1 2 3 5 4*")</f>
        <v>0</v>
      </c>
      <c r="H125" s="29">
        <f t="shared" si="1"/>
        <v>20407659.640000001</v>
      </c>
      <c r="I125" s="29"/>
      <c r="K125" t="s">
        <v>15</v>
      </c>
    </row>
    <row r="126" spans="2:11" ht="13" x14ac:dyDescent="0.15">
      <c r="B126" s="28" t="s">
        <v>189</v>
      </c>
      <c r="C126" s="28" t="s">
        <v>26</v>
      </c>
      <c r="D126" s="29">
        <f>SUMIFS(D127:D420,K127:K420,"0",B127:B420,"1 2 3 5 4 12*")-SUMIFS(E127:E420,K127:K420,"0",B127:B420,"1 2 3 5 4 12*")</f>
        <v>0</v>
      </c>
      <c r="E126" s="30"/>
      <c r="F126" s="29">
        <f>SUMIFS(F127:F420,K127:K420,"0",B127:B420,"1 2 3 5 4 12*")</f>
        <v>20407659.640000001</v>
      </c>
      <c r="G126" s="29">
        <f>SUMIFS(G127:G420,K127:K420,"0",B127:B420,"1 2 3 5 4 12*")</f>
        <v>0</v>
      </c>
      <c r="H126" s="29">
        <f t="shared" si="1"/>
        <v>20407659.640000001</v>
      </c>
      <c r="I126" s="29"/>
      <c r="K126" t="s">
        <v>15</v>
      </c>
    </row>
    <row r="127" spans="2:11" ht="13" x14ac:dyDescent="0.15">
      <c r="B127" s="28" t="s">
        <v>190</v>
      </c>
      <c r="C127" s="28" t="s">
        <v>28</v>
      </c>
      <c r="D127" s="29">
        <f>SUMIFS(D128:D420,K128:K420,"0",B128:B420,"1 2 3 5 4 12 31111*")-SUMIFS(E128:E420,K128:K420,"0",B128:B420,"1 2 3 5 4 12 31111*")</f>
        <v>0</v>
      </c>
      <c r="E127" s="30"/>
      <c r="F127" s="29">
        <f>SUMIFS(F128:F420,K128:K420,"0",B128:B420,"1 2 3 5 4 12 31111*")</f>
        <v>20407659.640000001</v>
      </c>
      <c r="G127" s="29">
        <f>SUMIFS(G128:G420,K128:K420,"0",B128:B420,"1 2 3 5 4 12 31111*")</f>
        <v>0</v>
      </c>
      <c r="H127" s="29">
        <f t="shared" si="1"/>
        <v>20407659.640000001</v>
      </c>
      <c r="I127" s="29"/>
      <c r="K127" t="s">
        <v>15</v>
      </c>
    </row>
    <row r="128" spans="2:11" ht="13" x14ac:dyDescent="0.15">
      <c r="B128" s="28" t="s">
        <v>191</v>
      </c>
      <c r="C128" s="28" t="s">
        <v>30</v>
      </c>
      <c r="D128" s="29">
        <f>SUMIFS(D129:D420,K129:K420,"0",B129:B420,"1 2 3 5 4 12 31111 6*")-SUMIFS(E129:E420,K129:K420,"0",B129:B420,"1 2 3 5 4 12 31111 6*")</f>
        <v>0</v>
      </c>
      <c r="E128" s="30"/>
      <c r="F128" s="29">
        <f>SUMIFS(F129:F420,K129:K420,"0",B129:B420,"1 2 3 5 4 12 31111 6*")</f>
        <v>20407659.640000001</v>
      </c>
      <c r="G128" s="29">
        <f>SUMIFS(G129:G420,K129:K420,"0",B129:B420,"1 2 3 5 4 12 31111 6*")</f>
        <v>0</v>
      </c>
      <c r="H128" s="29">
        <f t="shared" si="1"/>
        <v>20407659.640000001</v>
      </c>
      <c r="I128" s="29"/>
      <c r="K128" t="s">
        <v>15</v>
      </c>
    </row>
    <row r="129" spans="2:11" ht="13" x14ac:dyDescent="0.15">
      <c r="B129" s="28" t="s">
        <v>192</v>
      </c>
      <c r="C129" s="28" t="s">
        <v>32</v>
      </c>
      <c r="D129" s="29">
        <f>SUMIFS(D130:D420,K130:K420,"0",B130:B420,"1 2 3 5 4 12 31111 6 M78*")-SUMIFS(E130:E420,K130:K420,"0",B130:B420,"1 2 3 5 4 12 31111 6 M78*")</f>
        <v>0</v>
      </c>
      <c r="E129" s="30"/>
      <c r="F129" s="29">
        <f>SUMIFS(F130:F420,K130:K420,"0",B130:B420,"1 2 3 5 4 12 31111 6 M78*")</f>
        <v>20407659.640000001</v>
      </c>
      <c r="G129" s="29">
        <f>SUMIFS(G130:G420,K130:K420,"0",B130:B420,"1 2 3 5 4 12 31111 6 M78*")</f>
        <v>0</v>
      </c>
      <c r="H129" s="29">
        <f t="shared" si="1"/>
        <v>20407659.640000001</v>
      </c>
      <c r="I129" s="29"/>
      <c r="K129" t="s">
        <v>15</v>
      </c>
    </row>
    <row r="130" spans="2:11" ht="13" x14ac:dyDescent="0.15">
      <c r="B130" s="28" t="s">
        <v>193</v>
      </c>
      <c r="C130" s="28" t="s">
        <v>113</v>
      </c>
      <c r="D130" s="29">
        <f>SUMIFS(D131:D420,K131:K420,"0",B131:B420,"1 2 3 5 4 12 31111 6 M78 10000*")-SUMIFS(E131:E420,K131:K420,"0",B131:B420,"1 2 3 5 4 12 31111 6 M78 10000*")</f>
        <v>0</v>
      </c>
      <c r="E130" s="30"/>
      <c r="F130" s="29">
        <f>SUMIFS(F131:F420,K131:K420,"0",B131:B420,"1 2 3 5 4 12 31111 6 M78 10000*")</f>
        <v>20407659.640000001</v>
      </c>
      <c r="G130" s="29">
        <f>SUMIFS(G131:G420,K131:K420,"0",B131:B420,"1 2 3 5 4 12 31111 6 M78 10000*")</f>
        <v>0</v>
      </c>
      <c r="H130" s="29">
        <f t="shared" si="1"/>
        <v>20407659.640000001</v>
      </c>
      <c r="I130" s="29"/>
      <c r="K130" t="s">
        <v>15</v>
      </c>
    </row>
    <row r="131" spans="2:11" ht="22" x14ac:dyDescent="0.15">
      <c r="B131" s="28" t="s">
        <v>194</v>
      </c>
      <c r="C131" s="28" t="s">
        <v>195</v>
      </c>
      <c r="D131" s="29">
        <f>SUMIFS(D132:D420,K132:K420,"0",B132:B420,"1 2 3 5 4 12 31111 6 M78 10000 221*")-SUMIFS(E132:E420,K132:K420,"0",B132:B420,"1 2 3 5 4 12 31111 6 M78 10000 221*")</f>
        <v>0</v>
      </c>
      <c r="E131" s="30"/>
      <c r="F131" s="29">
        <f>SUMIFS(F132:F420,K132:K420,"0",B132:B420,"1 2 3 5 4 12 31111 6 M78 10000 221*")</f>
        <v>11107807.819999998</v>
      </c>
      <c r="G131" s="29">
        <f>SUMIFS(G132:G420,K132:K420,"0",B132:B420,"1 2 3 5 4 12 31111 6 M78 10000 221*")</f>
        <v>0</v>
      </c>
      <c r="H131" s="29">
        <f t="shared" si="1"/>
        <v>11107807.819999998</v>
      </c>
      <c r="I131" s="29"/>
      <c r="K131" t="s">
        <v>15</v>
      </c>
    </row>
    <row r="132" spans="2:11" ht="22" x14ac:dyDescent="0.15">
      <c r="B132" s="28" t="s">
        <v>196</v>
      </c>
      <c r="C132" s="28" t="s">
        <v>117</v>
      </c>
      <c r="D132" s="29">
        <f>SUMIFS(D133:D420,K133:K420,"0",B133:B420,"1 2 3 5 4 12 31111 6 M78 10000 221 00I*")-SUMIFS(E133:E420,K133:K420,"0",B133:B420,"1 2 3 5 4 12 31111 6 M78 10000 221 00I*")</f>
        <v>0</v>
      </c>
      <c r="E132" s="30"/>
      <c r="F132" s="29">
        <f>SUMIFS(F133:F420,K133:K420,"0",B133:B420,"1 2 3 5 4 12 31111 6 M78 10000 221 00I*")</f>
        <v>11107807.819999998</v>
      </c>
      <c r="G132" s="29">
        <f>SUMIFS(G133:G420,K133:K420,"0",B133:B420,"1 2 3 5 4 12 31111 6 M78 10000 221 00I*")</f>
        <v>0</v>
      </c>
      <c r="H132" s="29">
        <f t="shared" si="1"/>
        <v>11107807.819999998</v>
      </c>
      <c r="I132" s="29"/>
      <c r="K132" t="s">
        <v>15</v>
      </c>
    </row>
    <row r="133" spans="2:11" ht="22" x14ac:dyDescent="0.15">
      <c r="B133" s="28" t="s">
        <v>197</v>
      </c>
      <c r="C133" s="28" t="s">
        <v>119</v>
      </c>
      <c r="D133" s="29">
        <f>SUMIFS(D134:D420,K134:K420,"0",B134:B420,"1 2 3 5 4 12 31111 6 M78 10000 221 00I 002*")-SUMIFS(E134:E420,K134:K420,"0",B134:B420,"1 2 3 5 4 12 31111 6 M78 10000 221 00I 002*")</f>
        <v>0</v>
      </c>
      <c r="E133" s="30"/>
      <c r="F133" s="29">
        <f>SUMIFS(F134:F420,K134:K420,"0",B134:B420,"1 2 3 5 4 12 31111 6 M78 10000 221 00I 002*")</f>
        <v>11107807.819999998</v>
      </c>
      <c r="G133" s="29">
        <f>SUMIFS(G134:G420,K134:K420,"0",B134:B420,"1 2 3 5 4 12 31111 6 M78 10000 221 00I 002*")</f>
        <v>0</v>
      </c>
      <c r="H133" s="29">
        <f t="shared" si="1"/>
        <v>11107807.819999998</v>
      </c>
      <c r="I133" s="29"/>
      <c r="K133" t="s">
        <v>15</v>
      </c>
    </row>
    <row r="134" spans="2:11" ht="22" x14ac:dyDescent="0.15">
      <c r="B134" s="28" t="s">
        <v>198</v>
      </c>
      <c r="C134" s="28" t="s">
        <v>199</v>
      </c>
      <c r="D134" s="29">
        <f>SUMIFS(D135:D420,K135:K420,"0",B135:B420,"1 2 3 5 4 12 31111 6 M78 10000 221 00I 002 61400*")-SUMIFS(E135:E420,K135:K420,"0",B135:B420,"1 2 3 5 4 12 31111 6 M78 10000 221 00I 002 61400*")</f>
        <v>0</v>
      </c>
      <c r="E134" s="30"/>
      <c r="F134" s="29">
        <f>SUMIFS(F135:F420,K135:K420,"0",B135:B420,"1 2 3 5 4 12 31111 6 M78 10000 221 00I 002 61400*")</f>
        <v>11107807.819999998</v>
      </c>
      <c r="G134" s="29">
        <f>SUMIFS(G135:G420,K135:K420,"0",B135:B420,"1 2 3 5 4 12 31111 6 M78 10000 221 00I 002 61400*")</f>
        <v>0</v>
      </c>
      <c r="H134" s="29">
        <f t="shared" si="1"/>
        <v>11107807.819999998</v>
      </c>
      <c r="I134" s="29"/>
      <c r="K134" t="s">
        <v>15</v>
      </c>
    </row>
    <row r="135" spans="2:11" ht="22" x14ac:dyDescent="0.15">
      <c r="B135" s="28" t="s">
        <v>200</v>
      </c>
      <c r="C135" s="28" t="s">
        <v>123</v>
      </c>
      <c r="D135" s="29">
        <f>SUMIFS(D136:D420,K136:K420,"0",B136:B420,"1 2 3 5 4 12 31111 6 M78 10000 221 00I 002 61400 025*")-SUMIFS(E136:E420,K136:K420,"0",B136:B420,"1 2 3 5 4 12 31111 6 M78 10000 221 00I 002 61400 025*")</f>
        <v>0</v>
      </c>
      <c r="E135" s="30"/>
      <c r="F135" s="29">
        <f>SUMIFS(F136:F420,K136:K420,"0",B136:B420,"1 2 3 5 4 12 31111 6 M78 10000 221 00I 002 61400 025*")</f>
        <v>11107807.819999998</v>
      </c>
      <c r="G135" s="29">
        <f>SUMIFS(G136:G420,K136:K420,"0",B136:B420,"1 2 3 5 4 12 31111 6 M78 10000 221 00I 002 61400 025*")</f>
        <v>0</v>
      </c>
      <c r="H135" s="29">
        <f t="shared" si="1"/>
        <v>11107807.819999998</v>
      </c>
      <c r="I135" s="29"/>
      <c r="K135" t="s">
        <v>15</v>
      </c>
    </row>
    <row r="136" spans="2:11" ht="22" x14ac:dyDescent="0.15">
      <c r="B136" s="28" t="s">
        <v>201</v>
      </c>
      <c r="C136" s="28" t="s">
        <v>125</v>
      </c>
      <c r="D136" s="29">
        <f>SUMIFS(D137:D420,K137:K420,"0",B137:B420,"1 2 3 5 4 12 31111 6 M78 10000 221 00I 002 61400 025 2210000*")-SUMIFS(E137:E420,K137:K420,"0",B137:B420,"1 2 3 5 4 12 31111 6 M78 10000 221 00I 002 61400 025 2210000*")</f>
        <v>0</v>
      </c>
      <c r="E136" s="30"/>
      <c r="F136" s="29">
        <f>SUMIFS(F137:F420,K137:K420,"0",B137:B420,"1 2 3 5 4 12 31111 6 M78 10000 221 00I 002 61400 025 2210000*")</f>
        <v>11107807.819999998</v>
      </c>
      <c r="G136" s="29">
        <f>SUMIFS(G137:G420,K137:K420,"0",B137:B420,"1 2 3 5 4 12 31111 6 M78 10000 221 00I 002 61400 025 2210000*")</f>
        <v>0</v>
      </c>
      <c r="H136" s="29">
        <f t="shared" si="1"/>
        <v>11107807.819999998</v>
      </c>
      <c r="I136" s="29"/>
      <c r="K136" t="s">
        <v>15</v>
      </c>
    </row>
    <row r="137" spans="2:11" ht="33" x14ac:dyDescent="0.15">
      <c r="B137" s="28" t="s">
        <v>202</v>
      </c>
      <c r="C137" s="28" t="s">
        <v>127</v>
      </c>
      <c r="D137" s="29">
        <f>SUMIFS(D138:D420,K138:K420,"0",B138:B420,"1 2 3 5 4 12 31111 6 M78 10000 221 00I 002 61400 025 2210000 2024*")-SUMIFS(E138:E420,K138:K420,"0",B138:B420,"1 2 3 5 4 12 31111 6 M78 10000 221 00I 002 61400 025 2210000 2024*")</f>
        <v>0</v>
      </c>
      <c r="E137" s="30"/>
      <c r="F137" s="29">
        <f>SUMIFS(F138:F420,K138:K420,"0",B138:B420,"1 2 3 5 4 12 31111 6 M78 10000 221 00I 002 61400 025 2210000 2024*")</f>
        <v>11107807.819999998</v>
      </c>
      <c r="G137" s="29">
        <f>SUMIFS(G138:G420,K138:K420,"0",B138:B420,"1 2 3 5 4 12 31111 6 M78 10000 221 00I 002 61400 025 2210000 2024*")</f>
        <v>0</v>
      </c>
      <c r="H137" s="29">
        <f t="shared" si="1"/>
        <v>11107807.819999998</v>
      </c>
      <c r="I137" s="29"/>
      <c r="K137" t="s">
        <v>15</v>
      </c>
    </row>
    <row r="138" spans="2:11" ht="33" x14ac:dyDescent="0.15">
      <c r="B138" s="28" t="s">
        <v>203</v>
      </c>
      <c r="C138" s="28" t="s">
        <v>129</v>
      </c>
      <c r="D138" s="29">
        <f>SUMIFS(D139:D420,K139:K420,"0",B139:B420,"1 2 3 5 4 12 31111 6 M78 10000 221 00I 002 61400 025 2210000 2024 00000000*")-SUMIFS(E139:E420,K139:K420,"0",B139:B420,"1 2 3 5 4 12 31111 6 M78 10000 221 00I 002 61400 025 2210000 2024 00000000*")</f>
        <v>0</v>
      </c>
      <c r="E138" s="30"/>
      <c r="F138" s="29">
        <f>SUMIFS(F139:F420,K139:K420,"0",B139:B420,"1 2 3 5 4 12 31111 6 M78 10000 221 00I 002 61400 025 2210000 2024 00000000*")</f>
        <v>11107807.819999998</v>
      </c>
      <c r="G138" s="29">
        <f>SUMIFS(G139:G420,K139:K420,"0",B139:B420,"1 2 3 5 4 12 31111 6 M78 10000 221 00I 002 61400 025 2210000 2024 00000000*")</f>
        <v>0</v>
      </c>
      <c r="H138" s="29">
        <f t="shared" si="1"/>
        <v>11107807.819999998</v>
      </c>
      <c r="I138" s="29"/>
      <c r="K138" t="s">
        <v>15</v>
      </c>
    </row>
    <row r="139" spans="2:11" ht="33" x14ac:dyDescent="0.15">
      <c r="B139" s="28" t="s">
        <v>204</v>
      </c>
      <c r="C139" s="28" t="s">
        <v>9</v>
      </c>
      <c r="D139" s="29">
        <f>SUMIFS(D140:D420,K140:K420,"0",B140:B420,"1 2 3 5 4 12 31111 6 M78 10000 221 00I 002 61400 025 2210000 2024 00000000 002*")-SUMIFS(E140:E420,K140:K420,"0",B140:B420,"1 2 3 5 4 12 31111 6 M78 10000 221 00I 002 61400 025 2210000 2024 00000000 002*")</f>
        <v>0</v>
      </c>
      <c r="E139" s="30"/>
      <c r="F139" s="29">
        <f>SUMIFS(F140:F420,K140:K420,"0",B140:B420,"1 2 3 5 4 12 31111 6 M78 10000 221 00I 002 61400 025 2210000 2024 00000000 002*")</f>
        <v>11107807.819999998</v>
      </c>
      <c r="G139" s="29">
        <f>SUMIFS(G140:G420,K140:K420,"0",B140:B420,"1 2 3 5 4 12 31111 6 M78 10000 221 00I 002 61400 025 2210000 2024 00000000 002*")</f>
        <v>0</v>
      </c>
      <c r="H139" s="29">
        <f t="shared" si="1"/>
        <v>11107807.819999998</v>
      </c>
      <c r="I139" s="29"/>
      <c r="K139" t="s">
        <v>15</v>
      </c>
    </row>
    <row r="140" spans="2:11" ht="33" x14ac:dyDescent="0.15">
      <c r="B140" s="31" t="s">
        <v>205</v>
      </c>
      <c r="C140" s="31" t="s">
        <v>206</v>
      </c>
      <c r="D140" s="32">
        <v>0</v>
      </c>
      <c r="E140" s="32"/>
      <c r="F140" s="32">
        <v>1875697.45</v>
      </c>
      <c r="G140" s="32">
        <v>0</v>
      </c>
      <c r="H140" s="32">
        <f t="shared" ref="H140:H203" si="2">D140 + F140 - G140</f>
        <v>1875697.45</v>
      </c>
      <c r="I140" s="32"/>
      <c r="K140" t="s">
        <v>39</v>
      </c>
    </row>
    <row r="141" spans="2:11" ht="33" x14ac:dyDescent="0.15">
      <c r="B141" s="31" t="s">
        <v>207</v>
      </c>
      <c r="C141" s="31" t="s">
        <v>208</v>
      </c>
      <c r="D141" s="32">
        <v>0</v>
      </c>
      <c r="E141" s="32"/>
      <c r="F141" s="32">
        <v>1500000</v>
      </c>
      <c r="G141" s="32">
        <v>0</v>
      </c>
      <c r="H141" s="32">
        <f t="shared" si="2"/>
        <v>1500000</v>
      </c>
      <c r="I141" s="32"/>
      <c r="K141" t="s">
        <v>39</v>
      </c>
    </row>
    <row r="142" spans="2:11" ht="33" x14ac:dyDescent="0.15">
      <c r="B142" s="31" t="s">
        <v>209</v>
      </c>
      <c r="C142" s="31" t="s">
        <v>210</v>
      </c>
      <c r="D142" s="32">
        <v>0</v>
      </c>
      <c r="E142" s="32"/>
      <c r="F142" s="32">
        <v>1398308.31</v>
      </c>
      <c r="G142" s="32">
        <v>0</v>
      </c>
      <c r="H142" s="32">
        <f t="shared" si="2"/>
        <v>1398308.31</v>
      </c>
      <c r="I142" s="32"/>
      <c r="K142" t="s">
        <v>39</v>
      </c>
    </row>
    <row r="143" spans="2:11" ht="33" x14ac:dyDescent="0.15">
      <c r="B143" s="31" t="s">
        <v>211</v>
      </c>
      <c r="C143" s="31" t="s">
        <v>212</v>
      </c>
      <c r="D143" s="32">
        <v>0</v>
      </c>
      <c r="E143" s="32"/>
      <c r="F143" s="32">
        <v>835332.8</v>
      </c>
      <c r="G143" s="32">
        <v>0</v>
      </c>
      <c r="H143" s="32">
        <f t="shared" si="2"/>
        <v>835332.8</v>
      </c>
      <c r="I143" s="32"/>
      <c r="K143" t="s">
        <v>39</v>
      </c>
    </row>
    <row r="144" spans="2:11" ht="33" x14ac:dyDescent="0.15">
      <c r="B144" s="31" t="s">
        <v>213</v>
      </c>
      <c r="C144" s="31" t="s">
        <v>214</v>
      </c>
      <c r="D144" s="32">
        <v>0</v>
      </c>
      <c r="E144" s="32"/>
      <c r="F144" s="32">
        <v>727531.64</v>
      </c>
      <c r="G144" s="32">
        <v>0</v>
      </c>
      <c r="H144" s="32">
        <f t="shared" si="2"/>
        <v>727531.64</v>
      </c>
      <c r="I144" s="32"/>
      <c r="K144" t="s">
        <v>39</v>
      </c>
    </row>
    <row r="145" spans="2:11" ht="33" x14ac:dyDescent="0.15">
      <c r="B145" s="31" t="s">
        <v>215</v>
      </c>
      <c r="C145" s="31" t="s">
        <v>216</v>
      </c>
      <c r="D145" s="32">
        <v>0</v>
      </c>
      <c r="E145" s="32"/>
      <c r="F145" s="32">
        <v>900000</v>
      </c>
      <c r="G145" s="32">
        <v>0</v>
      </c>
      <c r="H145" s="32">
        <f t="shared" si="2"/>
        <v>900000</v>
      </c>
      <c r="I145" s="32"/>
      <c r="K145" t="s">
        <v>39</v>
      </c>
    </row>
    <row r="146" spans="2:11" ht="33" x14ac:dyDescent="0.15">
      <c r="B146" s="31" t="s">
        <v>217</v>
      </c>
      <c r="C146" s="31" t="s">
        <v>218</v>
      </c>
      <c r="D146" s="32">
        <v>0</v>
      </c>
      <c r="E146" s="32"/>
      <c r="F146" s="32">
        <v>1500000</v>
      </c>
      <c r="G146" s="32">
        <v>0</v>
      </c>
      <c r="H146" s="32">
        <f t="shared" si="2"/>
        <v>1500000</v>
      </c>
      <c r="I146" s="32"/>
      <c r="K146" t="s">
        <v>39</v>
      </c>
    </row>
    <row r="147" spans="2:11" ht="33" x14ac:dyDescent="0.15">
      <c r="B147" s="31" t="s">
        <v>219</v>
      </c>
      <c r="C147" s="31" t="s">
        <v>220</v>
      </c>
      <c r="D147" s="32">
        <v>0</v>
      </c>
      <c r="E147" s="32"/>
      <c r="F147" s="32">
        <v>1500000</v>
      </c>
      <c r="G147" s="32">
        <v>0</v>
      </c>
      <c r="H147" s="32">
        <f t="shared" si="2"/>
        <v>1500000</v>
      </c>
      <c r="I147" s="32"/>
      <c r="K147" t="s">
        <v>39</v>
      </c>
    </row>
    <row r="148" spans="2:11" ht="33" x14ac:dyDescent="0.15">
      <c r="B148" s="31" t="s">
        <v>221</v>
      </c>
      <c r="C148" s="31" t="s">
        <v>222</v>
      </c>
      <c r="D148" s="32">
        <v>0</v>
      </c>
      <c r="E148" s="32"/>
      <c r="F148" s="32">
        <v>601294.68000000005</v>
      </c>
      <c r="G148" s="32">
        <v>0</v>
      </c>
      <c r="H148" s="32">
        <f t="shared" si="2"/>
        <v>601294.68000000005</v>
      </c>
      <c r="I148" s="32"/>
      <c r="K148" t="s">
        <v>39</v>
      </c>
    </row>
    <row r="149" spans="2:11" ht="33" x14ac:dyDescent="0.15">
      <c r="B149" s="31" t="s">
        <v>223</v>
      </c>
      <c r="C149" s="31" t="s">
        <v>224</v>
      </c>
      <c r="D149" s="32">
        <v>0</v>
      </c>
      <c r="E149" s="32"/>
      <c r="F149" s="32">
        <v>269642.94</v>
      </c>
      <c r="G149" s="32">
        <v>0</v>
      </c>
      <c r="H149" s="32">
        <f t="shared" si="2"/>
        <v>269642.94</v>
      </c>
      <c r="I149" s="32"/>
      <c r="K149" t="s">
        <v>39</v>
      </c>
    </row>
    <row r="150" spans="2:11" ht="22" x14ac:dyDescent="0.15">
      <c r="B150" s="28" t="s">
        <v>225</v>
      </c>
      <c r="C150" s="28" t="s">
        <v>226</v>
      </c>
      <c r="D150" s="29">
        <f>SUMIFS(D151:D420,K151:K420,"0",B151:B420,"1 2 3 5 4 12 31111 6 M78 10000 351*")-SUMIFS(E151:E420,K151:K420,"0",B151:B420,"1 2 3 5 4 12 31111 6 M78 10000 351*")</f>
        <v>0</v>
      </c>
      <c r="E150" s="30"/>
      <c r="F150" s="29">
        <f>SUMIFS(F151:F420,K151:K420,"0",B151:B420,"1 2 3 5 4 12 31111 6 M78 10000 351*")</f>
        <v>9299851.8199999984</v>
      </c>
      <c r="G150" s="29">
        <f>SUMIFS(G151:G420,K151:K420,"0",B151:B420,"1 2 3 5 4 12 31111 6 M78 10000 351*")</f>
        <v>0</v>
      </c>
      <c r="H150" s="29">
        <f t="shared" si="2"/>
        <v>9299851.8199999984</v>
      </c>
      <c r="I150" s="29"/>
      <c r="K150" t="s">
        <v>15</v>
      </c>
    </row>
    <row r="151" spans="2:11" ht="22" x14ac:dyDescent="0.15">
      <c r="B151" s="28" t="s">
        <v>227</v>
      </c>
      <c r="C151" s="28" t="s">
        <v>117</v>
      </c>
      <c r="D151" s="29">
        <f>SUMIFS(D152:D420,K152:K420,"0",B152:B420,"1 2 3 5 4 12 31111 6 M78 10000 351 00I*")-SUMIFS(E152:E420,K152:K420,"0",B152:B420,"1 2 3 5 4 12 31111 6 M78 10000 351 00I*")</f>
        <v>0</v>
      </c>
      <c r="E151" s="30"/>
      <c r="F151" s="29">
        <f>SUMIFS(F152:F420,K152:K420,"0",B152:B420,"1 2 3 5 4 12 31111 6 M78 10000 351 00I*")</f>
        <v>9299851.8199999984</v>
      </c>
      <c r="G151" s="29">
        <f>SUMIFS(G152:G420,K152:K420,"0",B152:B420,"1 2 3 5 4 12 31111 6 M78 10000 351 00I*")</f>
        <v>0</v>
      </c>
      <c r="H151" s="29">
        <f t="shared" si="2"/>
        <v>9299851.8199999984</v>
      </c>
      <c r="I151" s="29"/>
      <c r="K151" t="s">
        <v>15</v>
      </c>
    </row>
    <row r="152" spans="2:11" ht="22" x14ac:dyDescent="0.15">
      <c r="B152" s="28" t="s">
        <v>228</v>
      </c>
      <c r="C152" s="28" t="s">
        <v>119</v>
      </c>
      <c r="D152" s="29">
        <f>SUMIFS(D153:D420,K153:K420,"0",B153:B420,"1 2 3 5 4 12 31111 6 M78 10000 351 00I 002*")-SUMIFS(E153:E420,K153:K420,"0",B153:B420,"1 2 3 5 4 12 31111 6 M78 10000 351 00I 002*")</f>
        <v>0</v>
      </c>
      <c r="E152" s="30"/>
      <c r="F152" s="29">
        <f>SUMIFS(F153:F420,K153:K420,"0",B153:B420,"1 2 3 5 4 12 31111 6 M78 10000 351 00I 002*")</f>
        <v>9299851.8199999984</v>
      </c>
      <c r="G152" s="29">
        <f>SUMIFS(G153:G420,K153:K420,"0",B153:B420,"1 2 3 5 4 12 31111 6 M78 10000 351 00I 002*")</f>
        <v>0</v>
      </c>
      <c r="H152" s="29">
        <f t="shared" si="2"/>
        <v>9299851.8199999984</v>
      </c>
      <c r="I152" s="29"/>
      <c r="K152" t="s">
        <v>15</v>
      </c>
    </row>
    <row r="153" spans="2:11" ht="22" x14ac:dyDescent="0.15">
      <c r="B153" s="28" t="s">
        <v>229</v>
      </c>
      <c r="C153" s="28" t="s">
        <v>199</v>
      </c>
      <c r="D153" s="29">
        <f>SUMIFS(D154:D420,K154:K420,"0",B154:B420,"1 2 3 5 4 12 31111 6 M78 10000 351 00I 002 61400*")-SUMIFS(E154:E420,K154:K420,"0",B154:B420,"1 2 3 5 4 12 31111 6 M78 10000 351 00I 002 61400*")</f>
        <v>0</v>
      </c>
      <c r="E153" s="30"/>
      <c r="F153" s="29">
        <f>SUMIFS(F154:F420,K154:K420,"0",B154:B420,"1 2 3 5 4 12 31111 6 M78 10000 351 00I 002 61400*")</f>
        <v>9299851.8199999984</v>
      </c>
      <c r="G153" s="29">
        <f>SUMIFS(G154:G420,K154:K420,"0",B154:B420,"1 2 3 5 4 12 31111 6 M78 10000 351 00I 002 61400*")</f>
        <v>0</v>
      </c>
      <c r="H153" s="29">
        <f t="shared" si="2"/>
        <v>9299851.8199999984</v>
      </c>
      <c r="I153" s="29"/>
      <c r="K153" t="s">
        <v>15</v>
      </c>
    </row>
    <row r="154" spans="2:11" ht="22" x14ac:dyDescent="0.15">
      <c r="B154" s="28" t="s">
        <v>230</v>
      </c>
      <c r="C154" s="28" t="s">
        <v>123</v>
      </c>
      <c r="D154" s="29">
        <f>SUMIFS(D155:D420,K155:K420,"0",B155:B420,"1 2 3 5 4 12 31111 6 M78 10000 351 00I 002 61400 025*")-SUMIFS(E155:E420,K155:K420,"0",B155:B420,"1 2 3 5 4 12 31111 6 M78 10000 351 00I 002 61400 025*")</f>
        <v>0</v>
      </c>
      <c r="E154" s="30"/>
      <c r="F154" s="29">
        <f>SUMIFS(F155:F420,K155:K420,"0",B155:B420,"1 2 3 5 4 12 31111 6 M78 10000 351 00I 002 61400 025*")</f>
        <v>9299851.8199999984</v>
      </c>
      <c r="G154" s="29">
        <f>SUMIFS(G155:G420,K155:K420,"0",B155:B420,"1 2 3 5 4 12 31111 6 M78 10000 351 00I 002 61400 025*")</f>
        <v>0</v>
      </c>
      <c r="H154" s="29">
        <f t="shared" si="2"/>
        <v>9299851.8199999984</v>
      </c>
      <c r="I154" s="29"/>
      <c r="K154" t="s">
        <v>15</v>
      </c>
    </row>
    <row r="155" spans="2:11" ht="22" x14ac:dyDescent="0.15">
      <c r="B155" s="28" t="s">
        <v>231</v>
      </c>
      <c r="C155" s="28" t="s">
        <v>125</v>
      </c>
      <c r="D155" s="29">
        <f>SUMIFS(D156:D420,K156:K420,"0",B156:B420,"1 2 3 5 4 12 31111 6 M78 10000 351 00I 002 61400 025 2210000*")-SUMIFS(E156:E420,K156:K420,"0",B156:B420,"1 2 3 5 4 12 31111 6 M78 10000 351 00I 002 61400 025 2210000*")</f>
        <v>0</v>
      </c>
      <c r="E155" s="30"/>
      <c r="F155" s="29">
        <f>SUMIFS(F156:F420,K156:K420,"0",B156:B420,"1 2 3 5 4 12 31111 6 M78 10000 351 00I 002 61400 025 2210000*")</f>
        <v>9299851.8199999984</v>
      </c>
      <c r="G155" s="29">
        <f>SUMIFS(G156:G420,K156:K420,"0",B156:B420,"1 2 3 5 4 12 31111 6 M78 10000 351 00I 002 61400 025 2210000*")</f>
        <v>0</v>
      </c>
      <c r="H155" s="29">
        <f t="shared" si="2"/>
        <v>9299851.8199999984</v>
      </c>
      <c r="I155" s="29"/>
      <c r="K155" t="s">
        <v>15</v>
      </c>
    </row>
    <row r="156" spans="2:11" ht="33" x14ac:dyDescent="0.15">
      <c r="B156" s="28" t="s">
        <v>232</v>
      </c>
      <c r="C156" s="28" t="s">
        <v>127</v>
      </c>
      <c r="D156" s="29">
        <f>SUMIFS(D157:D420,K157:K420,"0",B157:B420,"1 2 3 5 4 12 31111 6 M78 10000 351 00I 002 61400 025 2210000 2024*")-SUMIFS(E157:E420,K157:K420,"0",B157:B420,"1 2 3 5 4 12 31111 6 M78 10000 351 00I 002 61400 025 2210000 2024*")</f>
        <v>0</v>
      </c>
      <c r="E156" s="30"/>
      <c r="F156" s="29">
        <f>SUMIFS(F157:F420,K157:K420,"0",B157:B420,"1 2 3 5 4 12 31111 6 M78 10000 351 00I 002 61400 025 2210000 2024*")</f>
        <v>9299851.8199999984</v>
      </c>
      <c r="G156" s="29">
        <f>SUMIFS(G157:G420,K157:K420,"0",B157:B420,"1 2 3 5 4 12 31111 6 M78 10000 351 00I 002 61400 025 2210000 2024*")</f>
        <v>0</v>
      </c>
      <c r="H156" s="29">
        <f t="shared" si="2"/>
        <v>9299851.8199999984</v>
      </c>
      <c r="I156" s="29"/>
      <c r="K156" t="s">
        <v>15</v>
      </c>
    </row>
    <row r="157" spans="2:11" ht="33" x14ac:dyDescent="0.15">
      <c r="B157" s="28" t="s">
        <v>233</v>
      </c>
      <c r="C157" s="28" t="s">
        <v>129</v>
      </c>
      <c r="D157" s="29">
        <f>SUMIFS(D158:D420,K158:K420,"0",B158:B420,"1 2 3 5 4 12 31111 6 M78 10000 351 00I 002 61400 025 2210000 2024 00000000*")-SUMIFS(E158:E420,K158:K420,"0",B158:B420,"1 2 3 5 4 12 31111 6 M78 10000 351 00I 002 61400 025 2210000 2024 00000000*")</f>
        <v>0</v>
      </c>
      <c r="E157" s="30"/>
      <c r="F157" s="29">
        <f>SUMIFS(F158:F420,K158:K420,"0",B158:B420,"1 2 3 5 4 12 31111 6 M78 10000 351 00I 002 61400 025 2210000 2024 00000000*")</f>
        <v>9299851.8199999984</v>
      </c>
      <c r="G157" s="29">
        <f>SUMIFS(G158:G420,K158:K420,"0",B158:B420,"1 2 3 5 4 12 31111 6 M78 10000 351 00I 002 61400 025 2210000 2024 00000000*")</f>
        <v>0</v>
      </c>
      <c r="H157" s="29">
        <f t="shared" si="2"/>
        <v>9299851.8199999984</v>
      </c>
      <c r="I157" s="29"/>
      <c r="K157" t="s">
        <v>15</v>
      </c>
    </row>
    <row r="158" spans="2:11" ht="33" x14ac:dyDescent="0.15">
      <c r="B158" s="28" t="s">
        <v>234</v>
      </c>
      <c r="C158" s="28" t="s">
        <v>9</v>
      </c>
      <c r="D158" s="29">
        <f>SUMIFS(D159:D420,K159:K420,"0",B159:B420,"1 2 3 5 4 12 31111 6 M78 10000 351 00I 002 61400 025 2210000 2024 00000000 002*")-SUMIFS(E159:E420,K159:K420,"0",B159:B420,"1 2 3 5 4 12 31111 6 M78 10000 351 00I 002 61400 025 2210000 2024 00000000 002*")</f>
        <v>0</v>
      </c>
      <c r="E158" s="30"/>
      <c r="F158" s="29">
        <f>SUMIFS(F159:F420,K159:K420,"0",B159:B420,"1 2 3 5 4 12 31111 6 M78 10000 351 00I 002 61400 025 2210000 2024 00000000 002*")</f>
        <v>9299851.8199999984</v>
      </c>
      <c r="G158" s="29">
        <f>SUMIFS(G159:G420,K159:K420,"0",B159:B420,"1 2 3 5 4 12 31111 6 M78 10000 351 00I 002 61400 025 2210000 2024 00000000 002*")</f>
        <v>0</v>
      </c>
      <c r="H158" s="29">
        <f t="shared" si="2"/>
        <v>9299851.8199999984</v>
      </c>
      <c r="I158" s="29"/>
      <c r="K158" t="s">
        <v>15</v>
      </c>
    </row>
    <row r="159" spans="2:11" ht="33" x14ac:dyDescent="0.15">
      <c r="B159" s="31" t="s">
        <v>235</v>
      </c>
      <c r="C159" s="31" t="s">
        <v>236</v>
      </c>
      <c r="D159" s="32">
        <v>0</v>
      </c>
      <c r="E159" s="32"/>
      <c r="F159" s="32">
        <v>2165788.54</v>
      </c>
      <c r="G159" s="32">
        <v>0</v>
      </c>
      <c r="H159" s="32">
        <f t="shared" si="2"/>
        <v>2165788.54</v>
      </c>
      <c r="I159" s="32"/>
      <c r="K159" t="s">
        <v>39</v>
      </c>
    </row>
    <row r="160" spans="2:11" ht="33" x14ac:dyDescent="0.15">
      <c r="B160" s="31" t="s">
        <v>237</v>
      </c>
      <c r="C160" s="31" t="s">
        <v>238</v>
      </c>
      <c r="D160" s="32">
        <v>0</v>
      </c>
      <c r="E160" s="32"/>
      <c r="F160" s="32">
        <v>2169785.4</v>
      </c>
      <c r="G160" s="32">
        <v>0</v>
      </c>
      <c r="H160" s="32">
        <f t="shared" si="2"/>
        <v>2169785.4</v>
      </c>
      <c r="I160" s="32"/>
      <c r="K160" t="s">
        <v>39</v>
      </c>
    </row>
    <row r="161" spans="2:11" ht="33" x14ac:dyDescent="0.15">
      <c r="B161" s="31" t="s">
        <v>239</v>
      </c>
      <c r="C161" s="31" t="s">
        <v>240</v>
      </c>
      <c r="D161" s="32">
        <v>0</v>
      </c>
      <c r="E161" s="32"/>
      <c r="F161" s="32">
        <v>2171291.4300000002</v>
      </c>
      <c r="G161" s="32">
        <v>0</v>
      </c>
      <c r="H161" s="32">
        <f t="shared" si="2"/>
        <v>2171291.4300000002</v>
      </c>
      <c r="I161" s="32"/>
      <c r="K161" t="s">
        <v>39</v>
      </c>
    </row>
    <row r="162" spans="2:11" ht="33" x14ac:dyDescent="0.15">
      <c r="B162" s="31" t="s">
        <v>241</v>
      </c>
      <c r="C162" s="31" t="s">
        <v>242</v>
      </c>
      <c r="D162" s="32">
        <v>0</v>
      </c>
      <c r="E162" s="32"/>
      <c r="F162" s="32">
        <v>2170369.6800000002</v>
      </c>
      <c r="G162" s="32">
        <v>0</v>
      </c>
      <c r="H162" s="32">
        <f t="shared" si="2"/>
        <v>2170369.6800000002</v>
      </c>
      <c r="I162" s="32"/>
      <c r="K162" t="s">
        <v>39</v>
      </c>
    </row>
    <row r="163" spans="2:11" ht="33" x14ac:dyDescent="0.15">
      <c r="B163" s="31" t="s">
        <v>243</v>
      </c>
      <c r="C163" s="31" t="s">
        <v>244</v>
      </c>
      <c r="D163" s="32">
        <v>0</v>
      </c>
      <c r="E163" s="32"/>
      <c r="F163" s="32">
        <v>622616.77</v>
      </c>
      <c r="G163" s="32">
        <v>0</v>
      </c>
      <c r="H163" s="32">
        <f t="shared" si="2"/>
        <v>622616.77</v>
      </c>
      <c r="I163" s="32"/>
      <c r="K163" t="s">
        <v>39</v>
      </c>
    </row>
    <row r="164" spans="2:11" ht="13" x14ac:dyDescent="0.15">
      <c r="B164" s="28" t="s">
        <v>245</v>
      </c>
      <c r="C164" s="28" t="s">
        <v>246</v>
      </c>
      <c r="D164" s="29">
        <f>SUMIFS(D165:D420,K165:K420,"0",B165:B420,"1 2 4*")-SUMIFS(E165:E420,K165:K420,"0",B165:B420,"1 2 4*")</f>
        <v>1637059.8699999994</v>
      </c>
      <c r="E164" s="30"/>
      <c r="F164" s="29">
        <f>SUMIFS(F165:F420,K165:K420,"0",B165:B420,"1 2 4*")</f>
        <v>0</v>
      </c>
      <c r="G164" s="29">
        <f>SUMIFS(G165:G420,K165:K420,"0",B165:B420,"1 2 4*")</f>
        <v>150000</v>
      </c>
      <c r="H164" s="29">
        <f t="shared" si="2"/>
        <v>1487059.8699999994</v>
      </c>
      <c r="I164" s="29"/>
      <c r="K164" t="s">
        <v>15</v>
      </c>
    </row>
    <row r="165" spans="2:11" ht="13" x14ac:dyDescent="0.15">
      <c r="B165" s="28" t="s">
        <v>247</v>
      </c>
      <c r="C165" s="28" t="s">
        <v>248</v>
      </c>
      <c r="D165" s="29">
        <f>SUMIFS(D166:D420,K166:K420,"0",B166:B420,"1 2 4 1*")-SUMIFS(E166:E420,K166:K420,"0",B166:B420,"1 2 4 1*")</f>
        <v>1307059.8699999994</v>
      </c>
      <c r="E165" s="30"/>
      <c r="F165" s="29">
        <f>SUMIFS(F166:F420,K166:K420,"0",B166:B420,"1 2 4 1*")</f>
        <v>0</v>
      </c>
      <c r="G165" s="29">
        <f>SUMIFS(G166:G420,K166:K420,"0",B166:B420,"1 2 4 1*")</f>
        <v>0</v>
      </c>
      <c r="H165" s="29">
        <f t="shared" si="2"/>
        <v>1307059.8699999994</v>
      </c>
      <c r="I165" s="29"/>
      <c r="K165" t="s">
        <v>15</v>
      </c>
    </row>
    <row r="166" spans="2:11" ht="13" x14ac:dyDescent="0.15">
      <c r="B166" s="28" t="s">
        <v>249</v>
      </c>
      <c r="C166" s="28" t="s">
        <v>250</v>
      </c>
      <c r="D166" s="29">
        <f>SUMIFS(D167:D420,K167:K420,"0",B167:B420,"1 2 4 1 1*")-SUMIFS(E167:E420,K167:K420,"0",B167:B420,"1 2 4 1 1*")</f>
        <v>249087.76</v>
      </c>
      <c r="E166" s="30"/>
      <c r="F166" s="29">
        <f>SUMIFS(F167:F420,K167:K420,"0",B167:B420,"1 2 4 1 1*")</f>
        <v>0</v>
      </c>
      <c r="G166" s="29">
        <f>SUMIFS(G167:G420,K167:K420,"0",B167:B420,"1 2 4 1 1*")</f>
        <v>0</v>
      </c>
      <c r="H166" s="29">
        <f t="shared" si="2"/>
        <v>249087.76</v>
      </c>
      <c r="I166" s="29"/>
      <c r="K166" t="s">
        <v>15</v>
      </c>
    </row>
    <row r="167" spans="2:11" ht="13" x14ac:dyDescent="0.15">
      <c r="B167" s="28" t="s">
        <v>251</v>
      </c>
      <c r="C167" s="28" t="s">
        <v>26</v>
      </c>
      <c r="D167" s="29">
        <f>SUMIFS(D168:D420,K168:K420,"0",B168:B420,"1 2 4 1 1 12*")-SUMIFS(E168:E420,K168:K420,"0",B168:B420,"1 2 4 1 1 12*")</f>
        <v>249087.76</v>
      </c>
      <c r="E167" s="30"/>
      <c r="F167" s="29">
        <f>SUMIFS(F168:F420,K168:K420,"0",B168:B420,"1 2 4 1 1 12*")</f>
        <v>0</v>
      </c>
      <c r="G167" s="29">
        <f>SUMIFS(G168:G420,K168:K420,"0",B168:B420,"1 2 4 1 1 12*")</f>
        <v>0</v>
      </c>
      <c r="H167" s="29">
        <f t="shared" si="2"/>
        <v>249087.76</v>
      </c>
      <c r="I167" s="29"/>
      <c r="K167" t="s">
        <v>15</v>
      </c>
    </row>
    <row r="168" spans="2:11" ht="13" x14ac:dyDescent="0.15">
      <c r="B168" s="28" t="s">
        <v>252</v>
      </c>
      <c r="C168" s="28" t="s">
        <v>28</v>
      </c>
      <c r="D168" s="29">
        <f>SUMIFS(D169:D420,K169:K420,"0",B169:B420,"1 2 4 1 1 12 31111*")-SUMIFS(E169:E420,K169:K420,"0",B169:B420,"1 2 4 1 1 12 31111*")</f>
        <v>249087.76</v>
      </c>
      <c r="E168" s="30"/>
      <c r="F168" s="29">
        <f>SUMIFS(F169:F420,K169:K420,"0",B169:B420,"1 2 4 1 1 12 31111*")</f>
        <v>0</v>
      </c>
      <c r="G168" s="29">
        <f>SUMIFS(G169:G420,K169:K420,"0",B169:B420,"1 2 4 1 1 12 31111*")</f>
        <v>0</v>
      </c>
      <c r="H168" s="29">
        <f t="shared" si="2"/>
        <v>249087.76</v>
      </c>
      <c r="I168" s="29"/>
      <c r="K168" t="s">
        <v>15</v>
      </c>
    </row>
    <row r="169" spans="2:11" ht="13" x14ac:dyDescent="0.15">
      <c r="B169" s="28" t="s">
        <v>253</v>
      </c>
      <c r="C169" s="28" t="s">
        <v>30</v>
      </c>
      <c r="D169" s="29">
        <f>SUMIFS(D170:D420,K170:K420,"0",B170:B420,"1 2 4 1 1 12 31111 6*")-SUMIFS(E170:E420,K170:K420,"0",B170:B420,"1 2 4 1 1 12 31111 6*")</f>
        <v>249087.76</v>
      </c>
      <c r="E169" s="30"/>
      <c r="F169" s="29">
        <f>SUMIFS(F170:F420,K170:K420,"0",B170:B420,"1 2 4 1 1 12 31111 6*")</f>
        <v>0</v>
      </c>
      <c r="G169" s="29">
        <f>SUMIFS(G170:G420,K170:K420,"0",B170:B420,"1 2 4 1 1 12 31111 6*")</f>
        <v>0</v>
      </c>
      <c r="H169" s="29">
        <f t="shared" si="2"/>
        <v>249087.76</v>
      </c>
      <c r="I169" s="29"/>
      <c r="K169" t="s">
        <v>15</v>
      </c>
    </row>
    <row r="170" spans="2:11" ht="13" x14ac:dyDescent="0.15">
      <c r="B170" s="28" t="s">
        <v>254</v>
      </c>
      <c r="C170" s="28" t="s">
        <v>32</v>
      </c>
      <c r="D170" s="29">
        <f>SUMIFS(D171:D420,K171:K420,"0",B171:B420,"1 2 4 1 1 12 31111 6 M78*")-SUMIFS(E171:E420,K171:K420,"0",B171:B420,"1 2 4 1 1 12 31111 6 M78*")</f>
        <v>249087.76</v>
      </c>
      <c r="E170" s="30"/>
      <c r="F170" s="29">
        <f>SUMIFS(F171:F420,K171:K420,"0",B171:B420,"1 2 4 1 1 12 31111 6 M78*")</f>
        <v>0</v>
      </c>
      <c r="G170" s="29">
        <f>SUMIFS(G171:G420,K171:K420,"0",B171:B420,"1 2 4 1 1 12 31111 6 M78*")</f>
        <v>0</v>
      </c>
      <c r="H170" s="29">
        <f t="shared" si="2"/>
        <v>249087.76</v>
      </c>
      <c r="I170" s="29"/>
      <c r="K170" t="s">
        <v>15</v>
      </c>
    </row>
    <row r="171" spans="2:11" ht="13" x14ac:dyDescent="0.15">
      <c r="B171" s="28" t="s">
        <v>255</v>
      </c>
      <c r="C171" s="28" t="s">
        <v>256</v>
      </c>
      <c r="D171" s="29">
        <f>SUMIFS(D172:D420,K172:K420,"0",B172:B420,"1 2 4 1 1 12 31111 6 M78 00000*")-SUMIFS(E172:E420,K172:K420,"0",B172:B420,"1 2 4 1 1 12 31111 6 M78 00000*")</f>
        <v>249087.76</v>
      </c>
      <c r="E171" s="30"/>
      <c r="F171" s="29">
        <f>SUMIFS(F172:F420,K172:K420,"0",B172:B420,"1 2 4 1 1 12 31111 6 M78 00000*")</f>
        <v>0</v>
      </c>
      <c r="G171" s="29">
        <f>SUMIFS(G172:G420,K172:K420,"0",B172:B420,"1 2 4 1 1 12 31111 6 M78 00000*")</f>
        <v>0</v>
      </c>
      <c r="H171" s="29">
        <f t="shared" si="2"/>
        <v>249087.76</v>
      </c>
      <c r="I171" s="29"/>
      <c r="K171" t="s">
        <v>15</v>
      </c>
    </row>
    <row r="172" spans="2:11" ht="22" x14ac:dyDescent="0.15">
      <c r="B172" s="28" t="s">
        <v>257</v>
      </c>
      <c r="C172" s="28" t="s">
        <v>59</v>
      </c>
      <c r="D172" s="29">
        <f>SUMIFS(D173:D420,K173:K420,"0",B173:B420,"1 2 4 1 1 12 31111 6 M78 00000 002*")-SUMIFS(E173:E420,K173:K420,"0",B173:B420,"1 2 4 1 1 12 31111 6 M78 00000 002*")</f>
        <v>249087.76</v>
      </c>
      <c r="E172" s="30"/>
      <c r="F172" s="29">
        <f>SUMIFS(F173:F420,K173:K420,"0",B173:B420,"1 2 4 1 1 12 31111 6 M78 00000 002*")</f>
        <v>0</v>
      </c>
      <c r="G172" s="29">
        <f>SUMIFS(G173:G420,K173:K420,"0",B173:B420,"1 2 4 1 1 12 31111 6 M78 00000 002*")</f>
        <v>0</v>
      </c>
      <c r="H172" s="29">
        <f t="shared" si="2"/>
        <v>249087.76</v>
      </c>
      <c r="I172" s="29"/>
      <c r="K172" t="s">
        <v>15</v>
      </c>
    </row>
    <row r="173" spans="2:11" ht="22" x14ac:dyDescent="0.15">
      <c r="B173" s="28" t="s">
        <v>258</v>
      </c>
      <c r="C173" s="28" t="s">
        <v>259</v>
      </c>
      <c r="D173" s="29">
        <f>SUMIFS(D174:D420,K174:K420,"0",B174:B420,"1 2 4 1 1 12 31111 6 M78 00000 002 001*")-SUMIFS(E174:E420,K174:K420,"0",B174:B420,"1 2 4 1 1 12 31111 6 M78 00000 002 001*")</f>
        <v>249087.76</v>
      </c>
      <c r="E173" s="30"/>
      <c r="F173" s="29">
        <f>SUMIFS(F174:F420,K174:K420,"0",B174:B420,"1 2 4 1 1 12 31111 6 M78 00000 002 001*")</f>
        <v>0</v>
      </c>
      <c r="G173" s="29">
        <f>SUMIFS(G174:G420,K174:K420,"0",B174:B420,"1 2 4 1 1 12 31111 6 M78 00000 002 001*")</f>
        <v>0</v>
      </c>
      <c r="H173" s="29">
        <f t="shared" si="2"/>
        <v>249087.76</v>
      </c>
      <c r="I173" s="29"/>
      <c r="K173" t="s">
        <v>15</v>
      </c>
    </row>
    <row r="174" spans="2:11" ht="22" x14ac:dyDescent="0.15">
      <c r="B174" s="31" t="s">
        <v>260</v>
      </c>
      <c r="C174" s="31" t="s">
        <v>261</v>
      </c>
      <c r="D174" s="32">
        <v>2970</v>
      </c>
      <c r="E174" s="32"/>
      <c r="F174" s="32">
        <v>0</v>
      </c>
      <c r="G174" s="32">
        <v>0</v>
      </c>
      <c r="H174" s="32">
        <f t="shared" si="2"/>
        <v>2970</v>
      </c>
      <c r="I174" s="32"/>
      <c r="K174" t="s">
        <v>39</v>
      </c>
    </row>
    <row r="175" spans="2:11" ht="22" x14ac:dyDescent="0.15">
      <c r="B175" s="31" t="s">
        <v>262</v>
      </c>
      <c r="C175" s="31" t="s">
        <v>261</v>
      </c>
      <c r="D175" s="32">
        <v>2970</v>
      </c>
      <c r="E175" s="32"/>
      <c r="F175" s="32">
        <v>0</v>
      </c>
      <c r="G175" s="32">
        <v>0</v>
      </c>
      <c r="H175" s="32">
        <f t="shared" si="2"/>
        <v>2970</v>
      </c>
      <c r="I175" s="32"/>
      <c r="K175" t="s">
        <v>39</v>
      </c>
    </row>
    <row r="176" spans="2:11" ht="22" x14ac:dyDescent="0.15">
      <c r="B176" s="31" t="s">
        <v>263</v>
      </c>
      <c r="C176" s="31" t="s">
        <v>264</v>
      </c>
      <c r="D176" s="32">
        <v>3102.74</v>
      </c>
      <c r="E176" s="32"/>
      <c r="F176" s="32">
        <v>0</v>
      </c>
      <c r="G176" s="32">
        <v>0</v>
      </c>
      <c r="H176" s="32">
        <f t="shared" si="2"/>
        <v>3102.74</v>
      </c>
      <c r="I176" s="32"/>
      <c r="K176" t="s">
        <v>39</v>
      </c>
    </row>
    <row r="177" spans="2:11" ht="22" x14ac:dyDescent="0.15">
      <c r="B177" s="31" t="s">
        <v>265</v>
      </c>
      <c r="C177" s="31" t="s">
        <v>264</v>
      </c>
      <c r="D177" s="32">
        <v>3102.74</v>
      </c>
      <c r="E177" s="32"/>
      <c r="F177" s="32">
        <v>0</v>
      </c>
      <c r="G177" s="32">
        <v>0</v>
      </c>
      <c r="H177" s="32">
        <f t="shared" si="2"/>
        <v>3102.74</v>
      </c>
      <c r="I177" s="32"/>
      <c r="K177" t="s">
        <v>39</v>
      </c>
    </row>
    <row r="178" spans="2:11" ht="22" x14ac:dyDescent="0.15">
      <c r="B178" s="31" t="s">
        <v>266</v>
      </c>
      <c r="C178" s="31" t="s">
        <v>264</v>
      </c>
      <c r="D178" s="32">
        <v>3102.74</v>
      </c>
      <c r="E178" s="32"/>
      <c r="F178" s="32">
        <v>0</v>
      </c>
      <c r="G178" s="32">
        <v>0</v>
      </c>
      <c r="H178" s="32">
        <f t="shared" si="2"/>
        <v>3102.74</v>
      </c>
      <c r="I178" s="32"/>
      <c r="K178" t="s">
        <v>39</v>
      </c>
    </row>
    <row r="179" spans="2:11" ht="22" x14ac:dyDescent="0.15">
      <c r="B179" s="31" t="s">
        <v>267</v>
      </c>
      <c r="C179" s="31" t="s">
        <v>268</v>
      </c>
      <c r="D179" s="32">
        <v>8051.24</v>
      </c>
      <c r="E179" s="32"/>
      <c r="F179" s="32">
        <v>0</v>
      </c>
      <c r="G179" s="32">
        <v>0</v>
      </c>
      <c r="H179" s="32">
        <f t="shared" si="2"/>
        <v>8051.24</v>
      </c>
      <c r="I179" s="32"/>
      <c r="K179" t="s">
        <v>39</v>
      </c>
    </row>
    <row r="180" spans="2:11" ht="22" x14ac:dyDescent="0.15">
      <c r="B180" s="31" t="s">
        <v>269</v>
      </c>
      <c r="C180" s="31" t="s">
        <v>268</v>
      </c>
      <c r="D180" s="32">
        <v>8051.24</v>
      </c>
      <c r="E180" s="32"/>
      <c r="F180" s="32">
        <v>0</v>
      </c>
      <c r="G180" s="32">
        <v>0</v>
      </c>
      <c r="H180" s="32">
        <f t="shared" si="2"/>
        <v>8051.24</v>
      </c>
      <c r="I180" s="32"/>
      <c r="K180" t="s">
        <v>39</v>
      </c>
    </row>
    <row r="181" spans="2:11" ht="22" x14ac:dyDescent="0.15">
      <c r="B181" s="31" t="s">
        <v>270</v>
      </c>
      <c r="C181" s="31" t="s">
        <v>268</v>
      </c>
      <c r="D181" s="32">
        <v>8051.24</v>
      </c>
      <c r="E181" s="32"/>
      <c r="F181" s="32">
        <v>0</v>
      </c>
      <c r="G181" s="32">
        <v>0</v>
      </c>
      <c r="H181" s="32">
        <f t="shared" si="2"/>
        <v>8051.24</v>
      </c>
      <c r="I181" s="32"/>
      <c r="K181" t="s">
        <v>39</v>
      </c>
    </row>
    <row r="182" spans="2:11" ht="22" x14ac:dyDescent="0.15">
      <c r="B182" s="31" t="s">
        <v>271</v>
      </c>
      <c r="C182" s="31" t="s">
        <v>268</v>
      </c>
      <c r="D182" s="32">
        <v>8051.24</v>
      </c>
      <c r="E182" s="32"/>
      <c r="F182" s="32">
        <v>0</v>
      </c>
      <c r="G182" s="32">
        <v>0</v>
      </c>
      <c r="H182" s="32">
        <f t="shared" si="2"/>
        <v>8051.24</v>
      </c>
      <c r="I182" s="32"/>
      <c r="K182" t="s">
        <v>39</v>
      </c>
    </row>
    <row r="183" spans="2:11" ht="22" x14ac:dyDescent="0.15">
      <c r="B183" s="31" t="s">
        <v>272</v>
      </c>
      <c r="C183" s="31" t="s">
        <v>273</v>
      </c>
      <c r="D183" s="32">
        <v>6484.03</v>
      </c>
      <c r="E183" s="32"/>
      <c r="F183" s="32">
        <v>0</v>
      </c>
      <c r="G183" s="32">
        <v>0</v>
      </c>
      <c r="H183" s="32">
        <f t="shared" si="2"/>
        <v>6484.03</v>
      </c>
      <c r="I183" s="32"/>
      <c r="K183" t="s">
        <v>39</v>
      </c>
    </row>
    <row r="184" spans="2:11" ht="22" x14ac:dyDescent="0.15">
      <c r="B184" s="31" t="s">
        <v>274</v>
      </c>
      <c r="C184" s="31" t="s">
        <v>273</v>
      </c>
      <c r="D184" s="32">
        <v>6484.03</v>
      </c>
      <c r="E184" s="32"/>
      <c r="F184" s="32">
        <v>0</v>
      </c>
      <c r="G184" s="32">
        <v>0</v>
      </c>
      <c r="H184" s="32">
        <f t="shared" si="2"/>
        <v>6484.03</v>
      </c>
      <c r="I184" s="32"/>
      <c r="K184" t="s">
        <v>39</v>
      </c>
    </row>
    <row r="185" spans="2:11" ht="22" x14ac:dyDescent="0.15">
      <c r="B185" s="31" t="s">
        <v>275</v>
      </c>
      <c r="C185" s="31" t="s">
        <v>273</v>
      </c>
      <c r="D185" s="32">
        <v>6484.03</v>
      </c>
      <c r="E185" s="32"/>
      <c r="F185" s="32">
        <v>0</v>
      </c>
      <c r="G185" s="32">
        <v>0</v>
      </c>
      <c r="H185" s="32">
        <f t="shared" si="2"/>
        <v>6484.03</v>
      </c>
      <c r="I185" s="32"/>
      <c r="K185" t="s">
        <v>39</v>
      </c>
    </row>
    <row r="186" spans="2:11" ht="22" x14ac:dyDescent="0.15">
      <c r="B186" s="31" t="s">
        <v>276</v>
      </c>
      <c r="C186" s="31" t="s">
        <v>273</v>
      </c>
      <c r="D186" s="32">
        <v>6484.03</v>
      </c>
      <c r="E186" s="32"/>
      <c r="F186" s="32">
        <v>0</v>
      </c>
      <c r="G186" s="32">
        <v>0</v>
      </c>
      <c r="H186" s="32">
        <f t="shared" si="2"/>
        <v>6484.03</v>
      </c>
      <c r="I186" s="32"/>
      <c r="K186" t="s">
        <v>39</v>
      </c>
    </row>
    <row r="187" spans="2:11" ht="22" x14ac:dyDescent="0.15">
      <c r="B187" s="31" t="s">
        <v>277</v>
      </c>
      <c r="C187" s="31" t="s">
        <v>273</v>
      </c>
      <c r="D187" s="32">
        <v>6484.03</v>
      </c>
      <c r="E187" s="32"/>
      <c r="F187" s="32">
        <v>0</v>
      </c>
      <c r="G187" s="32">
        <v>0</v>
      </c>
      <c r="H187" s="32">
        <f t="shared" si="2"/>
        <v>6484.03</v>
      </c>
      <c r="I187" s="32"/>
      <c r="K187" t="s">
        <v>39</v>
      </c>
    </row>
    <row r="188" spans="2:11" ht="22" x14ac:dyDescent="0.15">
      <c r="B188" s="31" t="s">
        <v>278</v>
      </c>
      <c r="C188" s="31" t="s">
        <v>273</v>
      </c>
      <c r="D188" s="32">
        <v>6484.03</v>
      </c>
      <c r="E188" s="32"/>
      <c r="F188" s="32">
        <v>0</v>
      </c>
      <c r="G188" s="32">
        <v>0</v>
      </c>
      <c r="H188" s="32">
        <f t="shared" si="2"/>
        <v>6484.03</v>
      </c>
      <c r="I188" s="32"/>
      <c r="K188" t="s">
        <v>39</v>
      </c>
    </row>
    <row r="189" spans="2:11" ht="22" x14ac:dyDescent="0.15">
      <c r="B189" s="31" t="s">
        <v>279</v>
      </c>
      <c r="C189" s="31" t="s">
        <v>273</v>
      </c>
      <c r="D189" s="32">
        <v>6484.03</v>
      </c>
      <c r="E189" s="32"/>
      <c r="F189" s="32">
        <v>0</v>
      </c>
      <c r="G189" s="32">
        <v>0</v>
      </c>
      <c r="H189" s="32">
        <f t="shared" si="2"/>
        <v>6484.03</v>
      </c>
      <c r="I189" s="32"/>
      <c r="K189" t="s">
        <v>39</v>
      </c>
    </row>
    <row r="190" spans="2:11" ht="22" x14ac:dyDescent="0.15">
      <c r="B190" s="31" t="s">
        <v>280</v>
      </c>
      <c r="C190" s="31" t="s">
        <v>273</v>
      </c>
      <c r="D190" s="32">
        <v>6484.03</v>
      </c>
      <c r="E190" s="32"/>
      <c r="F190" s="32">
        <v>0</v>
      </c>
      <c r="G190" s="32">
        <v>0</v>
      </c>
      <c r="H190" s="32">
        <f t="shared" si="2"/>
        <v>6484.03</v>
      </c>
      <c r="I190" s="32"/>
      <c r="K190" t="s">
        <v>39</v>
      </c>
    </row>
    <row r="191" spans="2:11" ht="22" x14ac:dyDescent="0.15">
      <c r="B191" s="31" t="s">
        <v>281</v>
      </c>
      <c r="C191" s="31" t="s">
        <v>282</v>
      </c>
      <c r="D191" s="32">
        <v>3892.55</v>
      </c>
      <c r="E191" s="32"/>
      <c r="F191" s="32">
        <v>0</v>
      </c>
      <c r="G191" s="32">
        <v>0</v>
      </c>
      <c r="H191" s="32">
        <f t="shared" si="2"/>
        <v>3892.55</v>
      </c>
      <c r="I191" s="32"/>
      <c r="K191" t="s">
        <v>39</v>
      </c>
    </row>
    <row r="192" spans="2:11" ht="22" x14ac:dyDescent="0.15">
      <c r="B192" s="31" t="s">
        <v>283</v>
      </c>
      <c r="C192" s="31" t="s">
        <v>284</v>
      </c>
      <c r="D192" s="32">
        <v>145869.79</v>
      </c>
      <c r="E192" s="32"/>
      <c r="F192" s="32">
        <v>0</v>
      </c>
      <c r="G192" s="32">
        <v>0</v>
      </c>
      <c r="H192" s="32">
        <f t="shared" si="2"/>
        <v>145869.79</v>
      </c>
      <c r="I192" s="32"/>
      <c r="K192" t="s">
        <v>39</v>
      </c>
    </row>
    <row r="193" spans="2:11" ht="13" x14ac:dyDescent="0.15">
      <c r="B193" s="28" t="s">
        <v>285</v>
      </c>
      <c r="C193" s="28" t="s">
        <v>286</v>
      </c>
      <c r="D193" s="29">
        <f>SUMIFS(D194:D420,K194:K420,"0",B194:B420,"1 2 4 1 3*")-SUMIFS(E194:E420,K194:K420,"0",B194:B420,"1 2 4 1 3*")</f>
        <v>130110.80000000002</v>
      </c>
      <c r="E193" s="30"/>
      <c r="F193" s="29">
        <f>SUMIFS(F194:F420,K194:K420,"0",B194:B420,"1 2 4 1 3*")</f>
        <v>0</v>
      </c>
      <c r="G193" s="29">
        <f>SUMIFS(G194:G420,K194:K420,"0",B194:B420,"1 2 4 1 3*")</f>
        <v>0</v>
      </c>
      <c r="H193" s="29">
        <f t="shared" si="2"/>
        <v>130110.80000000002</v>
      </c>
      <c r="I193" s="29"/>
      <c r="K193" t="s">
        <v>15</v>
      </c>
    </row>
    <row r="194" spans="2:11" ht="13" x14ac:dyDescent="0.15">
      <c r="B194" s="28" t="s">
        <v>287</v>
      </c>
      <c r="C194" s="28" t="s">
        <v>26</v>
      </c>
      <c r="D194" s="29">
        <f>SUMIFS(D195:D420,K195:K420,"0",B195:B420,"1 2 4 1 3 12*")-SUMIFS(E195:E420,K195:K420,"0",B195:B420,"1 2 4 1 3 12*")</f>
        <v>130110.80000000002</v>
      </c>
      <c r="E194" s="30"/>
      <c r="F194" s="29">
        <f>SUMIFS(F195:F420,K195:K420,"0",B195:B420,"1 2 4 1 3 12*")</f>
        <v>0</v>
      </c>
      <c r="G194" s="29">
        <f>SUMIFS(G195:G420,K195:K420,"0",B195:B420,"1 2 4 1 3 12*")</f>
        <v>0</v>
      </c>
      <c r="H194" s="29">
        <f t="shared" si="2"/>
        <v>130110.80000000002</v>
      </c>
      <c r="I194" s="29"/>
      <c r="K194" t="s">
        <v>15</v>
      </c>
    </row>
    <row r="195" spans="2:11" ht="13" x14ac:dyDescent="0.15">
      <c r="B195" s="28" t="s">
        <v>288</v>
      </c>
      <c r="C195" s="28" t="s">
        <v>28</v>
      </c>
      <c r="D195" s="29">
        <f>SUMIFS(D196:D420,K196:K420,"0",B196:B420,"1 2 4 1 3 12 31111*")-SUMIFS(E196:E420,K196:K420,"0",B196:B420,"1 2 4 1 3 12 31111*")</f>
        <v>130110.80000000002</v>
      </c>
      <c r="E195" s="30"/>
      <c r="F195" s="29">
        <f>SUMIFS(F196:F420,K196:K420,"0",B196:B420,"1 2 4 1 3 12 31111*")</f>
        <v>0</v>
      </c>
      <c r="G195" s="29">
        <f>SUMIFS(G196:G420,K196:K420,"0",B196:B420,"1 2 4 1 3 12 31111*")</f>
        <v>0</v>
      </c>
      <c r="H195" s="29">
        <f t="shared" si="2"/>
        <v>130110.80000000002</v>
      </c>
      <c r="I195" s="29"/>
      <c r="K195" t="s">
        <v>15</v>
      </c>
    </row>
    <row r="196" spans="2:11" ht="13" x14ac:dyDescent="0.15">
      <c r="B196" s="28" t="s">
        <v>289</v>
      </c>
      <c r="C196" s="28" t="s">
        <v>30</v>
      </c>
      <c r="D196" s="29">
        <f>SUMIFS(D197:D420,K197:K420,"0",B197:B420,"1 2 4 1 3 12 31111 6*")-SUMIFS(E197:E420,K197:K420,"0",B197:B420,"1 2 4 1 3 12 31111 6*")</f>
        <v>130110.80000000002</v>
      </c>
      <c r="E196" s="30"/>
      <c r="F196" s="29">
        <f>SUMIFS(F197:F420,K197:K420,"0",B197:B420,"1 2 4 1 3 12 31111 6*")</f>
        <v>0</v>
      </c>
      <c r="G196" s="29">
        <f>SUMIFS(G197:G420,K197:K420,"0",B197:B420,"1 2 4 1 3 12 31111 6*")</f>
        <v>0</v>
      </c>
      <c r="H196" s="29">
        <f t="shared" si="2"/>
        <v>130110.80000000002</v>
      </c>
      <c r="I196" s="29"/>
      <c r="K196" t="s">
        <v>15</v>
      </c>
    </row>
    <row r="197" spans="2:11" ht="13" x14ac:dyDescent="0.15">
      <c r="B197" s="28" t="s">
        <v>290</v>
      </c>
      <c r="C197" s="28" t="s">
        <v>32</v>
      </c>
      <c r="D197" s="29">
        <f>SUMIFS(D198:D420,K198:K420,"0",B198:B420,"1 2 4 1 3 12 31111 6 M78*")-SUMIFS(E198:E420,K198:K420,"0",B198:B420,"1 2 4 1 3 12 31111 6 M78*")</f>
        <v>130110.80000000002</v>
      </c>
      <c r="E197" s="30"/>
      <c r="F197" s="29">
        <f>SUMIFS(F198:F420,K198:K420,"0",B198:B420,"1 2 4 1 3 12 31111 6 M78*")</f>
        <v>0</v>
      </c>
      <c r="G197" s="29">
        <f>SUMIFS(G198:G420,K198:K420,"0",B198:B420,"1 2 4 1 3 12 31111 6 M78*")</f>
        <v>0</v>
      </c>
      <c r="H197" s="29">
        <f t="shared" si="2"/>
        <v>130110.80000000002</v>
      </c>
      <c r="I197" s="29"/>
      <c r="K197" t="s">
        <v>15</v>
      </c>
    </row>
    <row r="198" spans="2:11" ht="13" x14ac:dyDescent="0.15">
      <c r="B198" s="28" t="s">
        <v>291</v>
      </c>
      <c r="C198" s="28" t="s">
        <v>256</v>
      </c>
      <c r="D198" s="29">
        <f>SUMIFS(D199:D420,K199:K420,"0",B199:B420,"1 2 4 1 3 12 31111 6 M78 00000*")-SUMIFS(E199:E420,K199:K420,"0",B199:B420,"1 2 4 1 3 12 31111 6 M78 00000*")</f>
        <v>130110.80000000002</v>
      </c>
      <c r="E198" s="30"/>
      <c r="F198" s="29">
        <f>SUMIFS(F199:F420,K199:K420,"0",B199:B420,"1 2 4 1 3 12 31111 6 M78 00000*")</f>
        <v>0</v>
      </c>
      <c r="G198" s="29">
        <f>SUMIFS(G199:G420,K199:K420,"0",B199:B420,"1 2 4 1 3 12 31111 6 M78 00000*")</f>
        <v>0</v>
      </c>
      <c r="H198" s="29">
        <f t="shared" si="2"/>
        <v>130110.80000000002</v>
      </c>
      <c r="I198" s="29"/>
      <c r="K198" t="s">
        <v>15</v>
      </c>
    </row>
    <row r="199" spans="2:11" ht="22" x14ac:dyDescent="0.15">
      <c r="B199" s="28" t="s">
        <v>292</v>
      </c>
      <c r="C199" s="28" t="s">
        <v>293</v>
      </c>
      <c r="D199" s="29">
        <f>SUMIFS(D200:D420,K200:K420,"0",B200:B420,"1 2 4 1 3 12 31111 6 M78 00000 002*")-SUMIFS(E200:E420,K200:K420,"0",B200:B420,"1 2 4 1 3 12 31111 6 M78 00000 002*")</f>
        <v>130110.80000000002</v>
      </c>
      <c r="E199" s="30"/>
      <c r="F199" s="29">
        <f>SUMIFS(F200:F420,K200:K420,"0",B200:B420,"1 2 4 1 3 12 31111 6 M78 00000 002*")</f>
        <v>0</v>
      </c>
      <c r="G199" s="29">
        <f>SUMIFS(G200:G420,K200:K420,"0",B200:B420,"1 2 4 1 3 12 31111 6 M78 00000 002*")</f>
        <v>0</v>
      </c>
      <c r="H199" s="29">
        <f t="shared" si="2"/>
        <v>130110.80000000002</v>
      </c>
      <c r="I199" s="29"/>
      <c r="K199" t="s">
        <v>15</v>
      </c>
    </row>
    <row r="200" spans="2:11" ht="22" x14ac:dyDescent="0.15">
      <c r="B200" s="28" t="s">
        <v>294</v>
      </c>
      <c r="C200" s="28" t="s">
        <v>259</v>
      </c>
      <c r="D200" s="29">
        <f>SUMIFS(D201:D420,K201:K420,"0",B201:B420,"1 2 4 1 3 12 31111 6 M78 00000 002 001*")-SUMIFS(E201:E420,K201:K420,"0",B201:B420,"1 2 4 1 3 12 31111 6 M78 00000 002 001*")</f>
        <v>130110.80000000002</v>
      </c>
      <c r="E200" s="30"/>
      <c r="F200" s="29">
        <f>SUMIFS(F201:F420,K201:K420,"0",B201:B420,"1 2 4 1 3 12 31111 6 M78 00000 002 001*")</f>
        <v>0</v>
      </c>
      <c r="G200" s="29">
        <f>SUMIFS(G201:G420,K201:K420,"0",B201:B420,"1 2 4 1 3 12 31111 6 M78 00000 002 001*")</f>
        <v>0</v>
      </c>
      <c r="H200" s="29">
        <f t="shared" si="2"/>
        <v>130110.80000000002</v>
      </c>
      <c r="I200" s="29"/>
      <c r="K200" t="s">
        <v>15</v>
      </c>
    </row>
    <row r="201" spans="2:11" ht="22" x14ac:dyDescent="0.15">
      <c r="B201" s="31" t="s">
        <v>295</v>
      </c>
      <c r="C201" s="31" t="s">
        <v>296</v>
      </c>
      <c r="D201" s="32">
        <v>12474.35</v>
      </c>
      <c r="E201" s="32"/>
      <c r="F201" s="32">
        <v>0</v>
      </c>
      <c r="G201" s="32">
        <v>0</v>
      </c>
      <c r="H201" s="32">
        <f t="shared" si="2"/>
        <v>12474.35</v>
      </c>
      <c r="I201" s="32"/>
      <c r="K201" t="s">
        <v>39</v>
      </c>
    </row>
    <row r="202" spans="2:11" ht="22" x14ac:dyDescent="0.15">
      <c r="B202" s="31" t="s">
        <v>297</v>
      </c>
      <c r="C202" s="31" t="s">
        <v>296</v>
      </c>
      <c r="D202" s="32">
        <v>12474.35</v>
      </c>
      <c r="E202" s="32"/>
      <c r="F202" s="32">
        <v>0</v>
      </c>
      <c r="G202" s="32">
        <v>0</v>
      </c>
      <c r="H202" s="32">
        <f t="shared" si="2"/>
        <v>12474.35</v>
      </c>
      <c r="I202" s="32"/>
      <c r="K202" t="s">
        <v>39</v>
      </c>
    </row>
    <row r="203" spans="2:11" ht="22" x14ac:dyDescent="0.15">
      <c r="B203" s="31" t="s">
        <v>298</v>
      </c>
      <c r="C203" s="31" t="s">
        <v>296</v>
      </c>
      <c r="D203" s="32">
        <v>12474.35</v>
      </c>
      <c r="E203" s="32"/>
      <c r="F203" s="32">
        <v>0</v>
      </c>
      <c r="G203" s="32">
        <v>0</v>
      </c>
      <c r="H203" s="32">
        <f t="shared" si="2"/>
        <v>12474.35</v>
      </c>
      <c r="I203" s="32"/>
      <c r="K203" t="s">
        <v>39</v>
      </c>
    </row>
    <row r="204" spans="2:11" ht="22" x14ac:dyDescent="0.15">
      <c r="B204" s="31" t="s">
        <v>299</v>
      </c>
      <c r="C204" s="31" t="s">
        <v>296</v>
      </c>
      <c r="D204" s="32">
        <v>12474.35</v>
      </c>
      <c r="E204" s="32"/>
      <c r="F204" s="32">
        <v>0</v>
      </c>
      <c r="G204" s="32">
        <v>0</v>
      </c>
      <c r="H204" s="32">
        <f t="shared" ref="H204:H267" si="3">D204 + F204 - G204</f>
        <v>12474.35</v>
      </c>
      <c r="I204" s="32"/>
      <c r="K204" t="s">
        <v>39</v>
      </c>
    </row>
    <row r="205" spans="2:11" ht="22" x14ac:dyDescent="0.15">
      <c r="B205" s="31" t="s">
        <v>300</v>
      </c>
      <c r="C205" s="31" t="s">
        <v>296</v>
      </c>
      <c r="D205" s="32">
        <v>12474.35</v>
      </c>
      <c r="E205" s="32"/>
      <c r="F205" s="32">
        <v>0</v>
      </c>
      <c r="G205" s="32">
        <v>0</v>
      </c>
      <c r="H205" s="32">
        <f t="shared" si="3"/>
        <v>12474.35</v>
      </c>
      <c r="I205" s="32"/>
      <c r="K205" t="s">
        <v>39</v>
      </c>
    </row>
    <row r="206" spans="2:11" ht="22" x14ac:dyDescent="0.15">
      <c r="B206" s="31" t="s">
        <v>301</v>
      </c>
      <c r="C206" s="31" t="s">
        <v>296</v>
      </c>
      <c r="D206" s="32">
        <v>12474.35</v>
      </c>
      <c r="E206" s="32"/>
      <c r="F206" s="32">
        <v>0</v>
      </c>
      <c r="G206" s="32">
        <v>0</v>
      </c>
      <c r="H206" s="32">
        <f t="shared" si="3"/>
        <v>12474.35</v>
      </c>
      <c r="I206" s="32"/>
      <c r="K206" t="s">
        <v>39</v>
      </c>
    </row>
    <row r="207" spans="2:11" ht="22" x14ac:dyDescent="0.15">
      <c r="B207" s="31" t="s">
        <v>302</v>
      </c>
      <c r="C207" s="31" t="s">
        <v>296</v>
      </c>
      <c r="D207" s="32">
        <v>12474.35</v>
      </c>
      <c r="E207" s="32"/>
      <c r="F207" s="32">
        <v>0</v>
      </c>
      <c r="G207" s="32">
        <v>0</v>
      </c>
      <c r="H207" s="32">
        <f t="shared" si="3"/>
        <v>12474.35</v>
      </c>
      <c r="I207" s="32"/>
      <c r="K207" t="s">
        <v>39</v>
      </c>
    </row>
    <row r="208" spans="2:11" ht="22" x14ac:dyDescent="0.15">
      <c r="B208" s="31" t="s">
        <v>303</v>
      </c>
      <c r="C208" s="31" t="s">
        <v>296</v>
      </c>
      <c r="D208" s="32">
        <v>12474.35</v>
      </c>
      <c r="E208" s="32"/>
      <c r="F208" s="32">
        <v>0</v>
      </c>
      <c r="G208" s="32">
        <v>0</v>
      </c>
      <c r="H208" s="32">
        <f t="shared" si="3"/>
        <v>12474.35</v>
      </c>
      <c r="I208" s="32"/>
      <c r="K208" t="s">
        <v>39</v>
      </c>
    </row>
    <row r="209" spans="2:11" ht="22" x14ac:dyDescent="0.15">
      <c r="B209" s="31" t="s">
        <v>304</v>
      </c>
      <c r="C209" s="31" t="s">
        <v>305</v>
      </c>
      <c r="D209" s="32">
        <v>3789.5</v>
      </c>
      <c r="E209" s="32"/>
      <c r="F209" s="32">
        <v>0</v>
      </c>
      <c r="G209" s="32">
        <v>0</v>
      </c>
      <c r="H209" s="32">
        <f t="shared" si="3"/>
        <v>3789.5</v>
      </c>
      <c r="I209" s="32"/>
      <c r="K209" t="s">
        <v>39</v>
      </c>
    </row>
    <row r="210" spans="2:11" ht="22" x14ac:dyDescent="0.15">
      <c r="B210" s="31" t="s">
        <v>306</v>
      </c>
      <c r="C210" s="31" t="s">
        <v>305</v>
      </c>
      <c r="D210" s="32">
        <v>3789.5</v>
      </c>
      <c r="E210" s="32"/>
      <c r="F210" s="32">
        <v>0</v>
      </c>
      <c r="G210" s="32">
        <v>0</v>
      </c>
      <c r="H210" s="32">
        <f t="shared" si="3"/>
        <v>3789.5</v>
      </c>
      <c r="I210" s="32"/>
      <c r="K210" t="s">
        <v>39</v>
      </c>
    </row>
    <row r="211" spans="2:11" ht="22" x14ac:dyDescent="0.15">
      <c r="B211" s="31" t="s">
        <v>307</v>
      </c>
      <c r="C211" s="31" t="s">
        <v>305</v>
      </c>
      <c r="D211" s="32">
        <v>3789.5</v>
      </c>
      <c r="E211" s="32"/>
      <c r="F211" s="32">
        <v>0</v>
      </c>
      <c r="G211" s="32">
        <v>0</v>
      </c>
      <c r="H211" s="32">
        <f t="shared" si="3"/>
        <v>3789.5</v>
      </c>
      <c r="I211" s="32"/>
      <c r="K211" t="s">
        <v>39</v>
      </c>
    </row>
    <row r="212" spans="2:11" ht="22" x14ac:dyDescent="0.15">
      <c r="B212" s="31" t="s">
        <v>308</v>
      </c>
      <c r="C212" s="31" t="s">
        <v>305</v>
      </c>
      <c r="D212" s="32">
        <v>3789.5</v>
      </c>
      <c r="E212" s="32"/>
      <c r="F212" s="32">
        <v>0</v>
      </c>
      <c r="G212" s="32">
        <v>0</v>
      </c>
      <c r="H212" s="32">
        <f t="shared" si="3"/>
        <v>3789.5</v>
      </c>
      <c r="I212" s="32"/>
      <c r="K212" t="s">
        <v>39</v>
      </c>
    </row>
    <row r="213" spans="2:11" ht="22" x14ac:dyDescent="0.15">
      <c r="B213" s="31" t="s">
        <v>309</v>
      </c>
      <c r="C213" s="31" t="s">
        <v>305</v>
      </c>
      <c r="D213" s="32">
        <v>3789.5</v>
      </c>
      <c r="E213" s="32"/>
      <c r="F213" s="32">
        <v>0</v>
      </c>
      <c r="G213" s="32">
        <v>0</v>
      </c>
      <c r="H213" s="32">
        <f t="shared" si="3"/>
        <v>3789.5</v>
      </c>
      <c r="I213" s="32"/>
      <c r="K213" t="s">
        <v>39</v>
      </c>
    </row>
    <row r="214" spans="2:11" ht="22" x14ac:dyDescent="0.15">
      <c r="B214" s="31" t="s">
        <v>310</v>
      </c>
      <c r="C214" s="31" t="s">
        <v>305</v>
      </c>
      <c r="D214" s="32">
        <v>3789.5</v>
      </c>
      <c r="E214" s="32"/>
      <c r="F214" s="32">
        <v>0</v>
      </c>
      <c r="G214" s="32">
        <v>0</v>
      </c>
      <c r="H214" s="32">
        <f t="shared" si="3"/>
        <v>3789.5</v>
      </c>
      <c r="I214" s="32"/>
      <c r="K214" t="s">
        <v>39</v>
      </c>
    </row>
    <row r="215" spans="2:11" ht="22" x14ac:dyDescent="0.15">
      <c r="B215" s="31" t="s">
        <v>311</v>
      </c>
      <c r="C215" s="31" t="s">
        <v>305</v>
      </c>
      <c r="D215" s="32">
        <v>3789.5</v>
      </c>
      <c r="E215" s="32"/>
      <c r="F215" s="32">
        <v>0</v>
      </c>
      <c r="G215" s="32">
        <v>0</v>
      </c>
      <c r="H215" s="32">
        <f t="shared" si="3"/>
        <v>3789.5</v>
      </c>
      <c r="I215" s="32"/>
      <c r="K215" t="s">
        <v>39</v>
      </c>
    </row>
    <row r="216" spans="2:11" ht="22" x14ac:dyDescent="0.15">
      <c r="B216" s="31" t="s">
        <v>312</v>
      </c>
      <c r="C216" s="31" t="s">
        <v>305</v>
      </c>
      <c r="D216" s="32">
        <v>3789.5</v>
      </c>
      <c r="E216" s="32"/>
      <c r="F216" s="32">
        <v>0</v>
      </c>
      <c r="G216" s="32">
        <v>0</v>
      </c>
      <c r="H216" s="32">
        <f t="shared" si="3"/>
        <v>3789.5</v>
      </c>
      <c r="I216" s="32"/>
      <c r="K216" t="s">
        <v>39</v>
      </c>
    </row>
    <row r="217" spans="2:11" ht="13" x14ac:dyDescent="0.15">
      <c r="B217" s="28" t="s">
        <v>313</v>
      </c>
      <c r="C217" s="28" t="s">
        <v>314</v>
      </c>
      <c r="D217" s="29">
        <f>SUMIFS(D218:D420,K218:K420,"0",B218:B420,"1 2 4 1 9*")-SUMIFS(E218:E420,K218:K420,"0",B218:B420,"1 2 4 1 9*")</f>
        <v>927861.31</v>
      </c>
      <c r="E217" s="30"/>
      <c r="F217" s="29">
        <f>SUMIFS(F218:F420,K218:K420,"0",B218:B420,"1 2 4 1 9*")</f>
        <v>0</v>
      </c>
      <c r="G217" s="29">
        <f>SUMIFS(G218:G420,K218:K420,"0",B218:B420,"1 2 4 1 9*")</f>
        <v>0</v>
      </c>
      <c r="H217" s="29">
        <f t="shared" si="3"/>
        <v>927861.31</v>
      </c>
      <c r="I217" s="29"/>
      <c r="K217" t="s">
        <v>15</v>
      </c>
    </row>
    <row r="218" spans="2:11" ht="13" x14ac:dyDescent="0.15">
      <c r="B218" s="28" t="s">
        <v>315</v>
      </c>
      <c r="C218" s="28" t="s">
        <v>26</v>
      </c>
      <c r="D218" s="29">
        <f>SUMIFS(D219:D420,K219:K420,"0",B219:B420,"1 2 4 1 9 12*")-SUMIFS(E219:E420,K219:K420,"0",B219:B420,"1 2 4 1 9 12*")</f>
        <v>927861.31</v>
      </c>
      <c r="E218" s="30"/>
      <c r="F218" s="29">
        <f>SUMIFS(F219:F420,K219:K420,"0",B219:B420,"1 2 4 1 9 12*")</f>
        <v>0</v>
      </c>
      <c r="G218" s="29">
        <f>SUMIFS(G219:G420,K219:K420,"0",B219:B420,"1 2 4 1 9 12*")</f>
        <v>0</v>
      </c>
      <c r="H218" s="29">
        <f t="shared" si="3"/>
        <v>927861.31</v>
      </c>
      <c r="I218" s="29"/>
      <c r="K218" t="s">
        <v>15</v>
      </c>
    </row>
    <row r="219" spans="2:11" ht="13" x14ac:dyDescent="0.15">
      <c r="B219" s="28" t="s">
        <v>316</v>
      </c>
      <c r="C219" s="28" t="s">
        <v>28</v>
      </c>
      <c r="D219" s="29">
        <f>SUMIFS(D220:D420,K220:K420,"0",B220:B420,"1 2 4 1 9 12 31111*")-SUMIFS(E220:E420,K220:K420,"0",B220:B420,"1 2 4 1 9 12 31111*")</f>
        <v>927861.31</v>
      </c>
      <c r="E219" s="30"/>
      <c r="F219" s="29">
        <f>SUMIFS(F220:F420,K220:K420,"0",B220:B420,"1 2 4 1 9 12 31111*")</f>
        <v>0</v>
      </c>
      <c r="G219" s="29">
        <f>SUMIFS(G220:G420,K220:K420,"0",B220:B420,"1 2 4 1 9 12 31111*")</f>
        <v>0</v>
      </c>
      <c r="H219" s="29">
        <f t="shared" si="3"/>
        <v>927861.31</v>
      </c>
      <c r="I219" s="29"/>
      <c r="K219" t="s">
        <v>15</v>
      </c>
    </row>
    <row r="220" spans="2:11" ht="13" x14ac:dyDescent="0.15">
      <c r="B220" s="28" t="s">
        <v>317</v>
      </c>
      <c r="C220" s="28" t="s">
        <v>30</v>
      </c>
      <c r="D220" s="29">
        <f>SUMIFS(D221:D420,K221:K420,"0",B221:B420,"1 2 4 1 9 12 31111 6*")-SUMIFS(E221:E420,K221:K420,"0",B221:B420,"1 2 4 1 9 12 31111 6*")</f>
        <v>927861.31</v>
      </c>
      <c r="E220" s="30"/>
      <c r="F220" s="29">
        <f>SUMIFS(F221:F420,K221:K420,"0",B221:B420,"1 2 4 1 9 12 31111 6*")</f>
        <v>0</v>
      </c>
      <c r="G220" s="29">
        <f>SUMIFS(G221:G420,K221:K420,"0",B221:B420,"1 2 4 1 9 12 31111 6*")</f>
        <v>0</v>
      </c>
      <c r="H220" s="29">
        <f t="shared" si="3"/>
        <v>927861.31</v>
      </c>
      <c r="I220" s="29"/>
      <c r="K220" t="s">
        <v>15</v>
      </c>
    </row>
    <row r="221" spans="2:11" ht="13" x14ac:dyDescent="0.15">
      <c r="B221" s="28" t="s">
        <v>318</v>
      </c>
      <c r="C221" s="28" t="s">
        <v>32</v>
      </c>
      <c r="D221" s="29">
        <f>SUMIFS(D222:D420,K222:K420,"0",B222:B420,"1 2 4 1 9 12 31111 6 M78*")-SUMIFS(E222:E420,K222:K420,"0",B222:B420,"1 2 4 1 9 12 31111 6 M78*")</f>
        <v>927861.31</v>
      </c>
      <c r="E221" s="30"/>
      <c r="F221" s="29">
        <f>SUMIFS(F222:F420,K222:K420,"0",B222:B420,"1 2 4 1 9 12 31111 6 M78*")</f>
        <v>0</v>
      </c>
      <c r="G221" s="29">
        <f>SUMIFS(G222:G420,K222:K420,"0",B222:B420,"1 2 4 1 9 12 31111 6 M78*")</f>
        <v>0</v>
      </c>
      <c r="H221" s="29">
        <f t="shared" si="3"/>
        <v>927861.31</v>
      </c>
      <c r="I221" s="29"/>
      <c r="K221" t="s">
        <v>15</v>
      </c>
    </row>
    <row r="222" spans="2:11" ht="13" x14ac:dyDescent="0.15">
      <c r="B222" s="28" t="s">
        <v>319</v>
      </c>
      <c r="C222" s="28" t="s">
        <v>256</v>
      </c>
      <c r="D222" s="29">
        <f>SUMIFS(D223:D420,K223:K420,"0",B223:B420,"1 2 4 1 9 12 31111 6 M78 00000*")-SUMIFS(E223:E420,K223:K420,"0",B223:B420,"1 2 4 1 9 12 31111 6 M78 00000*")</f>
        <v>927861.31</v>
      </c>
      <c r="E222" s="30"/>
      <c r="F222" s="29">
        <f>SUMIFS(F223:F420,K223:K420,"0",B223:B420,"1 2 4 1 9 12 31111 6 M78 00000*")</f>
        <v>0</v>
      </c>
      <c r="G222" s="29">
        <f>SUMIFS(G223:G420,K223:K420,"0",B223:B420,"1 2 4 1 9 12 31111 6 M78 00000*")</f>
        <v>0</v>
      </c>
      <c r="H222" s="29">
        <f t="shared" si="3"/>
        <v>927861.31</v>
      </c>
      <c r="I222" s="29"/>
      <c r="K222" t="s">
        <v>15</v>
      </c>
    </row>
    <row r="223" spans="2:11" ht="22" x14ac:dyDescent="0.15">
      <c r="B223" s="28" t="s">
        <v>320</v>
      </c>
      <c r="C223" s="28" t="s">
        <v>59</v>
      </c>
      <c r="D223" s="29">
        <f>SUMIFS(D224:D420,K224:K420,"0",B224:B420,"1 2 4 1 9 12 31111 6 M78 00000 002*")-SUMIFS(E224:E420,K224:K420,"0",B224:B420,"1 2 4 1 9 12 31111 6 M78 00000 002*")</f>
        <v>927861.31</v>
      </c>
      <c r="E223" s="30"/>
      <c r="F223" s="29">
        <f>SUMIFS(F224:F420,K224:K420,"0",B224:B420,"1 2 4 1 9 12 31111 6 M78 00000 002*")</f>
        <v>0</v>
      </c>
      <c r="G223" s="29">
        <f>SUMIFS(G224:G420,K224:K420,"0",B224:B420,"1 2 4 1 9 12 31111 6 M78 00000 002*")</f>
        <v>0</v>
      </c>
      <c r="H223" s="29">
        <f t="shared" si="3"/>
        <v>927861.31</v>
      </c>
      <c r="I223" s="29"/>
      <c r="K223" t="s">
        <v>15</v>
      </c>
    </row>
    <row r="224" spans="2:11" ht="22" x14ac:dyDescent="0.15">
      <c r="B224" s="28" t="s">
        <v>321</v>
      </c>
      <c r="C224" s="28" t="s">
        <v>322</v>
      </c>
      <c r="D224" s="29">
        <f>SUMIFS(D225:D420,K225:K420,"0",B225:B420,"1 2 4 1 9 12 31111 6 M78 00000 002 001*")-SUMIFS(E225:E420,K225:K420,"0",B225:B420,"1 2 4 1 9 12 31111 6 M78 00000 002 001*")</f>
        <v>927861.31</v>
      </c>
      <c r="E224" s="30"/>
      <c r="F224" s="29">
        <f>SUMIFS(F225:F420,K225:K420,"0",B225:B420,"1 2 4 1 9 12 31111 6 M78 00000 002 001*")</f>
        <v>0</v>
      </c>
      <c r="G224" s="29">
        <f>SUMIFS(G225:G420,K225:K420,"0",B225:B420,"1 2 4 1 9 12 31111 6 M78 00000 002 001*")</f>
        <v>0</v>
      </c>
      <c r="H224" s="29">
        <f t="shared" si="3"/>
        <v>927861.31</v>
      </c>
      <c r="I224" s="29"/>
      <c r="K224" t="s">
        <v>15</v>
      </c>
    </row>
    <row r="225" spans="2:11" ht="22" x14ac:dyDescent="0.15">
      <c r="B225" s="28" t="s">
        <v>323</v>
      </c>
      <c r="C225" s="28" t="s">
        <v>324</v>
      </c>
      <c r="D225" s="29">
        <f>SUMIFS(D226:D420,K226:K420,"0",B226:B420,"1 2 4 1 9 12 31111 6 M78 00000 002 001 001*")-SUMIFS(E226:E420,K226:K420,"0",B226:B420,"1 2 4 1 9 12 31111 6 M78 00000 002 001 001*")</f>
        <v>927861.31</v>
      </c>
      <c r="E225" s="30"/>
      <c r="F225" s="29">
        <f>SUMIFS(F226:F420,K226:K420,"0",B226:B420,"1 2 4 1 9 12 31111 6 M78 00000 002 001 001*")</f>
        <v>0</v>
      </c>
      <c r="G225" s="29">
        <f>SUMIFS(G226:G420,K226:K420,"0",B226:B420,"1 2 4 1 9 12 31111 6 M78 00000 002 001 001*")</f>
        <v>0</v>
      </c>
      <c r="H225" s="29">
        <f t="shared" si="3"/>
        <v>927861.31</v>
      </c>
      <c r="I225" s="29"/>
      <c r="K225" t="s">
        <v>15</v>
      </c>
    </row>
    <row r="226" spans="2:11" ht="44" x14ac:dyDescent="0.15">
      <c r="B226" s="31" t="s">
        <v>325</v>
      </c>
      <c r="C226" s="31" t="s">
        <v>326</v>
      </c>
      <c r="D226" s="32">
        <v>23188.59</v>
      </c>
      <c r="E226" s="32"/>
      <c r="F226" s="32">
        <v>0</v>
      </c>
      <c r="G226" s="32">
        <v>0</v>
      </c>
      <c r="H226" s="32">
        <f t="shared" si="3"/>
        <v>23188.59</v>
      </c>
      <c r="I226" s="32"/>
      <c r="K226" t="s">
        <v>39</v>
      </c>
    </row>
    <row r="227" spans="2:11" ht="44" x14ac:dyDescent="0.15">
      <c r="B227" s="31" t="s">
        <v>327</v>
      </c>
      <c r="C227" s="31" t="s">
        <v>326</v>
      </c>
      <c r="D227" s="32">
        <v>23188.59</v>
      </c>
      <c r="E227" s="32"/>
      <c r="F227" s="32">
        <v>0</v>
      </c>
      <c r="G227" s="32">
        <v>0</v>
      </c>
      <c r="H227" s="32">
        <f t="shared" si="3"/>
        <v>23188.59</v>
      </c>
      <c r="I227" s="32"/>
      <c r="K227" t="s">
        <v>39</v>
      </c>
    </row>
    <row r="228" spans="2:11" ht="44" x14ac:dyDescent="0.15">
      <c r="B228" s="31" t="s">
        <v>328</v>
      </c>
      <c r="C228" s="31" t="s">
        <v>326</v>
      </c>
      <c r="D228" s="32">
        <v>23188.59</v>
      </c>
      <c r="E228" s="32"/>
      <c r="F228" s="32">
        <v>0</v>
      </c>
      <c r="G228" s="32">
        <v>0</v>
      </c>
      <c r="H228" s="32">
        <f t="shared" si="3"/>
        <v>23188.59</v>
      </c>
      <c r="I228" s="32"/>
      <c r="K228" t="s">
        <v>39</v>
      </c>
    </row>
    <row r="229" spans="2:11" ht="44" x14ac:dyDescent="0.15">
      <c r="B229" s="31" t="s">
        <v>329</v>
      </c>
      <c r="C229" s="31" t="s">
        <v>326</v>
      </c>
      <c r="D229" s="32">
        <v>23188.59</v>
      </c>
      <c r="E229" s="32"/>
      <c r="F229" s="32">
        <v>0</v>
      </c>
      <c r="G229" s="32">
        <v>0</v>
      </c>
      <c r="H229" s="32">
        <f t="shared" si="3"/>
        <v>23188.59</v>
      </c>
      <c r="I229" s="32"/>
      <c r="K229" t="s">
        <v>39</v>
      </c>
    </row>
    <row r="230" spans="2:11" ht="44" x14ac:dyDescent="0.15">
      <c r="B230" s="31" t="s">
        <v>330</v>
      </c>
      <c r="C230" s="31" t="s">
        <v>326</v>
      </c>
      <c r="D230" s="32">
        <v>23188.59</v>
      </c>
      <c r="E230" s="32"/>
      <c r="F230" s="32">
        <v>0</v>
      </c>
      <c r="G230" s="32">
        <v>0</v>
      </c>
      <c r="H230" s="32">
        <f t="shared" si="3"/>
        <v>23188.59</v>
      </c>
      <c r="I230" s="32"/>
      <c r="K230" t="s">
        <v>39</v>
      </c>
    </row>
    <row r="231" spans="2:11" ht="44" x14ac:dyDescent="0.15">
      <c r="B231" s="31" t="s">
        <v>331</v>
      </c>
      <c r="C231" s="31" t="s">
        <v>326</v>
      </c>
      <c r="D231" s="32">
        <v>23188.59</v>
      </c>
      <c r="E231" s="32"/>
      <c r="F231" s="32">
        <v>0</v>
      </c>
      <c r="G231" s="32">
        <v>0</v>
      </c>
      <c r="H231" s="32">
        <f t="shared" si="3"/>
        <v>23188.59</v>
      </c>
      <c r="I231" s="32"/>
      <c r="K231" t="s">
        <v>39</v>
      </c>
    </row>
    <row r="232" spans="2:11" ht="44" x14ac:dyDescent="0.15">
      <c r="B232" s="31" t="s">
        <v>332</v>
      </c>
      <c r="C232" s="31" t="s">
        <v>326</v>
      </c>
      <c r="D232" s="32">
        <v>23188.59</v>
      </c>
      <c r="E232" s="32"/>
      <c r="F232" s="32">
        <v>0</v>
      </c>
      <c r="G232" s="32">
        <v>0</v>
      </c>
      <c r="H232" s="32">
        <f t="shared" si="3"/>
        <v>23188.59</v>
      </c>
      <c r="I232" s="32"/>
      <c r="K232" t="s">
        <v>39</v>
      </c>
    </row>
    <row r="233" spans="2:11" ht="44" x14ac:dyDescent="0.15">
      <c r="B233" s="31" t="s">
        <v>333</v>
      </c>
      <c r="C233" s="31" t="s">
        <v>326</v>
      </c>
      <c r="D233" s="32">
        <v>23188.59</v>
      </c>
      <c r="E233" s="32"/>
      <c r="F233" s="32">
        <v>0</v>
      </c>
      <c r="G233" s="32">
        <v>0</v>
      </c>
      <c r="H233" s="32">
        <f t="shared" si="3"/>
        <v>23188.59</v>
      </c>
      <c r="I233" s="32"/>
      <c r="K233" t="s">
        <v>39</v>
      </c>
    </row>
    <row r="234" spans="2:11" ht="44" x14ac:dyDescent="0.15">
      <c r="B234" s="31" t="s">
        <v>334</v>
      </c>
      <c r="C234" s="31" t="s">
        <v>326</v>
      </c>
      <c r="D234" s="32">
        <v>23188.59</v>
      </c>
      <c r="E234" s="32"/>
      <c r="F234" s="32">
        <v>0</v>
      </c>
      <c r="G234" s="32">
        <v>0</v>
      </c>
      <c r="H234" s="32">
        <f t="shared" si="3"/>
        <v>23188.59</v>
      </c>
      <c r="I234" s="32"/>
      <c r="K234" t="s">
        <v>39</v>
      </c>
    </row>
    <row r="235" spans="2:11" ht="44" x14ac:dyDescent="0.15">
      <c r="B235" s="31" t="s">
        <v>335</v>
      </c>
      <c r="C235" s="31" t="s">
        <v>326</v>
      </c>
      <c r="D235" s="32">
        <v>23188.59</v>
      </c>
      <c r="E235" s="32"/>
      <c r="F235" s="32">
        <v>0</v>
      </c>
      <c r="G235" s="32">
        <v>0</v>
      </c>
      <c r="H235" s="32">
        <f t="shared" si="3"/>
        <v>23188.59</v>
      </c>
      <c r="I235" s="32"/>
      <c r="K235" t="s">
        <v>39</v>
      </c>
    </row>
    <row r="236" spans="2:11" ht="44" x14ac:dyDescent="0.15">
      <c r="B236" s="31" t="s">
        <v>336</v>
      </c>
      <c r="C236" s="31" t="s">
        <v>326</v>
      </c>
      <c r="D236" s="32">
        <v>23188.59</v>
      </c>
      <c r="E236" s="32"/>
      <c r="F236" s="32">
        <v>0</v>
      </c>
      <c r="G236" s="32">
        <v>0</v>
      </c>
      <c r="H236" s="32">
        <f t="shared" si="3"/>
        <v>23188.59</v>
      </c>
      <c r="I236" s="32"/>
      <c r="K236" t="s">
        <v>39</v>
      </c>
    </row>
    <row r="237" spans="2:11" ht="44" x14ac:dyDescent="0.15">
      <c r="B237" s="31" t="s">
        <v>337</v>
      </c>
      <c r="C237" s="31" t="s">
        <v>326</v>
      </c>
      <c r="D237" s="32">
        <v>23188.59</v>
      </c>
      <c r="E237" s="32"/>
      <c r="F237" s="32">
        <v>0</v>
      </c>
      <c r="G237" s="32">
        <v>0</v>
      </c>
      <c r="H237" s="32">
        <f t="shared" si="3"/>
        <v>23188.59</v>
      </c>
      <c r="I237" s="32"/>
      <c r="K237" t="s">
        <v>39</v>
      </c>
    </row>
    <row r="238" spans="2:11" ht="44" x14ac:dyDescent="0.15">
      <c r="B238" s="31" t="s">
        <v>338</v>
      </c>
      <c r="C238" s="31" t="s">
        <v>326</v>
      </c>
      <c r="D238" s="32">
        <v>23188.59</v>
      </c>
      <c r="E238" s="32"/>
      <c r="F238" s="32">
        <v>0</v>
      </c>
      <c r="G238" s="32">
        <v>0</v>
      </c>
      <c r="H238" s="32">
        <f t="shared" si="3"/>
        <v>23188.59</v>
      </c>
      <c r="I238" s="32"/>
      <c r="K238" t="s">
        <v>39</v>
      </c>
    </row>
    <row r="239" spans="2:11" ht="44" x14ac:dyDescent="0.15">
      <c r="B239" s="31" t="s">
        <v>339</v>
      </c>
      <c r="C239" s="31" t="s">
        <v>326</v>
      </c>
      <c r="D239" s="32">
        <v>23188.59</v>
      </c>
      <c r="E239" s="32"/>
      <c r="F239" s="32">
        <v>0</v>
      </c>
      <c r="G239" s="32">
        <v>0</v>
      </c>
      <c r="H239" s="32">
        <f t="shared" si="3"/>
        <v>23188.59</v>
      </c>
      <c r="I239" s="32"/>
      <c r="K239" t="s">
        <v>39</v>
      </c>
    </row>
    <row r="240" spans="2:11" ht="44" x14ac:dyDescent="0.15">
      <c r="B240" s="31" t="s">
        <v>340</v>
      </c>
      <c r="C240" s="31" t="s">
        <v>326</v>
      </c>
      <c r="D240" s="32">
        <v>23188.59</v>
      </c>
      <c r="E240" s="32"/>
      <c r="F240" s="32">
        <v>0</v>
      </c>
      <c r="G240" s="32">
        <v>0</v>
      </c>
      <c r="H240" s="32">
        <f t="shared" si="3"/>
        <v>23188.59</v>
      </c>
      <c r="I240" s="32"/>
      <c r="K240" t="s">
        <v>39</v>
      </c>
    </row>
    <row r="241" spans="2:11" ht="44" x14ac:dyDescent="0.15">
      <c r="B241" s="31" t="s">
        <v>341</v>
      </c>
      <c r="C241" s="31" t="s">
        <v>326</v>
      </c>
      <c r="D241" s="32">
        <v>23188.59</v>
      </c>
      <c r="E241" s="32"/>
      <c r="F241" s="32">
        <v>0</v>
      </c>
      <c r="G241" s="32">
        <v>0</v>
      </c>
      <c r="H241" s="32">
        <f t="shared" si="3"/>
        <v>23188.59</v>
      </c>
      <c r="I241" s="32"/>
      <c r="K241" t="s">
        <v>39</v>
      </c>
    </row>
    <row r="242" spans="2:11" ht="44" x14ac:dyDescent="0.15">
      <c r="B242" s="31" t="s">
        <v>342</v>
      </c>
      <c r="C242" s="31" t="s">
        <v>326</v>
      </c>
      <c r="D242" s="32">
        <v>23188.59</v>
      </c>
      <c r="E242" s="32"/>
      <c r="F242" s="32">
        <v>0</v>
      </c>
      <c r="G242" s="32">
        <v>0</v>
      </c>
      <c r="H242" s="32">
        <f t="shared" si="3"/>
        <v>23188.59</v>
      </c>
      <c r="I242" s="32"/>
      <c r="K242" t="s">
        <v>39</v>
      </c>
    </row>
    <row r="243" spans="2:11" ht="44" x14ac:dyDescent="0.15">
      <c r="B243" s="31" t="s">
        <v>343</v>
      </c>
      <c r="C243" s="31" t="s">
        <v>326</v>
      </c>
      <c r="D243" s="32">
        <v>23188.59</v>
      </c>
      <c r="E243" s="32"/>
      <c r="F243" s="32">
        <v>0</v>
      </c>
      <c r="G243" s="32">
        <v>0</v>
      </c>
      <c r="H243" s="32">
        <f t="shared" si="3"/>
        <v>23188.59</v>
      </c>
      <c r="I243" s="32"/>
      <c r="K243" t="s">
        <v>39</v>
      </c>
    </row>
    <row r="244" spans="2:11" ht="44" x14ac:dyDescent="0.15">
      <c r="B244" s="31" t="s">
        <v>344</v>
      </c>
      <c r="C244" s="31" t="s">
        <v>326</v>
      </c>
      <c r="D244" s="32">
        <v>23188.59</v>
      </c>
      <c r="E244" s="32"/>
      <c r="F244" s="32">
        <v>0</v>
      </c>
      <c r="G244" s="32">
        <v>0</v>
      </c>
      <c r="H244" s="32">
        <f t="shared" si="3"/>
        <v>23188.59</v>
      </c>
      <c r="I244" s="32"/>
      <c r="K244" t="s">
        <v>39</v>
      </c>
    </row>
    <row r="245" spans="2:11" ht="44" x14ac:dyDescent="0.15">
      <c r="B245" s="31" t="s">
        <v>345</v>
      </c>
      <c r="C245" s="31" t="s">
        <v>326</v>
      </c>
      <c r="D245" s="32">
        <v>23188.59</v>
      </c>
      <c r="E245" s="32"/>
      <c r="F245" s="32">
        <v>0</v>
      </c>
      <c r="G245" s="32">
        <v>0</v>
      </c>
      <c r="H245" s="32">
        <f t="shared" si="3"/>
        <v>23188.59</v>
      </c>
      <c r="I245" s="32"/>
      <c r="K245" t="s">
        <v>39</v>
      </c>
    </row>
    <row r="246" spans="2:11" ht="44" x14ac:dyDescent="0.15">
      <c r="B246" s="31" t="s">
        <v>346</v>
      </c>
      <c r="C246" s="31" t="s">
        <v>326</v>
      </c>
      <c r="D246" s="32">
        <v>23188.59</v>
      </c>
      <c r="E246" s="32"/>
      <c r="F246" s="32">
        <v>0</v>
      </c>
      <c r="G246" s="32">
        <v>0</v>
      </c>
      <c r="H246" s="32">
        <f t="shared" si="3"/>
        <v>23188.59</v>
      </c>
      <c r="I246" s="32"/>
      <c r="K246" t="s">
        <v>39</v>
      </c>
    </row>
    <row r="247" spans="2:11" ht="44" x14ac:dyDescent="0.15">
      <c r="B247" s="31" t="s">
        <v>347</v>
      </c>
      <c r="C247" s="31" t="s">
        <v>326</v>
      </c>
      <c r="D247" s="32">
        <v>23188.59</v>
      </c>
      <c r="E247" s="32"/>
      <c r="F247" s="32">
        <v>0</v>
      </c>
      <c r="G247" s="32">
        <v>0</v>
      </c>
      <c r="H247" s="32">
        <f t="shared" si="3"/>
        <v>23188.59</v>
      </c>
      <c r="I247" s="32"/>
      <c r="K247" t="s">
        <v>39</v>
      </c>
    </row>
    <row r="248" spans="2:11" ht="44" x14ac:dyDescent="0.15">
      <c r="B248" s="31" t="s">
        <v>348</v>
      </c>
      <c r="C248" s="31" t="s">
        <v>326</v>
      </c>
      <c r="D248" s="32">
        <v>23188.59</v>
      </c>
      <c r="E248" s="32"/>
      <c r="F248" s="32">
        <v>0</v>
      </c>
      <c r="G248" s="32">
        <v>0</v>
      </c>
      <c r="H248" s="32">
        <f t="shared" si="3"/>
        <v>23188.59</v>
      </c>
      <c r="I248" s="32"/>
      <c r="K248" t="s">
        <v>39</v>
      </c>
    </row>
    <row r="249" spans="2:11" ht="44" x14ac:dyDescent="0.15">
      <c r="B249" s="31" t="s">
        <v>349</v>
      </c>
      <c r="C249" s="31" t="s">
        <v>326</v>
      </c>
      <c r="D249" s="32">
        <v>23188.59</v>
      </c>
      <c r="E249" s="32"/>
      <c r="F249" s="32">
        <v>0</v>
      </c>
      <c r="G249" s="32">
        <v>0</v>
      </c>
      <c r="H249" s="32">
        <f t="shared" si="3"/>
        <v>23188.59</v>
      </c>
      <c r="I249" s="32"/>
      <c r="K249" t="s">
        <v>39</v>
      </c>
    </row>
    <row r="250" spans="2:11" ht="44" x14ac:dyDescent="0.15">
      <c r="B250" s="31" t="s">
        <v>350</v>
      </c>
      <c r="C250" s="31" t="s">
        <v>326</v>
      </c>
      <c r="D250" s="32">
        <v>23188.59</v>
      </c>
      <c r="E250" s="32"/>
      <c r="F250" s="32">
        <v>0</v>
      </c>
      <c r="G250" s="32">
        <v>0</v>
      </c>
      <c r="H250" s="32">
        <f t="shared" si="3"/>
        <v>23188.59</v>
      </c>
      <c r="I250" s="32"/>
      <c r="K250" t="s">
        <v>39</v>
      </c>
    </row>
    <row r="251" spans="2:11" ht="33" x14ac:dyDescent="0.15">
      <c r="B251" s="31" t="s">
        <v>351</v>
      </c>
      <c r="C251" s="31" t="s">
        <v>352</v>
      </c>
      <c r="D251" s="32">
        <v>11533.58</v>
      </c>
      <c r="E251" s="32"/>
      <c r="F251" s="32">
        <v>0</v>
      </c>
      <c r="G251" s="32">
        <v>0</v>
      </c>
      <c r="H251" s="32">
        <f t="shared" si="3"/>
        <v>11533.58</v>
      </c>
      <c r="I251" s="32"/>
      <c r="K251" t="s">
        <v>39</v>
      </c>
    </row>
    <row r="252" spans="2:11" ht="33" x14ac:dyDescent="0.15">
      <c r="B252" s="31" t="s">
        <v>353</v>
      </c>
      <c r="C252" s="31" t="s">
        <v>352</v>
      </c>
      <c r="D252" s="32">
        <v>11533.58</v>
      </c>
      <c r="E252" s="32"/>
      <c r="F252" s="32">
        <v>0</v>
      </c>
      <c r="G252" s="32">
        <v>0</v>
      </c>
      <c r="H252" s="32">
        <f t="shared" si="3"/>
        <v>11533.58</v>
      </c>
      <c r="I252" s="32"/>
      <c r="K252" t="s">
        <v>39</v>
      </c>
    </row>
    <row r="253" spans="2:11" ht="33" x14ac:dyDescent="0.15">
      <c r="B253" s="31" t="s">
        <v>354</v>
      </c>
      <c r="C253" s="31" t="s">
        <v>352</v>
      </c>
      <c r="D253" s="32">
        <v>11553.6</v>
      </c>
      <c r="E253" s="32"/>
      <c r="F253" s="32">
        <v>0</v>
      </c>
      <c r="G253" s="32">
        <v>0</v>
      </c>
      <c r="H253" s="32">
        <f t="shared" si="3"/>
        <v>11553.6</v>
      </c>
      <c r="I253" s="32"/>
      <c r="K253" t="s">
        <v>39</v>
      </c>
    </row>
    <row r="254" spans="2:11" ht="33" x14ac:dyDescent="0.15">
      <c r="B254" s="31" t="s">
        <v>355</v>
      </c>
      <c r="C254" s="31" t="s">
        <v>352</v>
      </c>
      <c r="D254" s="32">
        <v>11553.6</v>
      </c>
      <c r="E254" s="32"/>
      <c r="F254" s="32">
        <v>0</v>
      </c>
      <c r="G254" s="32">
        <v>0</v>
      </c>
      <c r="H254" s="32">
        <f t="shared" si="3"/>
        <v>11553.6</v>
      </c>
      <c r="I254" s="32"/>
      <c r="K254" t="s">
        <v>39</v>
      </c>
    </row>
    <row r="255" spans="2:11" ht="22" x14ac:dyDescent="0.15">
      <c r="B255" s="31" t="s">
        <v>356</v>
      </c>
      <c r="C255" s="31" t="s">
        <v>357</v>
      </c>
      <c r="D255" s="32">
        <v>22685</v>
      </c>
      <c r="E255" s="32"/>
      <c r="F255" s="32">
        <v>0</v>
      </c>
      <c r="G255" s="32">
        <v>0</v>
      </c>
      <c r="H255" s="32">
        <f t="shared" si="3"/>
        <v>22685</v>
      </c>
      <c r="I255" s="32"/>
      <c r="K255" t="s">
        <v>39</v>
      </c>
    </row>
    <row r="256" spans="2:11" ht="22" x14ac:dyDescent="0.15">
      <c r="B256" s="31" t="s">
        <v>358</v>
      </c>
      <c r="C256" s="31" t="s">
        <v>359</v>
      </c>
      <c r="D256" s="32">
        <v>38020</v>
      </c>
      <c r="E256" s="32"/>
      <c r="F256" s="32">
        <v>0</v>
      </c>
      <c r="G256" s="32">
        <v>0</v>
      </c>
      <c r="H256" s="32">
        <f t="shared" si="3"/>
        <v>38020</v>
      </c>
      <c r="I256" s="32"/>
      <c r="K256" t="s">
        <v>39</v>
      </c>
    </row>
    <row r="257" spans="2:11" ht="22" x14ac:dyDescent="0.15">
      <c r="B257" s="31" t="s">
        <v>360</v>
      </c>
      <c r="C257" s="31" t="s">
        <v>361</v>
      </c>
      <c r="D257" s="32">
        <v>45150</v>
      </c>
      <c r="E257" s="32"/>
      <c r="F257" s="32">
        <v>0</v>
      </c>
      <c r="G257" s="32">
        <v>0</v>
      </c>
      <c r="H257" s="32">
        <f t="shared" si="3"/>
        <v>45150</v>
      </c>
      <c r="I257" s="32"/>
      <c r="K257" t="s">
        <v>39</v>
      </c>
    </row>
    <row r="258" spans="2:11" ht="22" x14ac:dyDescent="0.15">
      <c r="B258" s="31" t="s">
        <v>362</v>
      </c>
      <c r="C258" s="31" t="s">
        <v>363</v>
      </c>
      <c r="D258" s="32">
        <v>71292.5</v>
      </c>
      <c r="E258" s="32"/>
      <c r="F258" s="32">
        <v>0</v>
      </c>
      <c r="G258" s="32">
        <v>0</v>
      </c>
      <c r="H258" s="32">
        <f t="shared" si="3"/>
        <v>71292.5</v>
      </c>
      <c r="I258" s="32"/>
      <c r="K258" t="s">
        <v>39</v>
      </c>
    </row>
    <row r="259" spans="2:11" ht="22" x14ac:dyDescent="0.15">
      <c r="B259" s="31" t="s">
        <v>364</v>
      </c>
      <c r="C259" s="31" t="s">
        <v>365</v>
      </c>
      <c r="D259" s="32">
        <v>124824.7</v>
      </c>
      <c r="E259" s="32"/>
      <c r="F259" s="32">
        <v>0</v>
      </c>
      <c r="G259" s="32">
        <v>0</v>
      </c>
      <c r="H259" s="32">
        <f t="shared" si="3"/>
        <v>124824.7</v>
      </c>
      <c r="I259" s="32"/>
      <c r="K259" t="s">
        <v>39</v>
      </c>
    </row>
    <row r="260" spans="2:11" ht="13" x14ac:dyDescent="0.15">
      <c r="B260" s="28" t="s">
        <v>366</v>
      </c>
      <c r="C260" s="28" t="s">
        <v>367</v>
      </c>
      <c r="D260" s="29">
        <f>SUMIFS(D261:D420,K261:K420,"0",B261:B420,"1 2 4 4*")-SUMIFS(E261:E420,K261:K420,"0",B261:B420,"1 2 4 4*")</f>
        <v>330000</v>
      </c>
      <c r="E260" s="30"/>
      <c r="F260" s="29">
        <f>SUMIFS(F261:F420,K261:K420,"0",B261:B420,"1 2 4 4*")</f>
        <v>0</v>
      </c>
      <c r="G260" s="29">
        <f>SUMIFS(G261:G420,K261:K420,"0",B261:B420,"1 2 4 4*")</f>
        <v>150000</v>
      </c>
      <c r="H260" s="29">
        <f t="shared" si="3"/>
        <v>180000</v>
      </c>
      <c r="I260" s="29"/>
      <c r="K260" t="s">
        <v>15</v>
      </c>
    </row>
    <row r="261" spans="2:11" ht="13" x14ac:dyDescent="0.15">
      <c r="B261" s="28" t="s">
        <v>368</v>
      </c>
      <c r="C261" s="28" t="s">
        <v>369</v>
      </c>
      <c r="D261" s="29">
        <f>SUMIFS(D262:D420,K262:K420,"0",B262:B420,"1 2 4 4 1*")-SUMIFS(E262:E420,K262:K420,"0",B262:B420,"1 2 4 4 1*")</f>
        <v>330000</v>
      </c>
      <c r="E261" s="30"/>
      <c r="F261" s="29">
        <f>SUMIFS(F262:F420,K262:K420,"0",B262:B420,"1 2 4 4 1*")</f>
        <v>0</v>
      </c>
      <c r="G261" s="29">
        <f>SUMIFS(G262:G420,K262:K420,"0",B262:B420,"1 2 4 4 1*")</f>
        <v>150000</v>
      </c>
      <c r="H261" s="29">
        <f t="shared" si="3"/>
        <v>180000</v>
      </c>
      <c r="I261" s="29"/>
      <c r="K261" t="s">
        <v>15</v>
      </c>
    </row>
    <row r="262" spans="2:11" ht="13" x14ac:dyDescent="0.15">
      <c r="B262" s="28" t="s">
        <v>370</v>
      </c>
      <c r="C262" s="28" t="s">
        <v>26</v>
      </c>
      <c r="D262" s="29">
        <f>SUMIFS(D263:D420,K263:K420,"0",B263:B420,"1 2 4 4 1 12*")-SUMIFS(E263:E420,K263:K420,"0",B263:B420,"1 2 4 4 1 12*")</f>
        <v>330000</v>
      </c>
      <c r="E262" s="30"/>
      <c r="F262" s="29">
        <f>SUMIFS(F263:F420,K263:K420,"0",B263:B420,"1 2 4 4 1 12*")</f>
        <v>0</v>
      </c>
      <c r="G262" s="29">
        <f>SUMIFS(G263:G420,K263:K420,"0",B263:B420,"1 2 4 4 1 12*")</f>
        <v>150000</v>
      </c>
      <c r="H262" s="29">
        <f t="shared" si="3"/>
        <v>180000</v>
      </c>
      <c r="I262" s="29"/>
      <c r="K262" t="s">
        <v>15</v>
      </c>
    </row>
    <row r="263" spans="2:11" ht="13" x14ac:dyDescent="0.15">
      <c r="B263" s="28" t="s">
        <v>371</v>
      </c>
      <c r="C263" s="28" t="s">
        <v>28</v>
      </c>
      <c r="D263" s="29">
        <f>SUMIFS(D264:D420,K264:K420,"0",B264:B420,"1 2 4 4 1 12 31111*")-SUMIFS(E264:E420,K264:K420,"0",B264:B420,"1 2 4 4 1 12 31111*")</f>
        <v>330000</v>
      </c>
      <c r="E263" s="30"/>
      <c r="F263" s="29">
        <f>SUMIFS(F264:F420,K264:K420,"0",B264:B420,"1 2 4 4 1 12 31111*")</f>
        <v>0</v>
      </c>
      <c r="G263" s="29">
        <f>SUMIFS(G264:G420,K264:K420,"0",B264:B420,"1 2 4 4 1 12 31111*")</f>
        <v>150000</v>
      </c>
      <c r="H263" s="29">
        <f t="shared" si="3"/>
        <v>180000</v>
      </c>
      <c r="I263" s="29"/>
      <c r="K263" t="s">
        <v>15</v>
      </c>
    </row>
    <row r="264" spans="2:11" ht="13" x14ac:dyDescent="0.15">
      <c r="B264" s="28" t="s">
        <v>372</v>
      </c>
      <c r="C264" s="28" t="s">
        <v>30</v>
      </c>
      <c r="D264" s="29">
        <f>SUMIFS(D265:D420,K265:K420,"0",B265:B420,"1 2 4 4 1 12 31111 6*")-SUMIFS(E265:E420,K265:K420,"0",B265:B420,"1 2 4 4 1 12 31111 6*")</f>
        <v>330000</v>
      </c>
      <c r="E264" s="30"/>
      <c r="F264" s="29">
        <f>SUMIFS(F265:F420,K265:K420,"0",B265:B420,"1 2 4 4 1 12 31111 6*")</f>
        <v>0</v>
      </c>
      <c r="G264" s="29">
        <f>SUMIFS(G265:G420,K265:K420,"0",B265:B420,"1 2 4 4 1 12 31111 6*")</f>
        <v>150000</v>
      </c>
      <c r="H264" s="29">
        <f t="shared" si="3"/>
        <v>180000</v>
      </c>
      <c r="I264" s="29"/>
      <c r="K264" t="s">
        <v>15</v>
      </c>
    </row>
    <row r="265" spans="2:11" ht="13" x14ac:dyDescent="0.15">
      <c r="B265" s="28" t="s">
        <v>373</v>
      </c>
      <c r="C265" s="28" t="s">
        <v>32</v>
      </c>
      <c r="D265" s="29">
        <f>SUMIFS(D266:D420,K266:K420,"0",B266:B420,"1 2 4 4 1 12 31111 6 M78*")-SUMIFS(E266:E420,K266:K420,"0",B266:B420,"1 2 4 4 1 12 31111 6 M78*")</f>
        <v>330000</v>
      </c>
      <c r="E265" s="30"/>
      <c r="F265" s="29">
        <f>SUMIFS(F266:F420,K266:K420,"0",B266:B420,"1 2 4 4 1 12 31111 6 M78*")</f>
        <v>0</v>
      </c>
      <c r="G265" s="29">
        <f>SUMIFS(G266:G420,K266:K420,"0",B266:B420,"1 2 4 4 1 12 31111 6 M78*")</f>
        <v>150000</v>
      </c>
      <c r="H265" s="29">
        <f t="shared" si="3"/>
        <v>180000</v>
      </c>
      <c r="I265" s="29"/>
      <c r="K265" t="s">
        <v>15</v>
      </c>
    </row>
    <row r="266" spans="2:11" ht="13" x14ac:dyDescent="0.15">
      <c r="B266" s="28" t="s">
        <v>374</v>
      </c>
      <c r="C266" s="28" t="s">
        <v>256</v>
      </c>
      <c r="D266" s="29">
        <f>SUMIFS(D267:D420,K267:K420,"0",B267:B420,"1 2 4 4 1 12 31111 6 M78 00000*")-SUMIFS(E267:E420,K267:K420,"0",B267:B420,"1 2 4 4 1 12 31111 6 M78 00000*")</f>
        <v>330000</v>
      </c>
      <c r="E266" s="30"/>
      <c r="F266" s="29">
        <f>SUMIFS(F267:F420,K267:K420,"0",B267:B420,"1 2 4 4 1 12 31111 6 M78 00000*")</f>
        <v>0</v>
      </c>
      <c r="G266" s="29">
        <f>SUMIFS(G267:G420,K267:K420,"0",B267:B420,"1 2 4 4 1 12 31111 6 M78 00000*")</f>
        <v>150000</v>
      </c>
      <c r="H266" s="29">
        <f t="shared" si="3"/>
        <v>180000</v>
      </c>
      <c r="I266" s="29"/>
      <c r="K266" t="s">
        <v>15</v>
      </c>
    </row>
    <row r="267" spans="2:11" ht="22" x14ac:dyDescent="0.15">
      <c r="B267" s="28" t="s">
        <v>375</v>
      </c>
      <c r="C267" s="28" t="s">
        <v>376</v>
      </c>
      <c r="D267" s="29">
        <f>SUMIFS(D268:D420,K268:K420,"0",B268:B420,"1 2 4 4 1 12 31111 6 M78 00000 002*")-SUMIFS(E268:E420,K268:K420,"0",B268:B420,"1 2 4 4 1 12 31111 6 M78 00000 002*")</f>
        <v>330000</v>
      </c>
      <c r="E267" s="30"/>
      <c r="F267" s="29">
        <f>SUMIFS(F268:F420,K268:K420,"0",B268:B420,"1 2 4 4 1 12 31111 6 M78 00000 002*")</f>
        <v>0</v>
      </c>
      <c r="G267" s="29">
        <f>SUMIFS(G268:G420,K268:K420,"0",B268:B420,"1 2 4 4 1 12 31111 6 M78 00000 002*")</f>
        <v>150000</v>
      </c>
      <c r="H267" s="29">
        <f t="shared" si="3"/>
        <v>180000</v>
      </c>
      <c r="I267" s="29"/>
      <c r="K267" t="s">
        <v>15</v>
      </c>
    </row>
    <row r="268" spans="2:11" ht="22" x14ac:dyDescent="0.15">
      <c r="B268" s="28" t="s">
        <v>377</v>
      </c>
      <c r="C268" s="28" t="s">
        <v>59</v>
      </c>
      <c r="D268" s="29">
        <f>SUMIFS(D269:D420,K269:K420,"0",B269:B420,"1 2 4 4 1 12 31111 6 M78 00000 002 002*")-SUMIFS(E269:E420,K269:K420,"0",B269:B420,"1 2 4 4 1 12 31111 6 M78 00000 002 002*")</f>
        <v>330000</v>
      </c>
      <c r="E268" s="30"/>
      <c r="F268" s="29">
        <f>SUMIFS(F269:F420,K269:K420,"0",B269:B420,"1 2 4 4 1 12 31111 6 M78 00000 002 002*")</f>
        <v>0</v>
      </c>
      <c r="G268" s="29">
        <f>SUMIFS(G269:G420,K269:K420,"0",B269:B420,"1 2 4 4 1 12 31111 6 M78 00000 002 002*")</f>
        <v>150000</v>
      </c>
      <c r="H268" s="29">
        <f t="shared" ref="H268:H271" si="4">D268 + F268 - G268</f>
        <v>180000</v>
      </c>
      <c r="I268" s="29"/>
      <c r="K268" t="s">
        <v>15</v>
      </c>
    </row>
    <row r="269" spans="2:11" ht="22" x14ac:dyDescent="0.15">
      <c r="B269" s="28" t="s">
        <v>378</v>
      </c>
      <c r="C269" s="28" t="s">
        <v>379</v>
      </c>
      <c r="D269" s="29">
        <f>SUMIFS(D270:D420,K270:K420,"0",B270:B420,"1 2 4 4 1 12 31111 6 M78 00000 002 002 001*")-SUMIFS(E270:E420,K270:K420,"0",B270:B420,"1 2 4 4 1 12 31111 6 M78 00000 002 002 001*")</f>
        <v>330000</v>
      </c>
      <c r="E269" s="30"/>
      <c r="F269" s="29">
        <f>SUMIFS(F270:F420,K270:K420,"0",B270:B420,"1 2 4 4 1 12 31111 6 M78 00000 002 002 001*")</f>
        <v>0</v>
      </c>
      <c r="G269" s="29">
        <f>SUMIFS(G270:G420,K270:K420,"0",B270:B420,"1 2 4 4 1 12 31111 6 M78 00000 002 002 001*")</f>
        <v>150000</v>
      </c>
      <c r="H269" s="29">
        <f t="shared" si="4"/>
        <v>180000</v>
      </c>
      <c r="I269" s="29"/>
      <c r="K269" t="s">
        <v>15</v>
      </c>
    </row>
    <row r="270" spans="2:11" ht="22" x14ac:dyDescent="0.15">
      <c r="B270" s="31" t="s">
        <v>380</v>
      </c>
      <c r="C270" s="31" t="s">
        <v>381</v>
      </c>
      <c r="D270" s="32">
        <v>180000</v>
      </c>
      <c r="E270" s="32"/>
      <c r="F270" s="32">
        <v>0</v>
      </c>
      <c r="G270" s="32">
        <v>0</v>
      </c>
      <c r="H270" s="32">
        <f t="shared" si="4"/>
        <v>180000</v>
      </c>
      <c r="I270" s="32"/>
      <c r="K270" t="s">
        <v>39</v>
      </c>
    </row>
    <row r="271" spans="2:11" ht="22" x14ac:dyDescent="0.15">
      <c r="B271" s="31" t="s">
        <v>382</v>
      </c>
      <c r="C271" s="31" t="s">
        <v>383</v>
      </c>
      <c r="D271" s="32">
        <v>150000</v>
      </c>
      <c r="E271" s="32"/>
      <c r="F271" s="32">
        <v>0</v>
      </c>
      <c r="G271" s="32">
        <v>150000</v>
      </c>
      <c r="H271" s="32">
        <f t="shared" si="4"/>
        <v>0</v>
      </c>
      <c r="I271" s="32"/>
      <c r="K271" t="s">
        <v>39</v>
      </c>
    </row>
    <row r="272" spans="2:11" ht="13" x14ac:dyDescent="0.15">
      <c r="B272" s="28" t="s">
        <v>384</v>
      </c>
      <c r="C272" s="28" t="s">
        <v>385</v>
      </c>
      <c r="D272" s="30"/>
      <c r="E272" s="29">
        <f>SUMIFS(E273:E420,K273:K420,"0",B273:B420,"2*")-SUMIFS(D273:D420,K273:K420,"0",B273:B420,"2*")</f>
        <v>34653.269999999997</v>
      </c>
      <c r="F272" s="29">
        <f>SUMIFS(F273:F420,K273:K420,"0",B273:B420,"2*")</f>
        <v>28883603.040000003</v>
      </c>
      <c r="G272" s="29">
        <f>SUMIFS(G273:G420,K273:K420,"0",B273:B420,"2*")</f>
        <v>29004048.580000002</v>
      </c>
      <c r="H272" s="29"/>
      <c r="I272" s="29">
        <f t="shared" ref="I272:I303" si="5">E272 - F272 + G272</f>
        <v>155098.80999999866</v>
      </c>
      <c r="K272" t="s">
        <v>15</v>
      </c>
    </row>
    <row r="273" spans="2:11" ht="13" x14ac:dyDescent="0.15">
      <c r="B273" s="28" t="s">
        <v>386</v>
      </c>
      <c r="C273" s="28" t="s">
        <v>387</v>
      </c>
      <c r="D273" s="30"/>
      <c r="E273" s="29">
        <f>SUMIFS(E274:E420,K274:K420,"0",B274:B420,"2 1*")-SUMIFS(D274:D420,K274:K420,"0",B274:B420,"2 1*")</f>
        <v>34653.269999999997</v>
      </c>
      <c r="F273" s="29">
        <f>SUMIFS(F274:F420,K274:K420,"0",B274:B420,"2 1*")</f>
        <v>28883603.040000003</v>
      </c>
      <c r="G273" s="29">
        <f>SUMIFS(G274:G420,K274:K420,"0",B274:B420,"2 1*")</f>
        <v>29004048.580000002</v>
      </c>
      <c r="H273" s="29"/>
      <c r="I273" s="29">
        <f t="shared" si="5"/>
        <v>155098.80999999866</v>
      </c>
      <c r="K273" t="s">
        <v>15</v>
      </c>
    </row>
    <row r="274" spans="2:11" ht="13" x14ac:dyDescent="0.15">
      <c r="B274" s="28" t="s">
        <v>388</v>
      </c>
      <c r="C274" s="28" t="s">
        <v>389</v>
      </c>
      <c r="D274" s="30"/>
      <c r="E274" s="29">
        <f>SUMIFS(E275:E420,K275:K420,"0",B275:B420,"2 1 1*")-SUMIFS(D275:D420,K275:K420,"0",B275:B420,"2 1 1*")</f>
        <v>34653.269999999997</v>
      </c>
      <c r="F274" s="29">
        <f>SUMIFS(F275:F420,K275:K420,"0",B275:B420,"2 1 1*")</f>
        <v>28883603.040000003</v>
      </c>
      <c r="G274" s="29">
        <f>SUMIFS(G275:G420,K275:K420,"0",B275:B420,"2 1 1*")</f>
        <v>29004048.580000002</v>
      </c>
      <c r="H274" s="29"/>
      <c r="I274" s="29">
        <f t="shared" si="5"/>
        <v>155098.80999999866</v>
      </c>
      <c r="K274" t="s">
        <v>15</v>
      </c>
    </row>
    <row r="275" spans="2:11" ht="13" x14ac:dyDescent="0.15">
      <c r="B275" s="28" t="s">
        <v>390</v>
      </c>
      <c r="C275" s="28" t="s">
        <v>391</v>
      </c>
      <c r="D275" s="30"/>
      <c r="E275" s="29">
        <f>SUMIFS(E276:E420,K276:K420,"0",B276:B420,"2 1 1 2*")-SUMIFS(D276:D420,K276:K420,"0",B276:B420,"2 1 1 2*")</f>
        <v>29095.43</v>
      </c>
      <c r="F275" s="29">
        <f>SUMIFS(F276:F420,K276:K420,"0",B276:B420,"2 1 1 2*")</f>
        <v>940250</v>
      </c>
      <c r="G275" s="29">
        <f>SUMIFS(G276:G420,K276:K420,"0",B276:B420,"2 1 1 2*")</f>
        <v>940250</v>
      </c>
      <c r="H275" s="29"/>
      <c r="I275" s="29">
        <f t="shared" si="5"/>
        <v>29095.430000000051</v>
      </c>
      <c r="K275" t="s">
        <v>15</v>
      </c>
    </row>
    <row r="276" spans="2:11" ht="22" x14ac:dyDescent="0.15">
      <c r="B276" s="28" t="s">
        <v>392</v>
      </c>
      <c r="C276" s="28" t="s">
        <v>393</v>
      </c>
      <c r="D276" s="30"/>
      <c r="E276" s="29">
        <f>SUMIFS(E277:E420,K277:K420,"0",B277:B420,"2 1 1 2 1*")-SUMIFS(D277:D420,K277:K420,"0",B277:B420,"2 1 1 2 1*")</f>
        <v>29095.43</v>
      </c>
      <c r="F276" s="29">
        <f>SUMIFS(F277:F420,K277:K420,"0",B277:B420,"2 1 1 2 1*")</f>
        <v>940250</v>
      </c>
      <c r="G276" s="29">
        <f>SUMIFS(G277:G420,K277:K420,"0",B277:B420,"2 1 1 2 1*")</f>
        <v>940250</v>
      </c>
      <c r="H276" s="29"/>
      <c r="I276" s="29">
        <f t="shared" si="5"/>
        <v>29095.430000000051</v>
      </c>
      <c r="K276" t="s">
        <v>15</v>
      </c>
    </row>
    <row r="277" spans="2:11" ht="13" x14ac:dyDescent="0.15">
      <c r="B277" s="28" t="s">
        <v>394</v>
      </c>
      <c r="C277" s="28" t="s">
        <v>26</v>
      </c>
      <c r="D277" s="30"/>
      <c r="E277" s="29">
        <f>SUMIFS(E278:E420,K278:K420,"0",B278:B420,"2 1 1 2 1 12*")-SUMIFS(D278:D420,K278:K420,"0",B278:B420,"2 1 1 2 1 12*")</f>
        <v>29095.43</v>
      </c>
      <c r="F277" s="29">
        <f>SUMIFS(F278:F420,K278:K420,"0",B278:B420,"2 1 1 2 1 12*")</f>
        <v>940250</v>
      </c>
      <c r="G277" s="29">
        <f>SUMIFS(G278:G420,K278:K420,"0",B278:B420,"2 1 1 2 1 12*")</f>
        <v>940250</v>
      </c>
      <c r="H277" s="29"/>
      <c r="I277" s="29">
        <f t="shared" si="5"/>
        <v>29095.430000000051</v>
      </c>
      <c r="K277" t="s">
        <v>15</v>
      </c>
    </row>
    <row r="278" spans="2:11" ht="13" x14ac:dyDescent="0.15">
      <c r="B278" s="28" t="s">
        <v>395</v>
      </c>
      <c r="C278" s="28" t="s">
        <v>28</v>
      </c>
      <c r="D278" s="30"/>
      <c r="E278" s="29">
        <f>SUMIFS(E279:E420,K279:K420,"0",B279:B420,"2 1 1 2 1 12 31111*")-SUMIFS(D279:D420,K279:K420,"0",B279:B420,"2 1 1 2 1 12 31111*")</f>
        <v>29095.43</v>
      </c>
      <c r="F278" s="29">
        <f>SUMIFS(F279:F420,K279:K420,"0",B279:B420,"2 1 1 2 1 12 31111*")</f>
        <v>940250</v>
      </c>
      <c r="G278" s="29">
        <f>SUMIFS(G279:G420,K279:K420,"0",B279:B420,"2 1 1 2 1 12 31111*")</f>
        <v>940250</v>
      </c>
      <c r="H278" s="29"/>
      <c r="I278" s="29">
        <f t="shared" si="5"/>
        <v>29095.430000000051</v>
      </c>
      <c r="K278" t="s">
        <v>15</v>
      </c>
    </row>
    <row r="279" spans="2:11" ht="13" x14ac:dyDescent="0.15">
      <c r="B279" s="28" t="s">
        <v>396</v>
      </c>
      <c r="C279" s="28" t="s">
        <v>30</v>
      </c>
      <c r="D279" s="30"/>
      <c r="E279" s="29">
        <f>SUMIFS(E280:E420,K280:K420,"0",B280:B420,"2 1 1 2 1 12 31111 6*")-SUMIFS(D280:D420,K280:K420,"0",B280:B420,"2 1 1 2 1 12 31111 6*")</f>
        <v>29095.43</v>
      </c>
      <c r="F279" s="29">
        <f>SUMIFS(F280:F420,K280:K420,"0",B280:B420,"2 1 1 2 1 12 31111 6*")</f>
        <v>940250</v>
      </c>
      <c r="G279" s="29">
        <f>SUMIFS(G280:G420,K280:K420,"0",B280:B420,"2 1 1 2 1 12 31111 6*")</f>
        <v>940250</v>
      </c>
      <c r="H279" s="29"/>
      <c r="I279" s="29">
        <f t="shared" si="5"/>
        <v>29095.430000000051</v>
      </c>
      <c r="K279" t="s">
        <v>15</v>
      </c>
    </row>
    <row r="280" spans="2:11" ht="13" x14ac:dyDescent="0.15">
      <c r="B280" s="28" t="s">
        <v>397</v>
      </c>
      <c r="C280" s="28" t="s">
        <v>32</v>
      </c>
      <c r="D280" s="30"/>
      <c r="E280" s="29">
        <f>SUMIFS(E281:E420,K281:K420,"0",B281:B420,"2 1 1 2 1 12 31111 6 M78*")-SUMIFS(D281:D420,K281:K420,"0",B281:B420,"2 1 1 2 1 12 31111 6 M78*")</f>
        <v>29095.43</v>
      </c>
      <c r="F280" s="29">
        <f>SUMIFS(F281:F420,K281:K420,"0",B281:B420,"2 1 1 2 1 12 31111 6 M78*")</f>
        <v>940250</v>
      </c>
      <c r="G280" s="29">
        <f>SUMIFS(G281:G420,K281:K420,"0",B281:B420,"2 1 1 2 1 12 31111 6 M78*")</f>
        <v>940250</v>
      </c>
      <c r="H280" s="29"/>
      <c r="I280" s="29">
        <f t="shared" si="5"/>
        <v>29095.430000000051</v>
      </c>
      <c r="K280" t="s">
        <v>15</v>
      </c>
    </row>
    <row r="281" spans="2:11" ht="13" x14ac:dyDescent="0.15">
      <c r="B281" s="28" t="s">
        <v>398</v>
      </c>
      <c r="C281" s="28" t="s">
        <v>399</v>
      </c>
      <c r="D281" s="30"/>
      <c r="E281" s="29">
        <f>SUMIFS(E282:E420,K282:K420,"0",B282:B420,"2 1 1 2 1 12 31111 6 M78 00002*")-SUMIFS(D282:D420,K282:K420,"0",B282:B420,"2 1 1 2 1 12 31111 6 M78 00002*")</f>
        <v>29095.43</v>
      </c>
      <c r="F281" s="29">
        <f>SUMIFS(F282:F420,K282:K420,"0",B282:B420,"2 1 1 2 1 12 31111 6 M78 00002*")</f>
        <v>940250</v>
      </c>
      <c r="G281" s="29">
        <f>SUMIFS(G282:G420,K282:K420,"0",B282:B420,"2 1 1 2 1 12 31111 6 M78 00002*")</f>
        <v>940250</v>
      </c>
      <c r="H281" s="29"/>
      <c r="I281" s="29">
        <f t="shared" si="5"/>
        <v>29095.430000000051</v>
      </c>
      <c r="K281" t="s">
        <v>15</v>
      </c>
    </row>
    <row r="282" spans="2:11" ht="22" x14ac:dyDescent="0.15">
      <c r="B282" s="31" t="s">
        <v>400</v>
      </c>
      <c r="C282" s="31" t="s">
        <v>99</v>
      </c>
      <c r="D282" s="32"/>
      <c r="E282" s="32">
        <v>0</v>
      </c>
      <c r="F282" s="32">
        <v>534250</v>
      </c>
      <c r="G282" s="32">
        <v>534250</v>
      </c>
      <c r="H282" s="32"/>
      <c r="I282" s="32">
        <f t="shared" si="5"/>
        <v>0</v>
      </c>
      <c r="K282" t="s">
        <v>39</v>
      </c>
    </row>
    <row r="283" spans="2:11" ht="22" x14ac:dyDescent="0.15">
      <c r="B283" s="31" t="s">
        <v>401</v>
      </c>
      <c r="C283" s="31" t="s">
        <v>402</v>
      </c>
      <c r="D283" s="32"/>
      <c r="E283" s="32">
        <v>0</v>
      </c>
      <c r="F283" s="32">
        <v>406000</v>
      </c>
      <c r="G283" s="32">
        <v>406000</v>
      </c>
      <c r="H283" s="32"/>
      <c r="I283" s="32">
        <f t="shared" si="5"/>
        <v>0</v>
      </c>
      <c r="K283" t="s">
        <v>39</v>
      </c>
    </row>
    <row r="284" spans="2:11" ht="22" x14ac:dyDescent="0.15">
      <c r="B284" s="31" t="s">
        <v>403</v>
      </c>
      <c r="C284" s="31" t="s">
        <v>404</v>
      </c>
      <c r="D284" s="32"/>
      <c r="E284" s="32">
        <v>29095.43</v>
      </c>
      <c r="F284" s="32">
        <v>0</v>
      </c>
      <c r="G284" s="32">
        <v>0</v>
      </c>
      <c r="H284" s="32"/>
      <c r="I284" s="32">
        <f t="shared" si="5"/>
        <v>29095.43</v>
      </c>
      <c r="K284" t="s">
        <v>39</v>
      </c>
    </row>
    <row r="285" spans="2:11" ht="22" x14ac:dyDescent="0.15">
      <c r="B285" s="28" t="s">
        <v>405</v>
      </c>
      <c r="C285" s="28" t="s">
        <v>406</v>
      </c>
      <c r="D285" s="30"/>
      <c r="E285" s="29">
        <f>SUMIFS(E286:E420,K286:K420,"0",B286:B420,"2 1 1 3*")-SUMIFS(D286:D420,K286:K420,"0",B286:B420,"2 1 1 3*")</f>
        <v>0</v>
      </c>
      <c r="F285" s="29">
        <f>SUMIFS(F286:F420,K286:K420,"0",B286:B420,"2 1 1 3*")</f>
        <v>27943353.040000003</v>
      </c>
      <c r="G285" s="29">
        <f>SUMIFS(G286:G420,K286:K420,"0",B286:B420,"2 1 1 3*")</f>
        <v>27943353.040000003</v>
      </c>
      <c r="H285" s="29"/>
      <c r="I285" s="29">
        <f t="shared" si="5"/>
        <v>0</v>
      </c>
      <c r="K285" t="s">
        <v>15</v>
      </c>
    </row>
    <row r="286" spans="2:11" ht="22" x14ac:dyDescent="0.15">
      <c r="B286" s="28" t="s">
        <v>407</v>
      </c>
      <c r="C286" s="28" t="s">
        <v>408</v>
      </c>
      <c r="D286" s="30"/>
      <c r="E286" s="29">
        <f>SUMIFS(E287:E420,K287:K420,"0",B287:B420,"2 1 1 3 1*")-SUMIFS(D287:D420,K287:K420,"0",B287:B420,"2 1 1 3 1*")</f>
        <v>0</v>
      </c>
      <c r="F286" s="29">
        <f>SUMIFS(F287:F420,K287:K420,"0",B287:B420,"2 1 1 3 1*")</f>
        <v>27943353.040000003</v>
      </c>
      <c r="G286" s="29">
        <f>SUMIFS(G287:G420,K287:K420,"0",B287:B420,"2 1 1 3 1*")</f>
        <v>27943353.040000003</v>
      </c>
      <c r="H286" s="29"/>
      <c r="I286" s="29">
        <f t="shared" si="5"/>
        <v>0</v>
      </c>
      <c r="K286" t="s">
        <v>15</v>
      </c>
    </row>
    <row r="287" spans="2:11" ht="13" x14ac:dyDescent="0.15">
      <c r="B287" s="28" t="s">
        <v>409</v>
      </c>
      <c r="C287" s="28" t="s">
        <v>26</v>
      </c>
      <c r="D287" s="30"/>
      <c r="E287" s="29">
        <f>SUMIFS(E288:E420,K288:K420,"0",B288:B420,"2 1 1 3 1 12*")-SUMIFS(D288:D420,K288:K420,"0",B288:B420,"2 1 1 3 1 12*")</f>
        <v>0</v>
      </c>
      <c r="F287" s="29">
        <f>SUMIFS(F288:F420,K288:K420,"0",B288:B420,"2 1 1 3 1 12*")</f>
        <v>27943353.040000003</v>
      </c>
      <c r="G287" s="29">
        <f>SUMIFS(G288:G420,K288:K420,"0",B288:B420,"2 1 1 3 1 12*")</f>
        <v>27943353.040000003</v>
      </c>
      <c r="H287" s="29"/>
      <c r="I287" s="29">
        <f t="shared" si="5"/>
        <v>0</v>
      </c>
      <c r="K287" t="s">
        <v>15</v>
      </c>
    </row>
    <row r="288" spans="2:11" ht="13" x14ac:dyDescent="0.15">
      <c r="B288" s="28" t="s">
        <v>410</v>
      </c>
      <c r="C288" s="28" t="s">
        <v>28</v>
      </c>
      <c r="D288" s="30"/>
      <c r="E288" s="29">
        <f>SUMIFS(E289:E420,K289:K420,"0",B289:B420,"2 1 1 3 1 12 31111*")-SUMIFS(D289:D420,K289:K420,"0",B289:B420,"2 1 1 3 1 12 31111*")</f>
        <v>0</v>
      </c>
      <c r="F288" s="29">
        <f>SUMIFS(F289:F420,K289:K420,"0",B289:B420,"2 1 1 3 1 12 31111*")</f>
        <v>27943353.040000003</v>
      </c>
      <c r="G288" s="29">
        <f>SUMIFS(G289:G420,K289:K420,"0",B289:B420,"2 1 1 3 1 12 31111*")</f>
        <v>27943353.040000003</v>
      </c>
      <c r="H288" s="29"/>
      <c r="I288" s="29">
        <f t="shared" si="5"/>
        <v>0</v>
      </c>
      <c r="K288" t="s">
        <v>15</v>
      </c>
    </row>
    <row r="289" spans="2:11" ht="13" x14ac:dyDescent="0.15">
      <c r="B289" s="28" t="s">
        <v>411</v>
      </c>
      <c r="C289" s="28" t="s">
        <v>30</v>
      </c>
      <c r="D289" s="30"/>
      <c r="E289" s="29">
        <f>SUMIFS(E290:E420,K290:K420,"0",B290:B420,"2 1 1 3 1 12 31111 6*")-SUMIFS(D290:D420,K290:K420,"0",B290:B420,"2 1 1 3 1 12 31111 6*")</f>
        <v>0</v>
      </c>
      <c r="F289" s="29">
        <f>SUMIFS(F290:F420,K290:K420,"0",B290:B420,"2 1 1 3 1 12 31111 6*")</f>
        <v>27943353.040000003</v>
      </c>
      <c r="G289" s="29">
        <f>SUMIFS(G290:G420,K290:K420,"0",B290:B420,"2 1 1 3 1 12 31111 6*")</f>
        <v>27943353.040000003</v>
      </c>
      <c r="H289" s="29"/>
      <c r="I289" s="29">
        <f t="shared" si="5"/>
        <v>0</v>
      </c>
      <c r="K289" t="s">
        <v>15</v>
      </c>
    </row>
    <row r="290" spans="2:11" ht="13" x14ac:dyDescent="0.15">
      <c r="B290" s="28" t="s">
        <v>412</v>
      </c>
      <c r="C290" s="28" t="s">
        <v>32</v>
      </c>
      <c r="D290" s="30"/>
      <c r="E290" s="29">
        <f>SUMIFS(E291:E420,K291:K420,"0",B291:B420,"2 1 1 3 1 12 31111 6 M78*")-SUMIFS(D291:D420,K291:K420,"0",B291:B420,"2 1 1 3 1 12 31111 6 M78*")</f>
        <v>0</v>
      </c>
      <c r="F290" s="29">
        <f>SUMIFS(F291:F420,K291:K420,"0",B291:B420,"2 1 1 3 1 12 31111 6 M78*")</f>
        <v>27943353.040000003</v>
      </c>
      <c r="G290" s="29">
        <f>SUMIFS(G291:G420,K291:K420,"0",B291:B420,"2 1 1 3 1 12 31111 6 M78*")</f>
        <v>27943353.040000003</v>
      </c>
      <c r="H290" s="29"/>
      <c r="I290" s="29">
        <f t="shared" si="5"/>
        <v>0</v>
      </c>
      <c r="K290" t="s">
        <v>15</v>
      </c>
    </row>
    <row r="291" spans="2:11" ht="22" x14ac:dyDescent="0.15">
      <c r="B291" s="28" t="s">
        <v>413</v>
      </c>
      <c r="C291" s="28" t="s">
        <v>414</v>
      </c>
      <c r="D291" s="30"/>
      <c r="E291" s="29">
        <f>SUMIFS(E292:E420,K292:K420,"0",B292:B420,"2 1 1 3 1 12 31111 6 M78 00002*")-SUMIFS(D292:D420,K292:K420,"0",B292:B420,"2 1 1 3 1 12 31111 6 M78 00002*")</f>
        <v>0</v>
      </c>
      <c r="F291" s="29">
        <f>SUMIFS(F292:F420,K292:K420,"0",B292:B420,"2 1 1 3 1 12 31111 6 M78 00002*")</f>
        <v>27943353.040000003</v>
      </c>
      <c r="G291" s="29">
        <f>SUMIFS(G292:G420,K292:K420,"0",B292:B420,"2 1 1 3 1 12 31111 6 M78 00002*")</f>
        <v>27943353.040000003</v>
      </c>
      <c r="H291" s="29"/>
      <c r="I291" s="29">
        <f t="shared" si="5"/>
        <v>0</v>
      </c>
      <c r="K291" t="s">
        <v>15</v>
      </c>
    </row>
    <row r="292" spans="2:11" ht="22" x14ac:dyDescent="0.15">
      <c r="B292" s="31" t="s">
        <v>415</v>
      </c>
      <c r="C292" s="31" t="s">
        <v>416</v>
      </c>
      <c r="D292" s="32"/>
      <c r="E292" s="32">
        <v>0</v>
      </c>
      <c r="F292" s="32">
        <v>5739969.4199999999</v>
      </c>
      <c r="G292" s="32">
        <v>5739969.4199999999</v>
      </c>
      <c r="H292" s="32"/>
      <c r="I292" s="32">
        <f t="shared" si="5"/>
        <v>0</v>
      </c>
      <c r="K292" t="s">
        <v>39</v>
      </c>
    </row>
    <row r="293" spans="2:11" ht="22" x14ac:dyDescent="0.15">
      <c r="B293" s="31" t="s">
        <v>417</v>
      </c>
      <c r="C293" s="31" t="s">
        <v>418</v>
      </c>
      <c r="D293" s="32"/>
      <c r="E293" s="32">
        <v>0</v>
      </c>
      <c r="F293" s="32">
        <v>8379741.1299999999</v>
      </c>
      <c r="G293" s="32">
        <v>8379741.1299999999</v>
      </c>
      <c r="H293" s="32"/>
      <c r="I293" s="32">
        <f t="shared" si="5"/>
        <v>0</v>
      </c>
      <c r="K293" t="s">
        <v>39</v>
      </c>
    </row>
    <row r="294" spans="2:11" ht="22" x14ac:dyDescent="0.15">
      <c r="B294" s="31" t="s">
        <v>419</v>
      </c>
      <c r="C294" s="31" t="s">
        <v>420</v>
      </c>
      <c r="D294" s="32"/>
      <c r="E294" s="32">
        <v>0</v>
      </c>
      <c r="F294" s="32">
        <v>2757537.52</v>
      </c>
      <c r="G294" s="32">
        <v>2757537.52</v>
      </c>
      <c r="H294" s="32"/>
      <c r="I294" s="32">
        <f t="shared" si="5"/>
        <v>0</v>
      </c>
      <c r="K294" t="s">
        <v>39</v>
      </c>
    </row>
    <row r="295" spans="2:11" ht="22" x14ac:dyDescent="0.15">
      <c r="B295" s="31" t="s">
        <v>421</v>
      </c>
      <c r="C295" s="31" t="s">
        <v>422</v>
      </c>
      <c r="D295" s="32"/>
      <c r="E295" s="32">
        <v>0</v>
      </c>
      <c r="F295" s="32">
        <v>1088138.77</v>
      </c>
      <c r="G295" s="32">
        <v>1088138.77</v>
      </c>
      <c r="H295" s="32"/>
      <c r="I295" s="32">
        <f t="shared" si="5"/>
        <v>0</v>
      </c>
      <c r="K295" t="s">
        <v>39</v>
      </c>
    </row>
    <row r="296" spans="2:11" ht="22" x14ac:dyDescent="0.15">
      <c r="B296" s="31" t="s">
        <v>423</v>
      </c>
      <c r="C296" s="31" t="s">
        <v>424</v>
      </c>
      <c r="D296" s="32"/>
      <c r="E296" s="32">
        <v>0</v>
      </c>
      <c r="F296" s="32">
        <v>1562864.44</v>
      </c>
      <c r="G296" s="32">
        <v>1562864.44</v>
      </c>
      <c r="H296" s="32"/>
      <c r="I296" s="32">
        <f t="shared" si="5"/>
        <v>0</v>
      </c>
      <c r="K296" t="s">
        <v>39</v>
      </c>
    </row>
    <row r="297" spans="2:11" ht="22" x14ac:dyDescent="0.15">
      <c r="B297" s="31" t="s">
        <v>425</v>
      </c>
      <c r="C297" s="31" t="s">
        <v>426</v>
      </c>
      <c r="D297" s="32"/>
      <c r="E297" s="32">
        <v>0</v>
      </c>
      <c r="F297" s="32">
        <v>3028362.74</v>
      </c>
      <c r="G297" s="32">
        <v>3028362.74</v>
      </c>
      <c r="H297" s="32"/>
      <c r="I297" s="32">
        <f t="shared" si="5"/>
        <v>0</v>
      </c>
      <c r="K297" t="s">
        <v>39</v>
      </c>
    </row>
    <row r="298" spans="2:11" ht="22" x14ac:dyDescent="0.15">
      <c r="B298" s="31" t="s">
        <v>427</v>
      </c>
      <c r="C298" s="31" t="s">
        <v>428</v>
      </c>
      <c r="D298" s="32"/>
      <c r="E298" s="32">
        <v>0</v>
      </c>
      <c r="F298" s="32">
        <v>4522616.7699999996</v>
      </c>
      <c r="G298" s="32">
        <v>4522616.7699999996</v>
      </c>
      <c r="H298" s="32"/>
      <c r="I298" s="32">
        <f t="shared" si="5"/>
        <v>0</v>
      </c>
      <c r="K298" t="s">
        <v>39</v>
      </c>
    </row>
    <row r="299" spans="2:11" ht="22" x14ac:dyDescent="0.15">
      <c r="B299" s="31" t="s">
        <v>429</v>
      </c>
      <c r="C299" s="31" t="s">
        <v>430</v>
      </c>
      <c r="D299" s="32"/>
      <c r="E299" s="32">
        <v>0</v>
      </c>
      <c r="F299" s="32">
        <v>864122.25</v>
      </c>
      <c r="G299" s="32">
        <v>864122.25</v>
      </c>
      <c r="H299" s="32"/>
      <c r="I299" s="32">
        <f t="shared" si="5"/>
        <v>0</v>
      </c>
      <c r="K299" t="s">
        <v>39</v>
      </c>
    </row>
    <row r="300" spans="2:11" ht="22" x14ac:dyDescent="0.15">
      <c r="B300" s="28" t="s">
        <v>431</v>
      </c>
      <c r="C300" s="28" t="s">
        <v>432</v>
      </c>
      <c r="D300" s="30"/>
      <c r="E300" s="29">
        <f>SUMIFS(E301:E420,K301:K420,"0",B301:B420,"2 1 1 7*")-SUMIFS(D301:D420,K301:K420,"0",B301:B420,"2 1 1 7*")</f>
        <v>5557.8399999999992</v>
      </c>
      <c r="F300" s="29">
        <f>SUMIFS(F301:F420,K301:K420,"0",B301:B420,"2 1 1 7*")</f>
        <v>0</v>
      </c>
      <c r="G300" s="29">
        <f>SUMIFS(G301:G420,K301:K420,"0",B301:B420,"2 1 1 7*")</f>
        <v>120445.54</v>
      </c>
      <c r="H300" s="29"/>
      <c r="I300" s="29">
        <f t="shared" si="5"/>
        <v>126003.37999999999</v>
      </c>
      <c r="K300" t="s">
        <v>15</v>
      </c>
    </row>
    <row r="301" spans="2:11" ht="22" x14ac:dyDescent="0.15">
      <c r="B301" s="28" t="s">
        <v>433</v>
      </c>
      <c r="C301" s="28" t="s">
        <v>434</v>
      </c>
      <c r="D301" s="30"/>
      <c r="E301" s="29">
        <f>SUMIFS(E302:E420,K302:K420,"0",B302:B420,"2 1 1 7 5*")-SUMIFS(D302:D420,K302:K420,"0",B302:B420,"2 1 1 7 5*")</f>
        <v>5557.8399999999992</v>
      </c>
      <c r="F301" s="29">
        <f>SUMIFS(F302:F420,K302:K420,"0",B302:B420,"2 1 1 7 5*")</f>
        <v>0</v>
      </c>
      <c r="G301" s="29">
        <f>SUMIFS(G302:G420,K302:K420,"0",B302:B420,"2 1 1 7 5*")</f>
        <v>120445.54</v>
      </c>
      <c r="H301" s="29"/>
      <c r="I301" s="29">
        <f t="shared" si="5"/>
        <v>126003.37999999999</v>
      </c>
      <c r="K301" t="s">
        <v>15</v>
      </c>
    </row>
    <row r="302" spans="2:11" ht="13" x14ac:dyDescent="0.15">
      <c r="B302" s="28" t="s">
        <v>435</v>
      </c>
      <c r="C302" s="28" t="s">
        <v>26</v>
      </c>
      <c r="D302" s="30"/>
      <c r="E302" s="29">
        <f>SUMIFS(E303:E420,K303:K420,"0",B303:B420,"2 1 1 7 5 12*")-SUMIFS(D303:D420,K303:K420,"0",B303:B420,"2 1 1 7 5 12*")</f>
        <v>5557.8399999999992</v>
      </c>
      <c r="F302" s="29">
        <f>SUMIFS(F303:F420,K303:K420,"0",B303:B420,"2 1 1 7 5 12*")</f>
        <v>0</v>
      </c>
      <c r="G302" s="29">
        <f>SUMIFS(G303:G420,K303:K420,"0",B303:B420,"2 1 1 7 5 12*")</f>
        <v>120445.54</v>
      </c>
      <c r="H302" s="29"/>
      <c r="I302" s="29">
        <f t="shared" si="5"/>
        <v>126003.37999999999</v>
      </c>
      <c r="K302" t="s">
        <v>15</v>
      </c>
    </row>
    <row r="303" spans="2:11" ht="13" x14ac:dyDescent="0.15">
      <c r="B303" s="28" t="s">
        <v>436</v>
      </c>
      <c r="C303" s="28" t="s">
        <v>28</v>
      </c>
      <c r="D303" s="30"/>
      <c r="E303" s="29">
        <f>SUMIFS(E304:E420,K304:K420,"0",B304:B420,"2 1 1 7 5 12 31111*")-SUMIFS(D304:D420,K304:K420,"0",B304:B420,"2 1 1 7 5 12 31111*")</f>
        <v>5557.8399999999992</v>
      </c>
      <c r="F303" s="29">
        <f>SUMIFS(F304:F420,K304:K420,"0",B304:B420,"2 1 1 7 5 12 31111*")</f>
        <v>0</v>
      </c>
      <c r="G303" s="29">
        <f>SUMIFS(G304:G420,K304:K420,"0",B304:B420,"2 1 1 7 5 12 31111*")</f>
        <v>120445.54</v>
      </c>
      <c r="H303" s="29"/>
      <c r="I303" s="29">
        <f t="shared" si="5"/>
        <v>126003.37999999999</v>
      </c>
      <c r="K303" t="s">
        <v>15</v>
      </c>
    </row>
    <row r="304" spans="2:11" ht="13" x14ac:dyDescent="0.15">
      <c r="B304" s="28" t="s">
        <v>437</v>
      </c>
      <c r="C304" s="28" t="s">
        <v>30</v>
      </c>
      <c r="D304" s="30"/>
      <c r="E304" s="29">
        <f>SUMIFS(E305:E420,K305:K420,"0",B305:B420,"2 1 1 7 5 12 31111 6*")-SUMIFS(D305:D420,K305:K420,"0",B305:B420,"2 1 1 7 5 12 31111 6*")</f>
        <v>5557.8399999999992</v>
      </c>
      <c r="F304" s="29">
        <f>SUMIFS(F305:F420,K305:K420,"0",B305:B420,"2 1 1 7 5 12 31111 6*")</f>
        <v>0</v>
      </c>
      <c r="G304" s="29">
        <f>SUMIFS(G305:G420,K305:K420,"0",B305:B420,"2 1 1 7 5 12 31111 6*")</f>
        <v>120445.54</v>
      </c>
      <c r="H304" s="29"/>
      <c r="I304" s="29">
        <f t="shared" ref="I304:I335" si="6">E304 - F304 + G304</f>
        <v>126003.37999999999</v>
      </c>
      <c r="K304" t="s">
        <v>15</v>
      </c>
    </row>
    <row r="305" spans="2:11" ht="13" x14ac:dyDescent="0.15">
      <c r="B305" s="28" t="s">
        <v>438</v>
      </c>
      <c r="C305" s="28" t="s">
        <v>32</v>
      </c>
      <c r="D305" s="30"/>
      <c r="E305" s="29">
        <f>SUMIFS(E306:E420,K306:K420,"0",B306:B420,"2 1 1 7 5 12 31111 6 M78*")-SUMIFS(D306:D420,K306:K420,"0",B306:B420,"2 1 1 7 5 12 31111 6 M78*")</f>
        <v>5557.8399999999992</v>
      </c>
      <c r="F305" s="29">
        <f>SUMIFS(F306:F420,K306:K420,"0",B306:B420,"2 1 1 7 5 12 31111 6 M78*")</f>
        <v>0</v>
      </c>
      <c r="G305" s="29">
        <f>SUMIFS(G306:G420,K306:K420,"0",B306:B420,"2 1 1 7 5 12 31111 6 M78*")</f>
        <v>120445.54</v>
      </c>
      <c r="H305" s="29"/>
      <c r="I305" s="29">
        <f t="shared" si="6"/>
        <v>126003.37999999999</v>
      </c>
      <c r="K305" t="s">
        <v>15</v>
      </c>
    </row>
    <row r="306" spans="2:11" ht="22" x14ac:dyDescent="0.15">
      <c r="B306" s="28" t="s">
        <v>439</v>
      </c>
      <c r="C306" s="28" t="s">
        <v>440</v>
      </c>
      <c r="D306" s="30"/>
      <c r="E306" s="29">
        <f>SUMIFS(E307:E420,K307:K420,"0",B307:B420,"2 1 1 7 5 12 31111 6 M78 00002*")-SUMIFS(D307:D420,K307:K420,"0",B307:B420,"2 1 1 7 5 12 31111 6 M78 00002*")</f>
        <v>5557.8399999999992</v>
      </c>
      <c r="F306" s="29">
        <f>SUMIFS(F307:F420,K307:K420,"0",B307:B420,"2 1 1 7 5 12 31111 6 M78 00002*")</f>
        <v>0</v>
      </c>
      <c r="G306" s="29">
        <f>SUMIFS(G307:G420,K307:K420,"0",B307:B420,"2 1 1 7 5 12 31111 6 M78 00002*")</f>
        <v>120445.54</v>
      </c>
      <c r="H306" s="29"/>
      <c r="I306" s="29">
        <f t="shared" si="6"/>
        <v>126003.37999999999</v>
      </c>
      <c r="K306" t="s">
        <v>15</v>
      </c>
    </row>
    <row r="307" spans="2:11" ht="22" x14ac:dyDescent="0.15">
      <c r="B307" s="31" t="s">
        <v>441</v>
      </c>
      <c r="C307" s="31" t="s">
        <v>442</v>
      </c>
      <c r="D307" s="32"/>
      <c r="E307" s="32">
        <v>0.55000000000000004</v>
      </c>
      <c r="F307" s="32">
        <v>0</v>
      </c>
      <c r="G307" s="32">
        <v>0</v>
      </c>
      <c r="H307" s="32"/>
      <c r="I307" s="32">
        <f t="shared" si="6"/>
        <v>0.55000000000000004</v>
      </c>
      <c r="K307" t="s">
        <v>39</v>
      </c>
    </row>
    <row r="308" spans="2:11" ht="22" x14ac:dyDescent="0.15">
      <c r="B308" s="31" t="s">
        <v>443</v>
      </c>
      <c r="C308" s="31" t="s">
        <v>444</v>
      </c>
      <c r="D308" s="32"/>
      <c r="E308" s="32">
        <v>2510.91</v>
      </c>
      <c r="F308" s="32">
        <v>0</v>
      </c>
      <c r="G308" s="32">
        <v>0</v>
      </c>
      <c r="H308" s="32"/>
      <c r="I308" s="32">
        <f t="shared" si="6"/>
        <v>2510.91</v>
      </c>
      <c r="K308" t="s">
        <v>39</v>
      </c>
    </row>
    <row r="309" spans="2:11" ht="22" x14ac:dyDescent="0.15">
      <c r="B309" s="31" t="s">
        <v>445</v>
      </c>
      <c r="C309" s="31" t="s">
        <v>446</v>
      </c>
      <c r="D309" s="32"/>
      <c r="E309" s="32">
        <v>3100.43</v>
      </c>
      <c r="F309" s="32">
        <v>0</v>
      </c>
      <c r="G309" s="32">
        <v>0</v>
      </c>
      <c r="H309" s="32"/>
      <c r="I309" s="32">
        <f t="shared" si="6"/>
        <v>3100.43</v>
      </c>
      <c r="K309" t="s">
        <v>39</v>
      </c>
    </row>
    <row r="310" spans="2:11" ht="22" x14ac:dyDescent="0.15">
      <c r="B310" s="31" t="s">
        <v>447</v>
      </c>
      <c r="C310" s="31" t="s">
        <v>448</v>
      </c>
      <c r="D310" s="32"/>
      <c r="E310" s="32">
        <v>-54.05</v>
      </c>
      <c r="F310" s="32">
        <v>0</v>
      </c>
      <c r="G310" s="32">
        <v>0</v>
      </c>
      <c r="H310" s="32"/>
      <c r="I310" s="32">
        <f t="shared" si="6"/>
        <v>-54.05</v>
      </c>
      <c r="K310" t="s">
        <v>39</v>
      </c>
    </row>
    <row r="311" spans="2:11" ht="22" x14ac:dyDescent="0.15">
      <c r="B311" s="31" t="s">
        <v>449</v>
      </c>
      <c r="C311" s="31" t="s">
        <v>450</v>
      </c>
      <c r="D311" s="32"/>
      <c r="E311" s="32">
        <v>0</v>
      </c>
      <c r="F311" s="32">
        <v>0</v>
      </c>
      <c r="G311" s="32">
        <v>120445.54</v>
      </c>
      <c r="H311" s="32"/>
      <c r="I311" s="32">
        <f t="shared" si="6"/>
        <v>120445.54</v>
      </c>
      <c r="K311" t="s">
        <v>39</v>
      </c>
    </row>
    <row r="312" spans="2:11" ht="13" x14ac:dyDescent="0.15">
      <c r="B312" s="28" t="s">
        <v>451</v>
      </c>
      <c r="C312" s="28" t="s">
        <v>452</v>
      </c>
      <c r="D312" s="30"/>
      <c r="E312" s="29">
        <f>SUMIFS(E313:E420,K313:K420,"0",B313:B420,"3*")-SUMIFS(D313:D420,K313:K420,"0",B313:B420,"3*")</f>
        <v>1650385.33</v>
      </c>
      <c r="F312" s="29">
        <f>SUMIFS(F313:F420,K313:K420,"0",B313:B420,"3*")</f>
        <v>150000</v>
      </c>
      <c r="G312" s="29">
        <f>SUMIFS(G313:G420,K313:K420,"0",B313:B420,"3*")</f>
        <v>0</v>
      </c>
      <c r="H312" s="29"/>
      <c r="I312" s="29">
        <f t="shared" si="6"/>
        <v>1500385.33</v>
      </c>
      <c r="K312" t="s">
        <v>15</v>
      </c>
    </row>
    <row r="313" spans="2:11" ht="13" x14ac:dyDescent="0.15">
      <c r="B313" s="28" t="s">
        <v>453</v>
      </c>
      <c r="C313" s="28" t="s">
        <v>454</v>
      </c>
      <c r="D313" s="30"/>
      <c r="E313" s="29">
        <f>SUMIFS(E314:E420,K314:K420,"0",B314:B420,"3 1*")-SUMIFS(D314:D420,K314:K420,"0",B314:B420,"3 1*")</f>
        <v>1637059.87</v>
      </c>
      <c r="F313" s="29">
        <f>SUMIFS(F314:F420,K314:K420,"0",B314:B420,"3 1*")</f>
        <v>150000</v>
      </c>
      <c r="G313" s="29">
        <f>SUMIFS(G314:G420,K314:K420,"0",B314:B420,"3 1*")</f>
        <v>0</v>
      </c>
      <c r="H313" s="29"/>
      <c r="I313" s="29">
        <f t="shared" si="6"/>
        <v>1487059.87</v>
      </c>
      <c r="K313" t="s">
        <v>15</v>
      </c>
    </row>
    <row r="314" spans="2:11" ht="13" x14ac:dyDescent="0.15">
      <c r="B314" s="28" t="s">
        <v>455</v>
      </c>
      <c r="C314" s="28" t="s">
        <v>456</v>
      </c>
      <c r="D314" s="30"/>
      <c r="E314" s="29">
        <f>SUMIFS(E315:E420,K315:K420,"0",B315:B420,"3 1 1*")-SUMIFS(D315:D420,K315:K420,"0",B315:B420,"3 1 1*")</f>
        <v>1637059.87</v>
      </c>
      <c r="F314" s="29">
        <f>SUMIFS(F315:F420,K315:K420,"0",B315:B420,"3 1 1*")</f>
        <v>150000</v>
      </c>
      <c r="G314" s="29">
        <f>SUMIFS(G315:G420,K315:K420,"0",B315:B420,"3 1 1*")</f>
        <v>0</v>
      </c>
      <c r="H314" s="29"/>
      <c r="I314" s="29">
        <f t="shared" si="6"/>
        <v>1487059.87</v>
      </c>
      <c r="K314" t="s">
        <v>15</v>
      </c>
    </row>
    <row r="315" spans="2:11" ht="13" x14ac:dyDescent="0.15">
      <c r="B315" s="28" t="s">
        <v>457</v>
      </c>
      <c r="C315" s="28" t="s">
        <v>456</v>
      </c>
      <c r="D315" s="30"/>
      <c r="E315" s="29">
        <f>SUMIFS(E316:E420,K316:K420,"0",B316:B420,"3 1 1 1*")-SUMIFS(D316:D420,K316:K420,"0",B316:B420,"3 1 1 1*")</f>
        <v>1637059.87</v>
      </c>
      <c r="F315" s="29">
        <f>SUMIFS(F316:F420,K316:K420,"0",B316:B420,"3 1 1 1*")</f>
        <v>150000</v>
      </c>
      <c r="G315" s="29">
        <f>SUMIFS(G316:G420,K316:K420,"0",B316:B420,"3 1 1 1*")</f>
        <v>0</v>
      </c>
      <c r="H315" s="29"/>
      <c r="I315" s="29">
        <f t="shared" si="6"/>
        <v>1487059.87</v>
      </c>
      <c r="K315" t="s">
        <v>15</v>
      </c>
    </row>
    <row r="316" spans="2:11" ht="13" x14ac:dyDescent="0.15">
      <c r="B316" s="28" t="s">
        <v>458</v>
      </c>
      <c r="C316" s="28" t="s">
        <v>456</v>
      </c>
      <c r="D316" s="30"/>
      <c r="E316" s="29">
        <f>SUMIFS(E317:E420,K317:K420,"0",B317:B420,"3 1 1 1 1*")-SUMIFS(D317:D420,K317:K420,"0",B317:B420,"3 1 1 1 1*")</f>
        <v>1637059.87</v>
      </c>
      <c r="F316" s="29">
        <f>SUMIFS(F317:F420,K317:K420,"0",B317:B420,"3 1 1 1 1*")</f>
        <v>150000</v>
      </c>
      <c r="G316" s="29">
        <f>SUMIFS(G317:G420,K317:K420,"0",B317:B420,"3 1 1 1 1*")</f>
        <v>0</v>
      </c>
      <c r="H316" s="29"/>
      <c r="I316" s="29">
        <f t="shared" si="6"/>
        <v>1487059.87</v>
      </c>
      <c r="K316" t="s">
        <v>15</v>
      </c>
    </row>
    <row r="317" spans="2:11" ht="13" x14ac:dyDescent="0.15">
      <c r="B317" s="28" t="s">
        <v>459</v>
      </c>
      <c r="C317" s="28" t="s">
        <v>26</v>
      </c>
      <c r="D317" s="30"/>
      <c r="E317" s="29">
        <f>SUMIFS(E318:E420,K318:K420,"0",B318:B420,"3 1 1 1 1 12*")-SUMIFS(D318:D420,K318:K420,"0",B318:B420,"3 1 1 1 1 12*")</f>
        <v>1637059.87</v>
      </c>
      <c r="F317" s="29">
        <f>SUMIFS(F318:F420,K318:K420,"0",B318:B420,"3 1 1 1 1 12*")</f>
        <v>150000</v>
      </c>
      <c r="G317" s="29">
        <f>SUMIFS(G318:G420,K318:K420,"0",B318:B420,"3 1 1 1 1 12*")</f>
        <v>0</v>
      </c>
      <c r="H317" s="29"/>
      <c r="I317" s="29">
        <f t="shared" si="6"/>
        <v>1487059.87</v>
      </c>
      <c r="K317" t="s">
        <v>15</v>
      </c>
    </row>
    <row r="318" spans="2:11" ht="13" x14ac:dyDescent="0.15">
      <c r="B318" s="28" t="s">
        <v>460</v>
      </c>
      <c r="C318" s="28" t="s">
        <v>28</v>
      </c>
      <c r="D318" s="30"/>
      <c r="E318" s="29">
        <f>SUMIFS(E319:E420,K319:K420,"0",B319:B420,"3 1 1 1 1 12 31111*")-SUMIFS(D319:D420,K319:K420,"0",B319:B420,"3 1 1 1 1 12 31111*")</f>
        <v>1637059.87</v>
      </c>
      <c r="F318" s="29">
        <f>SUMIFS(F319:F420,K319:K420,"0",B319:B420,"3 1 1 1 1 12 31111*")</f>
        <v>150000</v>
      </c>
      <c r="G318" s="29">
        <f>SUMIFS(G319:G420,K319:K420,"0",B319:B420,"3 1 1 1 1 12 31111*")</f>
        <v>0</v>
      </c>
      <c r="H318" s="29"/>
      <c r="I318" s="29">
        <f t="shared" si="6"/>
        <v>1487059.87</v>
      </c>
      <c r="K318" t="s">
        <v>15</v>
      </c>
    </row>
    <row r="319" spans="2:11" ht="13" x14ac:dyDescent="0.15">
      <c r="B319" s="28" t="s">
        <v>461</v>
      </c>
      <c r="C319" s="28" t="s">
        <v>30</v>
      </c>
      <c r="D319" s="30"/>
      <c r="E319" s="29">
        <f>SUMIFS(E320:E420,K320:K420,"0",B320:B420,"3 1 1 1 1 12 31111 6*")-SUMIFS(D320:D420,K320:K420,"0",B320:B420,"3 1 1 1 1 12 31111 6*")</f>
        <v>1637059.87</v>
      </c>
      <c r="F319" s="29">
        <f>SUMIFS(F320:F420,K320:K420,"0",B320:B420,"3 1 1 1 1 12 31111 6*")</f>
        <v>150000</v>
      </c>
      <c r="G319" s="29">
        <f>SUMIFS(G320:G420,K320:K420,"0",B320:B420,"3 1 1 1 1 12 31111 6*")</f>
        <v>0</v>
      </c>
      <c r="H319" s="29"/>
      <c r="I319" s="29">
        <f t="shared" si="6"/>
        <v>1487059.87</v>
      </c>
      <c r="K319" t="s">
        <v>15</v>
      </c>
    </row>
    <row r="320" spans="2:11" ht="13" x14ac:dyDescent="0.15">
      <c r="B320" s="28" t="s">
        <v>462</v>
      </c>
      <c r="C320" s="28" t="s">
        <v>32</v>
      </c>
      <c r="D320" s="30"/>
      <c r="E320" s="29">
        <f>SUMIFS(E321:E420,K321:K420,"0",B321:B420,"3 1 1 1 1 12 31111 6 M78*")-SUMIFS(D321:D420,K321:K420,"0",B321:B420,"3 1 1 1 1 12 31111 6 M78*")</f>
        <v>1637059.87</v>
      </c>
      <c r="F320" s="29">
        <f>SUMIFS(F321:F420,K321:K420,"0",B321:B420,"3 1 1 1 1 12 31111 6 M78*")</f>
        <v>150000</v>
      </c>
      <c r="G320" s="29">
        <f>SUMIFS(G321:G420,K321:K420,"0",B321:B420,"3 1 1 1 1 12 31111 6 M78*")</f>
        <v>0</v>
      </c>
      <c r="H320" s="29"/>
      <c r="I320" s="29">
        <f t="shared" si="6"/>
        <v>1487059.87</v>
      </c>
      <c r="K320" t="s">
        <v>15</v>
      </c>
    </row>
    <row r="321" spans="2:11" ht="22" x14ac:dyDescent="0.15">
      <c r="B321" s="31" t="s">
        <v>463</v>
      </c>
      <c r="C321" s="31" t="s">
        <v>59</v>
      </c>
      <c r="D321" s="32"/>
      <c r="E321" s="32">
        <v>1637059.87</v>
      </c>
      <c r="F321" s="32">
        <v>150000</v>
      </c>
      <c r="G321" s="32">
        <v>0</v>
      </c>
      <c r="H321" s="32"/>
      <c r="I321" s="32">
        <f t="shared" si="6"/>
        <v>1487059.87</v>
      </c>
      <c r="K321" t="s">
        <v>39</v>
      </c>
    </row>
    <row r="322" spans="2:11" ht="13" x14ac:dyDescent="0.15">
      <c r="B322" s="28" t="s">
        <v>464</v>
      </c>
      <c r="C322" s="28" t="s">
        <v>465</v>
      </c>
      <c r="D322" s="30"/>
      <c r="E322" s="29">
        <f>SUMIFS(E323:E420,K323:K420,"0",B323:B420,"3 2*")-SUMIFS(D323:D420,K323:K420,"0",B323:B420,"3 2*")</f>
        <v>13325.46</v>
      </c>
      <c r="F322" s="29">
        <f>SUMIFS(F323:F420,K323:K420,"0",B323:B420,"3 2*")</f>
        <v>0</v>
      </c>
      <c r="G322" s="29">
        <f>SUMIFS(G323:G420,K323:K420,"0",B323:B420,"3 2*")</f>
        <v>0</v>
      </c>
      <c r="H322" s="29"/>
      <c r="I322" s="29">
        <f t="shared" si="6"/>
        <v>13325.46</v>
      </c>
      <c r="K322" t="s">
        <v>15</v>
      </c>
    </row>
    <row r="323" spans="2:11" ht="13" x14ac:dyDescent="0.15">
      <c r="B323" s="28" t="s">
        <v>466</v>
      </c>
      <c r="C323" s="28" t="s">
        <v>467</v>
      </c>
      <c r="D323" s="30"/>
      <c r="E323" s="29">
        <f>SUMIFS(E324:E420,K324:K420,"0",B324:B420,"3 2 2*")-SUMIFS(D324:D420,K324:K420,"0",B324:B420,"3 2 2*")</f>
        <v>13325.46</v>
      </c>
      <c r="F323" s="29">
        <f>SUMIFS(F324:F420,K324:K420,"0",B324:B420,"3 2 2*")</f>
        <v>0</v>
      </c>
      <c r="G323" s="29">
        <f>SUMIFS(G324:G420,K324:K420,"0",B324:B420,"3 2 2*")</f>
        <v>0</v>
      </c>
      <c r="H323" s="29"/>
      <c r="I323" s="29">
        <f t="shared" si="6"/>
        <v>13325.46</v>
      </c>
      <c r="K323" t="s">
        <v>15</v>
      </c>
    </row>
    <row r="324" spans="2:11" ht="13" x14ac:dyDescent="0.15">
      <c r="B324" s="28" t="s">
        <v>468</v>
      </c>
      <c r="C324" s="28" t="s">
        <v>467</v>
      </c>
      <c r="D324" s="30"/>
      <c r="E324" s="29">
        <f>SUMIFS(E325:E420,K325:K420,"0",B325:B420,"3 2 2 1*")-SUMIFS(D325:D420,K325:K420,"0",B325:B420,"3 2 2 1*")</f>
        <v>13325.46</v>
      </c>
      <c r="F324" s="29">
        <f>SUMIFS(F325:F420,K325:K420,"0",B325:B420,"3 2 2 1*")</f>
        <v>0</v>
      </c>
      <c r="G324" s="29">
        <f>SUMIFS(G325:G420,K325:K420,"0",B325:B420,"3 2 2 1*")</f>
        <v>0</v>
      </c>
      <c r="H324" s="29"/>
      <c r="I324" s="29">
        <f t="shared" si="6"/>
        <v>13325.46</v>
      </c>
      <c r="K324" t="s">
        <v>15</v>
      </c>
    </row>
    <row r="325" spans="2:11" ht="13" x14ac:dyDescent="0.15">
      <c r="B325" s="28" t="s">
        <v>469</v>
      </c>
      <c r="C325" s="28" t="s">
        <v>470</v>
      </c>
      <c r="D325" s="30"/>
      <c r="E325" s="29">
        <f>SUMIFS(E326:E420,K326:K420,"0",B326:B420,"3 2 2 1 1*")-SUMIFS(D326:D420,K326:K420,"0",B326:B420,"3 2 2 1 1*")</f>
        <v>13325.46</v>
      </c>
      <c r="F325" s="29">
        <f>SUMIFS(F326:F420,K326:K420,"0",B326:B420,"3 2 2 1 1*")</f>
        <v>0</v>
      </c>
      <c r="G325" s="29">
        <f>SUMIFS(G326:G420,K326:K420,"0",B326:B420,"3 2 2 1 1*")</f>
        <v>0</v>
      </c>
      <c r="H325" s="29"/>
      <c r="I325" s="29">
        <f t="shared" si="6"/>
        <v>13325.46</v>
      </c>
      <c r="K325" t="s">
        <v>15</v>
      </c>
    </row>
    <row r="326" spans="2:11" ht="13" x14ac:dyDescent="0.15">
      <c r="B326" s="28" t="s">
        <v>471</v>
      </c>
      <c r="C326" s="28" t="s">
        <v>26</v>
      </c>
      <c r="D326" s="30"/>
      <c r="E326" s="29">
        <f>SUMIFS(E327:E420,K327:K420,"0",B327:B420,"3 2 2 1 1 12*")-SUMIFS(D327:D420,K327:K420,"0",B327:B420,"3 2 2 1 1 12*")</f>
        <v>13325.46</v>
      </c>
      <c r="F326" s="29">
        <f>SUMIFS(F327:F420,K327:K420,"0",B327:B420,"3 2 2 1 1 12*")</f>
        <v>0</v>
      </c>
      <c r="G326" s="29">
        <f>SUMIFS(G327:G420,K327:K420,"0",B327:B420,"3 2 2 1 1 12*")</f>
        <v>0</v>
      </c>
      <c r="H326" s="29"/>
      <c r="I326" s="29">
        <f t="shared" si="6"/>
        <v>13325.46</v>
      </c>
      <c r="K326" t="s">
        <v>15</v>
      </c>
    </row>
    <row r="327" spans="2:11" ht="13" x14ac:dyDescent="0.15">
      <c r="B327" s="28" t="s">
        <v>472</v>
      </c>
      <c r="C327" s="28" t="s">
        <v>28</v>
      </c>
      <c r="D327" s="30"/>
      <c r="E327" s="29">
        <f>SUMIFS(E328:E420,K328:K420,"0",B328:B420,"3 2 2 1 1 12 31111*")-SUMIFS(D328:D420,K328:K420,"0",B328:B420,"3 2 2 1 1 12 31111*")</f>
        <v>13325.46</v>
      </c>
      <c r="F327" s="29">
        <f>SUMIFS(F328:F420,K328:K420,"0",B328:B420,"3 2 2 1 1 12 31111*")</f>
        <v>0</v>
      </c>
      <c r="G327" s="29">
        <f>SUMIFS(G328:G420,K328:K420,"0",B328:B420,"3 2 2 1 1 12 31111*")</f>
        <v>0</v>
      </c>
      <c r="H327" s="29"/>
      <c r="I327" s="29">
        <f t="shared" si="6"/>
        <v>13325.46</v>
      </c>
      <c r="K327" t="s">
        <v>15</v>
      </c>
    </row>
    <row r="328" spans="2:11" ht="13" x14ac:dyDescent="0.15">
      <c r="B328" s="28" t="s">
        <v>473</v>
      </c>
      <c r="C328" s="28" t="s">
        <v>30</v>
      </c>
      <c r="D328" s="30"/>
      <c r="E328" s="29">
        <f>SUMIFS(E329:E420,K329:K420,"0",B329:B420,"3 2 2 1 1 12 31111 6*")-SUMIFS(D329:D420,K329:K420,"0",B329:B420,"3 2 2 1 1 12 31111 6*")</f>
        <v>13325.46</v>
      </c>
      <c r="F328" s="29">
        <f>SUMIFS(F329:F420,K329:K420,"0",B329:B420,"3 2 2 1 1 12 31111 6*")</f>
        <v>0</v>
      </c>
      <c r="G328" s="29">
        <f>SUMIFS(G329:G420,K329:K420,"0",B329:B420,"3 2 2 1 1 12 31111 6*")</f>
        <v>0</v>
      </c>
      <c r="H328" s="29"/>
      <c r="I328" s="29">
        <f t="shared" si="6"/>
        <v>13325.46</v>
      </c>
      <c r="K328" t="s">
        <v>15</v>
      </c>
    </row>
    <row r="329" spans="2:11" ht="13" x14ac:dyDescent="0.15">
      <c r="B329" s="28" t="s">
        <v>474</v>
      </c>
      <c r="C329" s="28" t="s">
        <v>32</v>
      </c>
      <c r="D329" s="30"/>
      <c r="E329" s="29">
        <f>SUMIFS(E330:E420,K330:K420,"0",B330:B420,"3 2 2 1 1 12 31111 6 M78*")-SUMIFS(D330:D420,K330:K420,"0",B330:B420,"3 2 2 1 1 12 31111 6 M78*")</f>
        <v>13325.46</v>
      </c>
      <c r="F329" s="29">
        <f>SUMIFS(F330:F420,K330:K420,"0",B330:B420,"3 2 2 1 1 12 31111 6 M78*")</f>
        <v>0</v>
      </c>
      <c r="G329" s="29">
        <f>SUMIFS(G330:G420,K330:K420,"0",B330:B420,"3 2 2 1 1 12 31111 6 M78*")</f>
        <v>0</v>
      </c>
      <c r="H329" s="29"/>
      <c r="I329" s="29">
        <f t="shared" si="6"/>
        <v>13325.46</v>
      </c>
      <c r="K329" t="s">
        <v>15</v>
      </c>
    </row>
    <row r="330" spans="2:11" ht="22" x14ac:dyDescent="0.15">
      <c r="B330" s="31" t="s">
        <v>475</v>
      </c>
      <c r="C330" s="31" t="s">
        <v>59</v>
      </c>
      <c r="D330" s="32"/>
      <c r="E330" s="32">
        <v>13325.46</v>
      </c>
      <c r="F330" s="32">
        <v>0</v>
      </c>
      <c r="G330" s="32">
        <v>0</v>
      </c>
      <c r="H330" s="32"/>
      <c r="I330" s="32">
        <f t="shared" si="6"/>
        <v>13325.46</v>
      </c>
      <c r="K330" t="s">
        <v>39</v>
      </c>
    </row>
    <row r="331" spans="2:11" ht="13" x14ac:dyDescent="0.15">
      <c r="B331" s="28" t="s">
        <v>476</v>
      </c>
      <c r="C331" s="28" t="s">
        <v>477</v>
      </c>
      <c r="D331" s="30"/>
      <c r="E331" s="29">
        <f>SUMIFS(E332:E420,K332:K420,"0",B332:B420,"4*")-SUMIFS(D332:D420,K332:K420,"0",B332:B420,"4*")</f>
        <v>0</v>
      </c>
      <c r="F331" s="29">
        <f>SUMIFS(F332:F420,K332:K420,"0",B332:B420,"4*")</f>
        <v>0</v>
      </c>
      <c r="G331" s="29">
        <f>SUMIFS(G332:G420,K332:K420,"0",B332:B420,"4*")</f>
        <v>52714504.140000001</v>
      </c>
      <c r="H331" s="29"/>
      <c r="I331" s="29">
        <f t="shared" si="6"/>
        <v>52714504.140000001</v>
      </c>
      <c r="K331" t="s">
        <v>15</v>
      </c>
    </row>
    <row r="332" spans="2:11" ht="13" x14ac:dyDescent="0.15">
      <c r="B332" s="28" t="s">
        <v>478</v>
      </c>
      <c r="C332" s="28" t="s">
        <v>479</v>
      </c>
      <c r="D332" s="30"/>
      <c r="E332" s="29">
        <f>SUMIFS(E333:E420,K333:K420,"0",B333:B420,"4 1*")-SUMIFS(D333:D420,K333:K420,"0",B333:B420,"4 1*")</f>
        <v>0</v>
      </c>
      <c r="F332" s="29">
        <f>SUMIFS(F333:F420,K333:K420,"0",B333:B420,"4 1*")</f>
        <v>0</v>
      </c>
      <c r="G332" s="29">
        <f>SUMIFS(G333:G420,K333:K420,"0",B333:B420,"4 1*")</f>
        <v>403007.94</v>
      </c>
      <c r="H332" s="29"/>
      <c r="I332" s="29">
        <f t="shared" si="6"/>
        <v>403007.94</v>
      </c>
      <c r="K332" t="s">
        <v>15</v>
      </c>
    </row>
    <row r="333" spans="2:11" ht="13" x14ac:dyDescent="0.15">
      <c r="B333" s="28" t="s">
        <v>480</v>
      </c>
      <c r="C333" s="28" t="s">
        <v>481</v>
      </c>
      <c r="D333" s="30"/>
      <c r="E333" s="29">
        <f>SUMIFS(E334:E420,K334:K420,"0",B334:B420,"4 1 5*")-SUMIFS(D334:D420,K334:K420,"0",B334:B420,"4 1 5*")</f>
        <v>0</v>
      </c>
      <c r="F333" s="29">
        <f>SUMIFS(F334:F420,K334:K420,"0",B334:B420,"4 1 5*")</f>
        <v>0</v>
      </c>
      <c r="G333" s="29">
        <f>SUMIFS(G334:G420,K334:K420,"0",B334:B420,"4 1 5*")</f>
        <v>403007.94</v>
      </c>
      <c r="H333" s="29"/>
      <c r="I333" s="29">
        <f t="shared" si="6"/>
        <v>403007.94</v>
      </c>
      <c r="K333" t="s">
        <v>15</v>
      </c>
    </row>
    <row r="334" spans="2:11" ht="13" x14ac:dyDescent="0.15">
      <c r="B334" s="28" t="s">
        <v>482</v>
      </c>
      <c r="C334" s="28" t="s">
        <v>481</v>
      </c>
      <c r="D334" s="30"/>
      <c r="E334" s="29">
        <f>SUMIFS(E335:E420,K335:K420,"0",B335:B420,"4 1 5 1*")-SUMIFS(D335:D420,K335:K420,"0",B335:B420,"4 1 5 1*")</f>
        <v>0</v>
      </c>
      <c r="F334" s="29">
        <f>SUMIFS(F335:F420,K335:K420,"0",B335:B420,"4 1 5 1*")</f>
        <v>0</v>
      </c>
      <c r="G334" s="29">
        <f>SUMIFS(G335:G420,K335:K420,"0",B335:B420,"4 1 5 1*")</f>
        <v>403007.94</v>
      </c>
      <c r="H334" s="29"/>
      <c r="I334" s="29">
        <f t="shared" si="6"/>
        <v>403007.94</v>
      </c>
      <c r="K334" t="s">
        <v>15</v>
      </c>
    </row>
    <row r="335" spans="2:11" ht="22" x14ac:dyDescent="0.15">
      <c r="B335" s="28" t="s">
        <v>483</v>
      </c>
      <c r="C335" s="28" t="s">
        <v>484</v>
      </c>
      <c r="D335" s="30"/>
      <c r="E335" s="29">
        <f>SUMIFS(E336:E420,K336:K420,"0",B336:B420,"4 1 5 1 1*")-SUMIFS(D336:D420,K336:K420,"0",B336:B420,"4 1 5 1 1*")</f>
        <v>0</v>
      </c>
      <c r="F335" s="29">
        <f>SUMIFS(F336:F420,K336:K420,"0",B336:B420,"4 1 5 1 1*")</f>
        <v>0</v>
      </c>
      <c r="G335" s="29">
        <f>SUMIFS(G336:G420,K336:K420,"0",B336:B420,"4 1 5 1 1*")</f>
        <v>403007.94</v>
      </c>
      <c r="H335" s="29"/>
      <c r="I335" s="29">
        <f t="shared" si="6"/>
        <v>403007.94</v>
      </c>
      <c r="K335" t="s">
        <v>15</v>
      </c>
    </row>
    <row r="336" spans="2:11" ht="13" x14ac:dyDescent="0.15">
      <c r="B336" s="28" t="s">
        <v>485</v>
      </c>
      <c r="C336" s="28" t="s">
        <v>26</v>
      </c>
      <c r="D336" s="30"/>
      <c r="E336" s="29">
        <f>SUMIFS(E337:E420,K337:K420,"0",B337:B420,"4 1 5 1 1 12*")-SUMIFS(D337:D420,K337:K420,"0",B337:B420,"4 1 5 1 1 12*")</f>
        <v>0</v>
      </c>
      <c r="F336" s="29">
        <f>SUMIFS(F337:F420,K337:K420,"0",B337:B420,"4 1 5 1 1 12*")</f>
        <v>0</v>
      </c>
      <c r="G336" s="29">
        <f>SUMIFS(G337:G420,K337:K420,"0",B337:B420,"4 1 5 1 1 12*")</f>
        <v>403007.94</v>
      </c>
      <c r="H336" s="29"/>
      <c r="I336" s="29">
        <f t="shared" ref="I336:I369" si="7">E336 - F336 + G336</f>
        <v>403007.94</v>
      </c>
      <c r="K336" t="s">
        <v>15</v>
      </c>
    </row>
    <row r="337" spans="2:11" ht="13" x14ac:dyDescent="0.15">
      <c r="B337" s="28" t="s">
        <v>486</v>
      </c>
      <c r="C337" s="28" t="s">
        <v>28</v>
      </c>
      <c r="D337" s="30"/>
      <c r="E337" s="29">
        <f>SUMIFS(E338:E420,K338:K420,"0",B338:B420,"4 1 5 1 1 12 31111*")-SUMIFS(D338:D420,K338:K420,"0",B338:B420,"4 1 5 1 1 12 31111*")</f>
        <v>0</v>
      </c>
      <c r="F337" s="29">
        <f>SUMIFS(F338:F420,K338:K420,"0",B338:B420,"4 1 5 1 1 12 31111*")</f>
        <v>0</v>
      </c>
      <c r="G337" s="29">
        <f>SUMIFS(G338:G420,K338:K420,"0",B338:B420,"4 1 5 1 1 12 31111*")</f>
        <v>403007.94</v>
      </c>
      <c r="H337" s="29"/>
      <c r="I337" s="29">
        <f t="shared" si="7"/>
        <v>403007.94</v>
      </c>
      <c r="K337" t="s">
        <v>15</v>
      </c>
    </row>
    <row r="338" spans="2:11" ht="13" x14ac:dyDescent="0.15">
      <c r="B338" s="28" t="s">
        <v>487</v>
      </c>
      <c r="C338" s="28" t="s">
        <v>30</v>
      </c>
      <c r="D338" s="30"/>
      <c r="E338" s="29">
        <f>SUMIFS(E339:E420,K339:K420,"0",B339:B420,"4 1 5 1 1 12 31111 6*")-SUMIFS(D339:D420,K339:K420,"0",B339:B420,"4 1 5 1 1 12 31111 6*")</f>
        <v>0</v>
      </c>
      <c r="F338" s="29">
        <f>SUMIFS(F339:F420,K339:K420,"0",B339:B420,"4 1 5 1 1 12 31111 6*")</f>
        <v>0</v>
      </c>
      <c r="G338" s="29">
        <f>SUMIFS(G339:G420,K339:K420,"0",B339:B420,"4 1 5 1 1 12 31111 6*")</f>
        <v>403007.94</v>
      </c>
      <c r="H338" s="29"/>
      <c r="I338" s="29">
        <f t="shared" si="7"/>
        <v>403007.94</v>
      </c>
      <c r="K338" t="s">
        <v>15</v>
      </c>
    </row>
    <row r="339" spans="2:11" ht="13" x14ac:dyDescent="0.15">
      <c r="B339" s="28" t="s">
        <v>488</v>
      </c>
      <c r="C339" s="28" t="s">
        <v>32</v>
      </c>
      <c r="D339" s="30"/>
      <c r="E339" s="29">
        <f>SUMIFS(E340:E420,K340:K420,"0",B340:B420,"4 1 5 1 1 12 31111 6 M78*")-SUMIFS(D340:D420,K340:K420,"0",B340:B420,"4 1 5 1 1 12 31111 6 M78*")</f>
        <v>0</v>
      </c>
      <c r="F339" s="29">
        <f>SUMIFS(F340:F420,K340:K420,"0",B340:B420,"4 1 5 1 1 12 31111 6 M78*")</f>
        <v>0</v>
      </c>
      <c r="G339" s="29">
        <f>SUMIFS(G340:G420,K340:K420,"0",B340:B420,"4 1 5 1 1 12 31111 6 M78*")</f>
        <v>403007.94</v>
      </c>
      <c r="H339" s="29"/>
      <c r="I339" s="29">
        <f t="shared" si="7"/>
        <v>403007.94</v>
      </c>
      <c r="K339" t="s">
        <v>15</v>
      </c>
    </row>
    <row r="340" spans="2:11" ht="13" x14ac:dyDescent="0.15">
      <c r="B340" s="28" t="s">
        <v>489</v>
      </c>
      <c r="C340" s="28" t="s">
        <v>113</v>
      </c>
      <c r="D340" s="30"/>
      <c r="E340" s="29">
        <f>SUMIFS(E341:E420,K341:K420,"0",B341:B420,"4 1 5 1 1 12 31111 6 M78 10000*")-SUMIFS(D341:D420,K341:K420,"0",B341:B420,"4 1 5 1 1 12 31111 6 M78 10000*")</f>
        <v>0</v>
      </c>
      <c r="F340" s="29">
        <f>SUMIFS(F341:F420,K341:K420,"0",B341:B420,"4 1 5 1 1 12 31111 6 M78 10000*")</f>
        <v>0</v>
      </c>
      <c r="G340" s="29">
        <f>SUMIFS(G341:G420,K341:K420,"0",B341:B420,"4 1 5 1 1 12 31111 6 M78 10000*")</f>
        <v>403007.94</v>
      </c>
      <c r="H340" s="29"/>
      <c r="I340" s="29">
        <f t="shared" si="7"/>
        <v>403007.94</v>
      </c>
      <c r="K340" t="s">
        <v>15</v>
      </c>
    </row>
    <row r="341" spans="2:11" ht="22" x14ac:dyDescent="0.15">
      <c r="B341" s="28" t="s">
        <v>490</v>
      </c>
      <c r="C341" s="28" t="s">
        <v>115</v>
      </c>
      <c r="D341" s="30"/>
      <c r="E341" s="29">
        <f>SUMIFS(E342:E420,K342:K420,"0",B342:B420,"4 1 5 1 1 12 31111 6 M78 10000 222*")-SUMIFS(D342:D420,K342:K420,"0",B342:B420,"4 1 5 1 1 12 31111 6 M78 10000 222*")</f>
        <v>0</v>
      </c>
      <c r="F341" s="29">
        <f>SUMIFS(F342:F420,K342:K420,"0",B342:B420,"4 1 5 1 1 12 31111 6 M78 10000 222*")</f>
        <v>0</v>
      </c>
      <c r="G341" s="29">
        <f>SUMIFS(G342:G420,K342:K420,"0",B342:B420,"4 1 5 1 1 12 31111 6 M78 10000 222*")</f>
        <v>403007.94</v>
      </c>
      <c r="H341" s="29"/>
      <c r="I341" s="29">
        <f t="shared" si="7"/>
        <v>403007.94</v>
      </c>
      <c r="K341" t="s">
        <v>15</v>
      </c>
    </row>
    <row r="342" spans="2:11" ht="22" x14ac:dyDescent="0.15">
      <c r="B342" s="28" t="s">
        <v>491</v>
      </c>
      <c r="C342" s="28" t="s">
        <v>117</v>
      </c>
      <c r="D342" s="30"/>
      <c r="E342" s="29">
        <f>SUMIFS(E343:E420,K343:K420,"0",B343:B420,"4 1 5 1 1 12 31111 6 M78 10000 222 00I*")-SUMIFS(D343:D420,K343:K420,"0",B343:B420,"4 1 5 1 1 12 31111 6 M78 10000 222 00I*")</f>
        <v>0</v>
      </c>
      <c r="F342" s="29">
        <f>SUMIFS(F343:F420,K343:K420,"0",B343:B420,"4 1 5 1 1 12 31111 6 M78 10000 222 00I*")</f>
        <v>0</v>
      </c>
      <c r="G342" s="29">
        <f>SUMIFS(G343:G420,K343:K420,"0",B343:B420,"4 1 5 1 1 12 31111 6 M78 10000 222 00I*")</f>
        <v>403007.94</v>
      </c>
      <c r="H342" s="29"/>
      <c r="I342" s="29">
        <f t="shared" si="7"/>
        <v>403007.94</v>
      </c>
      <c r="K342" t="s">
        <v>15</v>
      </c>
    </row>
    <row r="343" spans="2:11" ht="22" x14ac:dyDescent="0.15">
      <c r="B343" s="28" t="s">
        <v>492</v>
      </c>
      <c r="C343" s="28" t="s">
        <v>493</v>
      </c>
      <c r="D343" s="30"/>
      <c r="E343" s="29">
        <f>SUMIFS(E344:E420,K344:K420,"0",B344:B420,"4 1 5 1 1 12 31111 6 M78 10000 222 00I 001*")-SUMIFS(D344:D420,K344:K420,"0",B344:B420,"4 1 5 1 1 12 31111 6 M78 10000 222 00I 001*")</f>
        <v>0</v>
      </c>
      <c r="F343" s="29">
        <f>SUMIFS(F344:F420,K344:K420,"0",B344:B420,"4 1 5 1 1 12 31111 6 M78 10000 222 00I 001*")</f>
        <v>0</v>
      </c>
      <c r="G343" s="29">
        <f>SUMIFS(G344:G420,K344:K420,"0",B344:B420,"4 1 5 1 1 12 31111 6 M78 10000 222 00I 001*")</f>
        <v>403007.94</v>
      </c>
      <c r="H343" s="29"/>
      <c r="I343" s="29">
        <f t="shared" si="7"/>
        <v>403007.94</v>
      </c>
      <c r="K343" t="s">
        <v>15</v>
      </c>
    </row>
    <row r="344" spans="2:11" ht="22" x14ac:dyDescent="0.15">
      <c r="B344" s="28" t="s">
        <v>494</v>
      </c>
      <c r="C344" s="28" t="s">
        <v>481</v>
      </c>
      <c r="D344" s="30"/>
      <c r="E344" s="29">
        <f>SUMIFS(E345:E420,K345:K420,"0",B345:B420,"4 1 5 1 1 12 31111 6 M78 10000 222 00I 001 00051*")-SUMIFS(D345:D420,K345:K420,"0",B345:B420,"4 1 5 1 1 12 31111 6 M78 10000 222 00I 001 00051*")</f>
        <v>0</v>
      </c>
      <c r="F344" s="29">
        <f>SUMIFS(F345:F420,K345:K420,"0",B345:B420,"4 1 5 1 1 12 31111 6 M78 10000 222 00I 001 00051*")</f>
        <v>0</v>
      </c>
      <c r="G344" s="29">
        <f>SUMIFS(G345:G420,K345:K420,"0",B345:B420,"4 1 5 1 1 12 31111 6 M78 10000 222 00I 001 00051*")</f>
        <v>403007.94</v>
      </c>
      <c r="H344" s="29"/>
      <c r="I344" s="29">
        <f t="shared" si="7"/>
        <v>403007.94</v>
      </c>
      <c r="K344" t="s">
        <v>15</v>
      </c>
    </row>
    <row r="345" spans="2:11" ht="22" x14ac:dyDescent="0.15">
      <c r="B345" s="28" t="s">
        <v>495</v>
      </c>
      <c r="C345" s="28" t="s">
        <v>123</v>
      </c>
      <c r="D345" s="30"/>
      <c r="E345" s="29">
        <f>SUMIFS(E346:E420,K346:K420,"0",B346:B420,"4 1 5 1 1 12 31111 6 M78 10000 222 00I 001 00051 025*")-SUMIFS(D346:D420,K346:K420,"0",B346:B420,"4 1 5 1 1 12 31111 6 M78 10000 222 00I 001 00051 025*")</f>
        <v>0</v>
      </c>
      <c r="F345" s="29">
        <f>SUMIFS(F346:F420,K346:K420,"0",B346:B420,"4 1 5 1 1 12 31111 6 M78 10000 222 00I 001 00051 025*")</f>
        <v>0</v>
      </c>
      <c r="G345" s="29">
        <f>SUMIFS(G346:G420,K346:K420,"0",B346:B420,"4 1 5 1 1 12 31111 6 M78 10000 222 00I 001 00051 025*")</f>
        <v>403007.94</v>
      </c>
      <c r="H345" s="29"/>
      <c r="I345" s="29">
        <f t="shared" si="7"/>
        <v>403007.94</v>
      </c>
      <c r="K345" t="s">
        <v>15</v>
      </c>
    </row>
    <row r="346" spans="2:11" ht="22" x14ac:dyDescent="0.15">
      <c r="B346" s="28" t="s">
        <v>496</v>
      </c>
      <c r="C346" s="28" t="s">
        <v>497</v>
      </c>
      <c r="D346" s="30"/>
      <c r="E346" s="29">
        <f>SUMIFS(E347:E420,K347:K420,"0",B347:B420,"4 1 5 1 1 12 31111 6 M78 10000 222 00I 001 00051 025 1151100*")-SUMIFS(D347:D420,K347:K420,"0",B347:B420,"4 1 5 1 1 12 31111 6 M78 10000 222 00I 001 00051 025 1151100*")</f>
        <v>0</v>
      </c>
      <c r="F346" s="29">
        <f>SUMIFS(F347:F420,K347:K420,"0",B347:B420,"4 1 5 1 1 12 31111 6 M78 10000 222 00I 001 00051 025 1151100*")</f>
        <v>0</v>
      </c>
      <c r="G346" s="29">
        <f>SUMIFS(G347:G420,K347:K420,"0",B347:B420,"4 1 5 1 1 12 31111 6 M78 10000 222 00I 001 00051 025 1151100*")</f>
        <v>403007.94</v>
      </c>
      <c r="H346" s="29"/>
      <c r="I346" s="29">
        <f t="shared" si="7"/>
        <v>403007.94</v>
      </c>
      <c r="K346" t="s">
        <v>15</v>
      </c>
    </row>
    <row r="347" spans="2:11" ht="33" x14ac:dyDescent="0.15">
      <c r="B347" s="28" t="s">
        <v>498</v>
      </c>
      <c r="C347" s="28" t="s">
        <v>127</v>
      </c>
      <c r="D347" s="30"/>
      <c r="E347" s="29">
        <f>SUMIFS(E348:E420,K348:K420,"0",B348:B420,"4 1 5 1 1 12 31111 6 M78 10000 222 00I 001 00051 025 1151100 2024*")-SUMIFS(D348:D420,K348:K420,"0",B348:B420,"4 1 5 1 1 12 31111 6 M78 10000 222 00I 001 00051 025 1151100 2024*")</f>
        <v>0</v>
      </c>
      <c r="F347" s="29">
        <f>SUMIFS(F348:F420,K348:K420,"0",B348:B420,"4 1 5 1 1 12 31111 6 M78 10000 222 00I 001 00051 025 1151100 2024*")</f>
        <v>0</v>
      </c>
      <c r="G347" s="29">
        <f>SUMIFS(G348:G420,K348:K420,"0",B348:B420,"4 1 5 1 1 12 31111 6 M78 10000 222 00I 001 00051 025 1151100 2024*")</f>
        <v>403007.94</v>
      </c>
      <c r="H347" s="29"/>
      <c r="I347" s="29">
        <f t="shared" si="7"/>
        <v>403007.94</v>
      </c>
      <c r="K347" t="s">
        <v>15</v>
      </c>
    </row>
    <row r="348" spans="2:11" ht="33" x14ac:dyDescent="0.15">
      <c r="B348" s="28" t="s">
        <v>499</v>
      </c>
      <c r="C348" s="28" t="s">
        <v>500</v>
      </c>
      <c r="D348" s="30"/>
      <c r="E348" s="29">
        <f>SUMIFS(E349:E420,K349:K420,"0",B349:B420,"4 1 5 1 1 12 31111 6 M78 10000 222 00I 001 00051 025 1151100 2024 00000000*")-SUMIFS(D349:D420,K349:K420,"0",B349:B420,"4 1 5 1 1 12 31111 6 M78 10000 222 00I 001 00051 025 1151100 2024 00000000*")</f>
        <v>0</v>
      </c>
      <c r="F348" s="29">
        <f>SUMIFS(F349:F420,K349:K420,"0",B349:B420,"4 1 5 1 1 12 31111 6 M78 10000 222 00I 001 00051 025 1151100 2024 00000000*")</f>
        <v>0</v>
      </c>
      <c r="G348" s="29">
        <f>SUMIFS(G349:G420,K349:K420,"0",B349:B420,"4 1 5 1 1 12 31111 6 M78 10000 222 00I 001 00051 025 1151100 2024 00000000*")</f>
        <v>403007.94</v>
      </c>
      <c r="H348" s="29"/>
      <c r="I348" s="29">
        <f t="shared" si="7"/>
        <v>403007.94</v>
      </c>
      <c r="K348" t="s">
        <v>15</v>
      </c>
    </row>
    <row r="349" spans="2:11" ht="33" x14ac:dyDescent="0.15">
      <c r="B349" s="28" t="s">
        <v>501</v>
      </c>
      <c r="C349" s="28" t="s">
        <v>9</v>
      </c>
      <c r="D349" s="30"/>
      <c r="E349" s="29">
        <f>SUMIFS(E350:E420,K350:K420,"0",B350:B420,"4 1 5 1 1 12 31111 6 M78 10000 222 00I 001 00051 025 1151100 2024 00000000 002*")-SUMIFS(D350:D420,K350:K420,"0",B350:B420,"4 1 5 1 1 12 31111 6 M78 10000 222 00I 001 00051 025 1151100 2024 00000000 002*")</f>
        <v>0</v>
      </c>
      <c r="F349" s="29">
        <f>SUMIFS(F350:F420,K350:K420,"0",B350:B420,"4 1 5 1 1 12 31111 6 M78 10000 222 00I 001 00051 025 1151100 2024 00000000 002*")</f>
        <v>0</v>
      </c>
      <c r="G349" s="29">
        <f>SUMIFS(G350:G420,K350:K420,"0",B350:B420,"4 1 5 1 1 12 31111 6 M78 10000 222 00I 001 00051 025 1151100 2024 00000000 002*")</f>
        <v>403007.94</v>
      </c>
      <c r="H349" s="29"/>
      <c r="I349" s="29">
        <f t="shared" si="7"/>
        <v>403007.94</v>
      </c>
      <c r="K349" t="s">
        <v>15</v>
      </c>
    </row>
    <row r="350" spans="2:11" ht="33" x14ac:dyDescent="0.15">
      <c r="B350" s="31" t="s">
        <v>502</v>
      </c>
      <c r="C350" s="31" t="s">
        <v>503</v>
      </c>
      <c r="D350" s="32"/>
      <c r="E350" s="32">
        <v>0</v>
      </c>
      <c r="F350" s="32">
        <v>0</v>
      </c>
      <c r="G350" s="32">
        <v>403007.94</v>
      </c>
      <c r="H350" s="32"/>
      <c r="I350" s="32">
        <f t="shared" si="7"/>
        <v>403007.94</v>
      </c>
      <c r="K350" t="s">
        <v>39</v>
      </c>
    </row>
    <row r="351" spans="2:11" ht="44" x14ac:dyDescent="0.15">
      <c r="B351" s="28" t="s">
        <v>504</v>
      </c>
      <c r="C351" s="28" t="s">
        <v>505</v>
      </c>
      <c r="D351" s="30"/>
      <c r="E351" s="29">
        <f>SUMIFS(E352:E420,K352:K420,"0",B352:B420,"4 2*")-SUMIFS(D352:D420,K352:K420,"0",B352:B420,"4 2*")</f>
        <v>0</v>
      </c>
      <c r="F351" s="29">
        <f>SUMIFS(F352:F420,K352:K420,"0",B352:B420,"4 2*")</f>
        <v>0</v>
      </c>
      <c r="G351" s="29">
        <f>SUMIFS(G352:G420,K352:K420,"0",B352:B420,"4 2*")</f>
        <v>52311496.200000003</v>
      </c>
      <c r="H351" s="29"/>
      <c r="I351" s="29">
        <f t="shared" si="7"/>
        <v>52311496.200000003</v>
      </c>
      <c r="K351" t="s">
        <v>15</v>
      </c>
    </row>
    <row r="352" spans="2:11" ht="33" x14ac:dyDescent="0.15">
      <c r="B352" s="28" t="s">
        <v>506</v>
      </c>
      <c r="C352" s="28" t="s">
        <v>507</v>
      </c>
      <c r="D352" s="30"/>
      <c r="E352" s="29">
        <f>SUMIFS(E353:E420,K353:K420,"0",B353:B420,"4 2 1*")-SUMIFS(D353:D420,K353:K420,"0",B353:B420,"4 2 1*")</f>
        <v>0</v>
      </c>
      <c r="F352" s="29">
        <f>SUMIFS(F353:F420,K353:K420,"0",B353:B420,"4 2 1*")</f>
        <v>0</v>
      </c>
      <c r="G352" s="29">
        <f>SUMIFS(G353:G420,K353:K420,"0",B353:B420,"4 2 1*")</f>
        <v>52311496.200000003</v>
      </c>
      <c r="H352" s="29"/>
      <c r="I352" s="29">
        <f t="shared" si="7"/>
        <v>52311496.200000003</v>
      </c>
      <c r="K352" t="s">
        <v>15</v>
      </c>
    </row>
    <row r="353" spans="2:11" ht="13" x14ac:dyDescent="0.15">
      <c r="B353" s="28" t="s">
        <v>508</v>
      </c>
      <c r="C353" s="28" t="s">
        <v>456</v>
      </c>
      <c r="D353" s="30"/>
      <c r="E353" s="29">
        <f>SUMIFS(E354:E420,K354:K420,"0",B354:B420,"4 2 1 2*")-SUMIFS(D354:D420,K354:K420,"0",B354:B420,"4 2 1 2*")</f>
        <v>0</v>
      </c>
      <c r="F353" s="29">
        <f>SUMIFS(F354:F420,K354:K420,"0",B354:B420,"4 2 1 2*")</f>
        <v>0</v>
      </c>
      <c r="G353" s="29">
        <f>SUMIFS(G354:G420,K354:K420,"0",B354:B420,"4 2 1 2*")</f>
        <v>52311496.200000003</v>
      </c>
      <c r="H353" s="29"/>
      <c r="I353" s="29">
        <f t="shared" si="7"/>
        <v>52311496.200000003</v>
      </c>
      <c r="K353" t="s">
        <v>15</v>
      </c>
    </row>
    <row r="354" spans="2:11" ht="13" x14ac:dyDescent="0.15">
      <c r="B354" s="28" t="s">
        <v>509</v>
      </c>
      <c r="C354" s="28" t="s">
        <v>456</v>
      </c>
      <c r="D354" s="30"/>
      <c r="E354" s="29">
        <f>SUMIFS(E355:E420,K355:K420,"0",B355:B420,"4 2 1 2 1*")-SUMIFS(D355:D420,K355:K420,"0",B355:B420,"4 2 1 2 1*")</f>
        <v>0</v>
      </c>
      <c r="F354" s="29">
        <f>SUMIFS(F355:F420,K355:K420,"0",B355:B420,"4 2 1 2 1*")</f>
        <v>0</v>
      </c>
      <c r="G354" s="29">
        <f>SUMIFS(G355:G420,K355:K420,"0",B355:B420,"4 2 1 2 1*")</f>
        <v>52311496.200000003</v>
      </c>
      <c r="H354" s="29"/>
      <c r="I354" s="29">
        <f t="shared" si="7"/>
        <v>52311496.200000003</v>
      </c>
      <c r="K354" t="s">
        <v>15</v>
      </c>
    </row>
    <row r="355" spans="2:11" ht="13" x14ac:dyDescent="0.15">
      <c r="B355" s="28" t="s">
        <v>510</v>
      </c>
      <c r="C355" s="28" t="s">
        <v>26</v>
      </c>
      <c r="D355" s="30"/>
      <c r="E355" s="29">
        <f>SUMIFS(E356:E420,K356:K420,"0",B356:B420,"4 2 1 2 1 12*")-SUMIFS(D356:D420,K356:K420,"0",B356:B420,"4 2 1 2 1 12*")</f>
        <v>0</v>
      </c>
      <c r="F355" s="29">
        <f>SUMIFS(F356:F420,K356:K420,"0",B356:B420,"4 2 1 2 1 12*")</f>
        <v>0</v>
      </c>
      <c r="G355" s="29">
        <f>SUMIFS(G356:G420,K356:K420,"0",B356:B420,"4 2 1 2 1 12*")</f>
        <v>52311496.200000003</v>
      </c>
      <c r="H355" s="29"/>
      <c r="I355" s="29">
        <f t="shared" si="7"/>
        <v>52311496.200000003</v>
      </c>
      <c r="K355" t="s">
        <v>15</v>
      </c>
    </row>
    <row r="356" spans="2:11" ht="13" x14ac:dyDescent="0.15">
      <c r="B356" s="28" t="s">
        <v>511</v>
      </c>
      <c r="C356" s="28" t="s">
        <v>28</v>
      </c>
      <c r="D356" s="30"/>
      <c r="E356" s="29">
        <f>SUMIFS(E357:E420,K357:K420,"0",B357:B420,"4 2 1 2 1 12 31111*")-SUMIFS(D357:D420,K357:K420,"0",B357:B420,"4 2 1 2 1 12 31111*")</f>
        <v>0</v>
      </c>
      <c r="F356" s="29">
        <f>SUMIFS(F357:F420,K357:K420,"0",B357:B420,"4 2 1 2 1 12 31111*")</f>
        <v>0</v>
      </c>
      <c r="G356" s="29">
        <f>SUMIFS(G357:G420,K357:K420,"0",B357:B420,"4 2 1 2 1 12 31111*")</f>
        <v>52311496.200000003</v>
      </c>
      <c r="H356" s="29"/>
      <c r="I356" s="29">
        <f t="shared" si="7"/>
        <v>52311496.200000003</v>
      </c>
      <c r="K356" t="s">
        <v>15</v>
      </c>
    </row>
    <row r="357" spans="2:11" ht="13" x14ac:dyDescent="0.15">
      <c r="B357" s="28" t="s">
        <v>512</v>
      </c>
      <c r="C357" s="28" t="s">
        <v>30</v>
      </c>
      <c r="D357" s="30"/>
      <c r="E357" s="29">
        <f>SUMIFS(E358:E420,K358:K420,"0",B358:B420,"4 2 1 2 1 12 31111 6*")-SUMIFS(D358:D420,K358:K420,"0",B358:B420,"4 2 1 2 1 12 31111 6*")</f>
        <v>0</v>
      </c>
      <c r="F357" s="29">
        <f>SUMIFS(F358:F420,K358:K420,"0",B358:B420,"4 2 1 2 1 12 31111 6*")</f>
        <v>0</v>
      </c>
      <c r="G357" s="29">
        <f>SUMIFS(G358:G420,K358:K420,"0",B358:B420,"4 2 1 2 1 12 31111 6*")</f>
        <v>52311496.200000003</v>
      </c>
      <c r="H357" s="29"/>
      <c r="I357" s="29">
        <f t="shared" si="7"/>
        <v>52311496.200000003</v>
      </c>
      <c r="K357" t="s">
        <v>15</v>
      </c>
    </row>
    <row r="358" spans="2:11" ht="13" x14ac:dyDescent="0.15">
      <c r="B358" s="28" t="s">
        <v>513</v>
      </c>
      <c r="C358" s="28" t="s">
        <v>32</v>
      </c>
      <c r="D358" s="30"/>
      <c r="E358" s="29">
        <f>SUMIFS(E359:E420,K359:K420,"0",B359:B420,"4 2 1 2 1 12 31111 6 M78*")-SUMIFS(D359:D420,K359:K420,"0",B359:B420,"4 2 1 2 1 12 31111 6 M78*")</f>
        <v>0</v>
      </c>
      <c r="F358" s="29">
        <f>SUMIFS(F359:F420,K359:K420,"0",B359:B420,"4 2 1 2 1 12 31111 6 M78*")</f>
        <v>0</v>
      </c>
      <c r="G358" s="29">
        <f>SUMIFS(G359:G420,K359:K420,"0",B359:B420,"4 2 1 2 1 12 31111 6 M78*")</f>
        <v>52311496.200000003</v>
      </c>
      <c r="H358" s="29"/>
      <c r="I358" s="29">
        <f t="shared" si="7"/>
        <v>52311496.200000003</v>
      </c>
      <c r="K358" t="s">
        <v>15</v>
      </c>
    </row>
    <row r="359" spans="2:11" ht="13" x14ac:dyDescent="0.15">
      <c r="B359" s="28" t="s">
        <v>514</v>
      </c>
      <c r="C359" s="28" t="s">
        <v>113</v>
      </c>
      <c r="D359" s="30"/>
      <c r="E359" s="29">
        <f>SUMIFS(E360:E420,K360:K420,"0",B360:B420,"4 2 1 2 1 12 31111 6 M78 10000*")-SUMIFS(D360:D420,K360:K420,"0",B360:B420,"4 2 1 2 1 12 31111 6 M78 10000*")</f>
        <v>0</v>
      </c>
      <c r="F359" s="29">
        <f>SUMIFS(F360:F420,K360:K420,"0",B360:B420,"4 2 1 2 1 12 31111 6 M78 10000*")</f>
        <v>0</v>
      </c>
      <c r="G359" s="29">
        <f>SUMIFS(G360:G420,K360:K420,"0",B360:B420,"4 2 1 2 1 12 31111 6 M78 10000*")</f>
        <v>52311496.200000003</v>
      </c>
      <c r="H359" s="29"/>
      <c r="I359" s="29">
        <f t="shared" si="7"/>
        <v>52311496.200000003</v>
      </c>
      <c r="K359" t="s">
        <v>15</v>
      </c>
    </row>
    <row r="360" spans="2:11" ht="22" x14ac:dyDescent="0.15">
      <c r="B360" s="28" t="s">
        <v>515</v>
      </c>
      <c r="C360" s="28" t="s">
        <v>115</v>
      </c>
      <c r="D360" s="30"/>
      <c r="E360" s="29">
        <f>SUMIFS(E361:E420,K361:K420,"0",B361:B420,"4 2 1 2 1 12 31111 6 M78 10000 222*")-SUMIFS(D361:D420,K361:K420,"0",B361:B420,"4 2 1 2 1 12 31111 6 M78 10000 222*")</f>
        <v>0</v>
      </c>
      <c r="F360" s="29">
        <f>SUMIFS(F361:F420,K361:K420,"0",B361:B420,"4 2 1 2 1 12 31111 6 M78 10000 222*")</f>
        <v>0</v>
      </c>
      <c r="G360" s="29">
        <f>SUMIFS(G361:G420,K361:K420,"0",B361:B420,"4 2 1 2 1 12 31111 6 M78 10000 222*")</f>
        <v>52311496.200000003</v>
      </c>
      <c r="H360" s="29"/>
      <c r="I360" s="29">
        <f t="shared" si="7"/>
        <v>52311496.200000003</v>
      </c>
      <c r="K360" t="s">
        <v>15</v>
      </c>
    </row>
    <row r="361" spans="2:11" ht="22" x14ac:dyDescent="0.15">
      <c r="B361" s="28" t="s">
        <v>516</v>
      </c>
      <c r="C361" s="28" t="s">
        <v>117</v>
      </c>
      <c r="D361" s="30"/>
      <c r="E361" s="29">
        <f>SUMIFS(E362:E420,K362:K420,"0",B362:B420,"4 2 1 2 1 12 31111 6 M78 10000 222 00I*")-SUMIFS(D362:D420,K362:K420,"0",B362:B420,"4 2 1 2 1 12 31111 6 M78 10000 222 00I*")</f>
        <v>0</v>
      </c>
      <c r="F361" s="29">
        <f>SUMIFS(F362:F420,K362:K420,"0",B362:B420,"4 2 1 2 1 12 31111 6 M78 10000 222 00I*")</f>
        <v>0</v>
      </c>
      <c r="G361" s="29">
        <f>SUMIFS(G362:G420,K362:K420,"0",B362:B420,"4 2 1 2 1 12 31111 6 M78 10000 222 00I*")</f>
        <v>52311496.200000003</v>
      </c>
      <c r="H361" s="29"/>
      <c r="I361" s="29">
        <f t="shared" si="7"/>
        <v>52311496.200000003</v>
      </c>
      <c r="K361" t="s">
        <v>15</v>
      </c>
    </row>
    <row r="362" spans="2:11" ht="22" x14ac:dyDescent="0.15">
      <c r="B362" s="28" t="s">
        <v>517</v>
      </c>
      <c r="C362" s="28" t="s">
        <v>493</v>
      </c>
      <c r="D362" s="30"/>
      <c r="E362" s="29">
        <f>SUMIFS(E363:E420,K363:K420,"0",B363:B420,"4 2 1 2 1 12 31111 6 M78 10000 222 00I 001*")-SUMIFS(D363:D420,K363:K420,"0",B363:B420,"4 2 1 2 1 12 31111 6 M78 10000 222 00I 001*")</f>
        <v>0</v>
      </c>
      <c r="F362" s="29">
        <f>SUMIFS(F363:F420,K363:K420,"0",B363:B420,"4 2 1 2 1 12 31111 6 M78 10000 222 00I 001*")</f>
        <v>0</v>
      </c>
      <c r="G362" s="29">
        <f>SUMIFS(G363:G420,K363:K420,"0",B363:B420,"4 2 1 2 1 12 31111 6 M78 10000 222 00I 001*")</f>
        <v>52311496.200000003</v>
      </c>
      <c r="H362" s="29"/>
      <c r="I362" s="29">
        <f t="shared" si="7"/>
        <v>52311496.200000003</v>
      </c>
      <c r="K362" t="s">
        <v>15</v>
      </c>
    </row>
    <row r="363" spans="2:11" ht="22" x14ac:dyDescent="0.15">
      <c r="B363" s="28" t="s">
        <v>518</v>
      </c>
      <c r="C363" s="28" t="s">
        <v>456</v>
      </c>
      <c r="D363" s="30"/>
      <c r="E363" s="29">
        <f>SUMIFS(E364:E420,K364:K420,"0",B364:B420,"4 2 1 2 1 12 31111 6 M78 10000 222 00I 001 00082*")-SUMIFS(D364:D420,K364:K420,"0",B364:B420,"4 2 1 2 1 12 31111 6 M78 10000 222 00I 001 00082*")</f>
        <v>0</v>
      </c>
      <c r="F363" s="29">
        <f>SUMIFS(F364:F420,K364:K420,"0",B364:B420,"4 2 1 2 1 12 31111 6 M78 10000 222 00I 001 00082*")</f>
        <v>0</v>
      </c>
      <c r="G363" s="29">
        <f>SUMIFS(G364:G420,K364:K420,"0",B364:B420,"4 2 1 2 1 12 31111 6 M78 10000 222 00I 001 00082*")</f>
        <v>52311496.200000003</v>
      </c>
      <c r="H363" s="29"/>
      <c r="I363" s="29">
        <f t="shared" si="7"/>
        <v>52311496.200000003</v>
      </c>
      <c r="K363" t="s">
        <v>15</v>
      </c>
    </row>
    <row r="364" spans="2:11" ht="22" x14ac:dyDescent="0.15">
      <c r="B364" s="28" t="s">
        <v>519</v>
      </c>
      <c r="C364" s="28" t="s">
        <v>123</v>
      </c>
      <c r="D364" s="30"/>
      <c r="E364" s="29">
        <f>SUMIFS(E365:E420,K365:K420,"0",B365:B420,"4 2 1 2 1 12 31111 6 M78 10000 222 00I 001 00082 025*")-SUMIFS(D365:D420,K365:K420,"0",B365:B420,"4 2 1 2 1 12 31111 6 M78 10000 222 00I 001 00082 025*")</f>
        <v>0</v>
      </c>
      <c r="F364" s="29">
        <f>SUMIFS(F365:F420,K365:K420,"0",B365:B420,"4 2 1 2 1 12 31111 6 M78 10000 222 00I 001 00082 025*")</f>
        <v>0</v>
      </c>
      <c r="G364" s="29">
        <f>SUMIFS(G365:G420,K365:K420,"0",B365:B420,"4 2 1 2 1 12 31111 6 M78 10000 222 00I 001 00082 025*")</f>
        <v>52311496.200000003</v>
      </c>
      <c r="H364" s="29"/>
      <c r="I364" s="29">
        <f t="shared" si="7"/>
        <v>52311496.200000003</v>
      </c>
      <c r="K364" t="s">
        <v>15</v>
      </c>
    </row>
    <row r="365" spans="2:11" ht="22" x14ac:dyDescent="0.15">
      <c r="B365" s="28" t="s">
        <v>520</v>
      </c>
      <c r="C365" s="28" t="s">
        <v>521</v>
      </c>
      <c r="D365" s="30"/>
      <c r="E365" s="29">
        <f>SUMIFS(E366:E420,K366:K420,"0",B366:B420,"4 2 1 2 1 12 31111 6 M78 10000 222 00I 001 00082 025 1182200*")-SUMIFS(D366:D420,K366:K420,"0",B366:B420,"4 2 1 2 1 12 31111 6 M78 10000 222 00I 001 00082 025 1182200*")</f>
        <v>0</v>
      </c>
      <c r="F365" s="29">
        <f>SUMIFS(F366:F420,K366:K420,"0",B366:B420,"4 2 1 2 1 12 31111 6 M78 10000 222 00I 001 00082 025 1182200*")</f>
        <v>0</v>
      </c>
      <c r="G365" s="29">
        <f>SUMIFS(G366:G420,K366:K420,"0",B366:B420,"4 2 1 2 1 12 31111 6 M78 10000 222 00I 001 00082 025 1182200*")</f>
        <v>52311496.200000003</v>
      </c>
      <c r="H365" s="29"/>
      <c r="I365" s="29">
        <f t="shared" si="7"/>
        <v>52311496.200000003</v>
      </c>
      <c r="K365" t="s">
        <v>15</v>
      </c>
    </row>
    <row r="366" spans="2:11" ht="33" x14ac:dyDescent="0.15">
      <c r="B366" s="28" t="s">
        <v>522</v>
      </c>
      <c r="C366" s="28" t="s">
        <v>127</v>
      </c>
      <c r="D366" s="30"/>
      <c r="E366" s="29">
        <f>SUMIFS(E367:E420,K367:K420,"0",B367:B420,"4 2 1 2 1 12 31111 6 M78 10000 222 00I 001 00082 025 1182200 2024*")-SUMIFS(D367:D420,K367:K420,"0",B367:B420,"4 2 1 2 1 12 31111 6 M78 10000 222 00I 001 00082 025 1182200 2024*")</f>
        <v>0</v>
      </c>
      <c r="F366" s="29">
        <f>SUMIFS(F367:F420,K367:K420,"0",B367:B420,"4 2 1 2 1 12 31111 6 M78 10000 222 00I 001 00082 025 1182200 2024*")</f>
        <v>0</v>
      </c>
      <c r="G366" s="29">
        <f>SUMIFS(G367:G420,K367:K420,"0",B367:B420,"4 2 1 2 1 12 31111 6 M78 10000 222 00I 001 00082 025 1182200 2024*")</f>
        <v>52311496.200000003</v>
      </c>
      <c r="H366" s="29"/>
      <c r="I366" s="29">
        <f t="shared" si="7"/>
        <v>52311496.200000003</v>
      </c>
      <c r="K366" t="s">
        <v>15</v>
      </c>
    </row>
    <row r="367" spans="2:11" ht="33" x14ac:dyDescent="0.15">
      <c r="B367" s="28" t="s">
        <v>523</v>
      </c>
      <c r="C367" s="28" t="s">
        <v>500</v>
      </c>
      <c r="D367" s="30"/>
      <c r="E367" s="29">
        <f>SUMIFS(E368:E420,K368:K420,"0",B368:B420,"4 2 1 2 1 12 31111 6 M78 10000 222 00I 001 00082 025 1182200 2024 00000000*")-SUMIFS(D368:D420,K368:K420,"0",B368:B420,"4 2 1 2 1 12 31111 6 M78 10000 222 00I 001 00082 025 1182200 2024 00000000*")</f>
        <v>0</v>
      </c>
      <c r="F367" s="29">
        <f>SUMIFS(F368:F420,K368:K420,"0",B368:B420,"4 2 1 2 1 12 31111 6 M78 10000 222 00I 001 00082 025 1182200 2024 00000000*")</f>
        <v>0</v>
      </c>
      <c r="G367" s="29">
        <f>SUMIFS(G368:G420,K368:K420,"0",B368:B420,"4 2 1 2 1 12 31111 6 M78 10000 222 00I 001 00082 025 1182200 2024 00000000*")</f>
        <v>52311496.200000003</v>
      </c>
      <c r="H367" s="29"/>
      <c r="I367" s="29">
        <f t="shared" si="7"/>
        <v>52311496.200000003</v>
      </c>
      <c r="K367" t="s">
        <v>15</v>
      </c>
    </row>
    <row r="368" spans="2:11" ht="33" x14ac:dyDescent="0.15">
      <c r="B368" s="28" t="s">
        <v>524</v>
      </c>
      <c r="C368" s="28" t="s">
        <v>525</v>
      </c>
      <c r="D368" s="30"/>
      <c r="E368" s="29">
        <f>SUMIFS(E369:E420,K369:K420,"0",B369:B420,"4 2 1 2 1 12 31111 6 M78 10000 222 00I 001 00082 025 1182200 2024 00000000 002*")-SUMIFS(D369:D420,K369:K420,"0",B369:B420,"4 2 1 2 1 12 31111 6 M78 10000 222 00I 001 00082 025 1182200 2024 00000000 002*")</f>
        <v>0</v>
      </c>
      <c r="F368" s="29">
        <f>SUMIFS(F369:F420,K369:K420,"0",B369:B420,"4 2 1 2 1 12 31111 6 M78 10000 222 00I 001 00082 025 1182200 2024 00000000 002*")</f>
        <v>0</v>
      </c>
      <c r="G368" s="29">
        <f>SUMIFS(G369:G420,K369:K420,"0",B369:B420,"4 2 1 2 1 12 31111 6 M78 10000 222 00I 001 00082 025 1182200 2024 00000000 002*")</f>
        <v>52311496.200000003</v>
      </c>
      <c r="H368" s="29"/>
      <c r="I368" s="29">
        <f t="shared" si="7"/>
        <v>52311496.200000003</v>
      </c>
      <c r="K368" t="s">
        <v>15</v>
      </c>
    </row>
    <row r="369" spans="2:11" ht="33" x14ac:dyDescent="0.15">
      <c r="B369" s="31" t="s">
        <v>526</v>
      </c>
      <c r="C369" s="31" t="s">
        <v>527</v>
      </c>
      <c r="D369" s="32"/>
      <c r="E369" s="32">
        <v>0</v>
      </c>
      <c r="F369" s="32">
        <v>0</v>
      </c>
      <c r="G369" s="32">
        <v>52311496.200000003</v>
      </c>
      <c r="H369" s="32"/>
      <c r="I369" s="32">
        <f t="shared" si="7"/>
        <v>52311496.200000003</v>
      </c>
      <c r="K369" t="s">
        <v>39</v>
      </c>
    </row>
    <row r="370" spans="2:11" ht="13" x14ac:dyDescent="0.15">
      <c r="B370" s="28" t="s">
        <v>528</v>
      </c>
      <c r="C370" s="28" t="s">
        <v>529</v>
      </c>
      <c r="D370" s="29">
        <f>SUMIFS(D371:D420,K371:K420,"0",B371:B420,"5*")-SUMIFS(E371:E420,K371:K420,"0",B371:B420,"5*")</f>
        <v>0</v>
      </c>
      <c r="E370" s="30"/>
      <c r="F370" s="29">
        <f>SUMIFS(F371:F420,K371:K420,"0",B371:B420,"5*")</f>
        <v>940250</v>
      </c>
      <c r="G370" s="29">
        <f>SUMIFS(G371:G420,K371:K420,"0",B371:B420,"5*")</f>
        <v>0</v>
      </c>
      <c r="H370" s="29">
        <f t="shared" ref="H370:H408" si="8">D370 + F370 - G370</f>
        <v>940250</v>
      </c>
      <c r="I370" s="29"/>
      <c r="K370" t="s">
        <v>15</v>
      </c>
    </row>
    <row r="371" spans="2:11" ht="13" x14ac:dyDescent="0.15">
      <c r="B371" s="28" t="s">
        <v>530</v>
      </c>
      <c r="C371" s="28" t="s">
        <v>531</v>
      </c>
      <c r="D371" s="29">
        <f>SUMIFS(D372:D420,K372:K420,"0",B372:B420,"5 1*")-SUMIFS(E372:E420,K372:K420,"0",B372:B420,"5 1*")</f>
        <v>0</v>
      </c>
      <c r="E371" s="30"/>
      <c r="F371" s="29">
        <f>SUMIFS(F372:F420,K372:K420,"0",B372:B420,"5 1*")</f>
        <v>940250</v>
      </c>
      <c r="G371" s="29">
        <f>SUMIFS(G372:G420,K372:K420,"0",B372:B420,"5 1*")</f>
        <v>0</v>
      </c>
      <c r="H371" s="29">
        <f t="shared" si="8"/>
        <v>940250</v>
      </c>
      <c r="I371" s="29"/>
      <c r="K371" t="s">
        <v>15</v>
      </c>
    </row>
    <row r="372" spans="2:11" ht="13" x14ac:dyDescent="0.15">
      <c r="B372" s="28" t="s">
        <v>532</v>
      </c>
      <c r="C372" s="28" t="s">
        <v>533</v>
      </c>
      <c r="D372" s="29">
        <f>SUMIFS(D373:D420,K373:K420,"0",B373:B420,"5 1 3*")-SUMIFS(E373:E420,K373:K420,"0",B373:B420,"5 1 3*")</f>
        <v>0</v>
      </c>
      <c r="E372" s="30"/>
      <c r="F372" s="29">
        <f>SUMIFS(F373:F420,K373:K420,"0",B373:B420,"5 1 3*")</f>
        <v>940250</v>
      </c>
      <c r="G372" s="29">
        <f>SUMIFS(G373:G420,K373:K420,"0",B373:B420,"5 1 3*")</f>
        <v>0</v>
      </c>
      <c r="H372" s="29">
        <f t="shared" si="8"/>
        <v>940250</v>
      </c>
      <c r="I372" s="29"/>
      <c r="K372" t="s">
        <v>15</v>
      </c>
    </row>
    <row r="373" spans="2:11" ht="22" x14ac:dyDescent="0.15">
      <c r="B373" s="28" t="s">
        <v>534</v>
      </c>
      <c r="C373" s="28" t="s">
        <v>535</v>
      </c>
      <c r="D373" s="29">
        <f>SUMIFS(D374:D420,K374:K420,"0",B374:B420,"5 1 3 3*")-SUMIFS(E374:E420,K374:K420,"0",B374:B420,"5 1 3 3*")</f>
        <v>0</v>
      </c>
      <c r="E373" s="30"/>
      <c r="F373" s="29">
        <f>SUMIFS(F374:F420,K374:K420,"0",B374:B420,"5 1 3 3*")</f>
        <v>406000</v>
      </c>
      <c r="G373" s="29">
        <f>SUMIFS(G374:G420,K374:K420,"0",B374:B420,"5 1 3 3*")</f>
        <v>0</v>
      </c>
      <c r="H373" s="29">
        <f t="shared" si="8"/>
        <v>406000</v>
      </c>
      <c r="I373" s="29"/>
      <c r="K373" t="s">
        <v>15</v>
      </c>
    </row>
    <row r="374" spans="2:11" ht="22" x14ac:dyDescent="0.15">
      <c r="B374" s="28" t="s">
        <v>536</v>
      </c>
      <c r="C374" s="28" t="s">
        <v>537</v>
      </c>
      <c r="D374" s="29">
        <f>SUMIFS(D375:D420,K375:K420,"0",B375:B420,"5 1 3 3 2*")-SUMIFS(E375:E420,K375:K420,"0",B375:B420,"5 1 3 3 2*")</f>
        <v>0</v>
      </c>
      <c r="E374" s="30"/>
      <c r="F374" s="29">
        <f>SUMIFS(F375:F420,K375:K420,"0",B375:B420,"5 1 3 3 2*")</f>
        <v>406000</v>
      </c>
      <c r="G374" s="29">
        <f>SUMIFS(G375:G420,K375:K420,"0",B375:B420,"5 1 3 3 2*")</f>
        <v>0</v>
      </c>
      <c r="H374" s="29">
        <f t="shared" si="8"/>
        <v>406000</v>
      </c>
      <c r="I374" s="29"/>
      <c r="K374" t="s">
        <v>15</v>
      </c>
    </row>
    <row r="375" spans="2:11" ht="13" x14ac:dyDescent="0.15">
      <c r="B375" s="28" t="s">
        <v>538</v>
      </c>
      <c r="C375" s="28" t="s">
        <v>26</v>
      </c>
      <c r="D375" s="29">
        <f>SUMIFS(D376:D420,K376:K420,"0",B376:B420,"5 1 3 3 2 12*")-SUMIFS(E376:E420,K376:K420,"0",B376:B420,"5 1 3 3 2 12*")</f>
        <v>0</v>
      </c>
      <c r="E375" s="30"/>
      <c r="F375" s="29">
        <f>SUMIFS(F376:F420,K376:K420,"0",B376:B420,"5 1 3 3 2 12*")</f>
        <v>406000</v>
      </c>
      <c r="G375" s="29">
        <f>SUMIFS(G376:G420,K376:K420,"0",B376:B420,"5 1 3 3 2 12*")</f>
        <v>0</v>
      </c>
      <c r="H375" s="29">
        <f t="shared" si="8"/>
        <v>406000</v>
      </c>
      <c r="I375" s="29"/>
      <c r="K375" t="s">
        <v>15</v>
      </c>
    </row>
    <row r="376" spans="2:11" ht="13" x14ac:dyDescent="0.15">
      <c r="B376" s="28" t="s">
        <v>539</v>
      </c>
      <c r="C376" s="28" t="s">
        <v>28</v>
      </c>
      <c r="D376" s="29">
        <f>SUMIFS(D377:D420,K377:K420,"0",B377:B420,"5 1 3 3 2 12 31111*")-SUMIFS(E377:E420,K377:K420,"0",B377:B420,"5 1 3 3 2 12 31111*")</f>
        <v>0</v>
      </c>
      <c r="E376" s="30"/>
      <c r="F376" s="29">
        <f>SUMIFS(F377:F420,K377:K420,"0",B377:B420,"5 1 3 3 2 12 31111*")</f>
        <v>406000</v>
      </c>
      <c r="G376" s="29">
        <f>SUMIFS(G377:G420,K377:K420,"0",B377:B420,"5 1 3 3 2 12 31111*")</f>
        <v>0</v>
      </c>
      <c r="H376" s="29">
        <f t="shared" si="8"/>
        <v>406000</v>
      </c>
      <c r="I376" s="29"/>
      <c r="K376" t="s">
        <v>15</v>
      </c>
    </row>
    <row r="377" spans="2:11" ht="13" x14ac:dyDescent="0.15">
      <c r="B377" s="28" t="s">
        <v>540</v>
      </c>
      <c r="C377" s="28" t="s">
        <v>30</v>
      </c>
      <c r="D377" s="29">
        <f>SUMIFS(D378:D420,K378:K420,"0",B378:B420,"5 1 3 3 2 12 31111 6*")-SUMIFS(E378:E420,K378:K420,"0",B378:B420,"5 1 3 3 2 12 31111 6*")</f>
        <v>0</v>
      </c>
      <c r="E377" s="30"/>
      <c r="F377" s="29">
        <f>SUMIFS(F378:F420,K378:K420,"0",B378:B420,"5 1 3 3 2 12 31111 6*")</f>
        <v>406000</v>
      </c>
      <c r="G377" s="29">
        <f>SUMIFS(G378:G420,K378:K420,"0",B378:B420,"5 1 3 3 2 12 31111 6*")</f>
        <v>0</v>
      </c>
      <c r="H377" s="29">
        <f t="shared" si="8"/>
        <v>406000</v>
      </c>
      <c r="I377" s="29"/>
      <c r="K377" t="s">
        <v>15</v>
      </c>
    </row>
    <row r="378" spans="2:11" ht="13" x14ac:dyDescent="0.15">
      <c r="B378" s="28" t="s">
        <v>541</v>
      </c>
      <c r="C378" s="28" t="s">
        <v>542</v>
      </c>
      <c r="D378" s="29">
        <f>SUMIFS(D379:D420,K379:K420,"0",B379:B420,"5 1 3 3 2 12 31111 6 M78*")-SUMIFS(E379:E420,K379:K420,"0",B379:B420,"5 1 3 3 2 12 31111 6 M78*")</f>
        <v>0</v>
      </c>
      <c r="E378" s="30"/>
      <c r="F378" s="29">
        <f>SUMIFS(F379:F420,K379:K420,"0",B379:B420,"5 1 3 3 2 12 31111 6 M78*")</f>
        <v>406000</v>
      </c>
      <c r="G378" s="29">
        <f>SUMIFS(G379:G420,K379:K420,"0",B379:B420,"5 1 3 3 2 12 31111 6 M78*")</f>
        <v>0</v>
      </c>
      <c r="H378" s="29">
        <f t="shared" si="8"/>
        <v>406000</v>
      </c>
      <c r="I378" s="29"/>
      <c r="K378" t="s">
        <v>15</v>
      </c>
    </row>
    <row r="379" spans="2:11" ht="13" x14ac:dyDescent="0.15">
      <c r="B379" s="28" t="s">
        <v>543</v>
      </c>
      <c r="C379" s="28" t="s">
        <v>113</v>
      </c>
      <c r="D379" s="29">
        <f>SUMIFS(D380:D420,K380:K420,"0",B380:B420,"5 1 3 3 2 12 31111 6 M78 10000*")-SUMIFS(E380:E420,K380:K420,"0",B380:B420,"5 1 3 3 2 12 31111 6 M78 10000*")</f>
        <v>0</v>
      </c>
      <c r="E379" s="30"/>
      <c r="F379" s="29">
        <f>SUMIFS(F380:F420,K380:K420,"0",B380:B420,"5 1 3 3 2 12 31111 6 M78 10000*")</f>
        <v>406000</v>
      </c>
      <c r="G379" s="29">
        <f>SUMIFS(G380:G420,K380:K420,"0",B380:B420,"5 1 3 3 2 12 31111 6 M78 10000*")</f>
        <v>0</v>
      </c>
      <c r="H379" s="29">
        <f t="shared" si="8"/>
        <v>406000</v>
      </c>
      <c r="I379" s="29"/>
      <c r="K379" t="s">
        <v>15</v>
      </c>
    </row>
    <row r="380" spans="2:11" ht="22" x14ac:dyDescent="0.15">
      <c r="B380" s="28" t="s">
        <v>544</v>
      </c>
      <c r="C380" s="28" t="s">
        <v>545</v>
      </c>
      <c r="D380" s="29">
        <f>SUMIFS(D381:D420,K381:K420,"0",B381:B420,"5 1 3 3 2 12 31111 6 M78 10000 151*")-SUMIFS(E381:E420,K381:K420,"0",B381:B420,"5 1 3 3 2 12 31111 6 M78 10000 151*")</f>
        <v>0</v>
      </c>
      <c r="E380" s="30"/>
      <c r="F380" s="29">
        <f>SUMIFS(F381:F420,K381:K420,"0",B381:B420,"5 1 3 3 2 12 31111 6 M78 10000 151*")</f>
        <v>406000</v>
      </c>
      <c r="G380" s="29">
        <f>SUMIFS(G381:G420,K381:K420,"0",B381:B420,"5 1 3 3 2 12 31111 6 M78 10000 151*")</f>
        <v>0</v>
      </c>
      <c r="H380" s="29">
        <f t="shared" si="8"/>
        <v>406000</v>
      </c>
      <c r="I380" s="29"/>
      <c r="K380" t="s">
        <v>15</v>
      </c>
    </row>
    <row r="381" spans="2:11" ht="22" x14ac:dyDescent="0.15">
      <c r="B381" s="28" t="s">
        <v>546</v>
      </c>
      <c r="C381" s="28" t="s">
        <v>117</v>
      </c>
      <c r="D381" s="29">
        <f>SUMIFS(D382:D420,K382:K420,"0",B382:B420,"5 1 3 3 2 12 31111 6 M78 10000 151 00I*")-SUMIFS(E382:E420,K382:K420,"0",B382:B420,"5 1 3 3 2 12 31111 6 M78 10000 151 00I*")</f>
        <v>0</v>
      </c>
      <c r="E381" s="30"/>
      <c r="F381" s="29">
        <f>SUMIFS(F382:F420,K382:K420,"0",B382:B420,"5 1 3 3 2 12 31111 6 M78 10000 151 00I*")</f>
        <v>406000</v>
      </c>
      <c r="G381" s="29">
        <f>SUMIFS(G382:G420,K382:K420,"0",B382:B420,"5 1 3 3 2 12 31111 6 M78 10000 151 00I*")</f>
        <v>0</v>
      </c>
      <c r="H381" s="29">
        <f t="shared" si="8"/>
        <v>406000</v>
      </c>
      <c r="I381" s="29"/>
      <c r="K381" t="s">
        <v>15</v>
      </c>
    </row>
    <row r="382" spans="2:11" ht="22" x14ac:dyDescent="0.15">
      <c r="B382" s="28" t="s">
        <v>547</v>
      </c>
      <c r="C382" s="28" t="s">
        <v>493</v>
      </c>
      <c r="D382" s="29">
        <f>SUMIFS(D383:D420,K383:K420,"0",B383:B420,"5 1 3 3 2 12 31111 6 M78 10000 151 00I 001*")-SUMIFS(E383:E420,K383:K420,"0",B383:B420,"5 1 3 3 2 12 31111 6 M78 10000 151 00I 001*")</f>
        <v>0</v>
      </c>
      <c r="E382" s="30"/>
      <c r="F382" s="29">
        <f>SUMIFS(F383:F420,K383:K420,"0",B383:B420,"5 1 3 3 2 12 31111 6 M78 10000 151 00I 001*")</f>
        <v>406000</v>
      </c>
      <c r="G382" s="29">
        <f>SUMIFS(G383:G420,K383:K420,"0",B383:B420,"5 1 3 3 2 12 31111 6 M78 10000 151 00I 001*")</f>
        <v>0</v>
      </c>
      <c r="H382" s="29">
        <f t="shared" si="8"/>
        <v>406000</v>
      </c>
      <c r="I382" s="29"/>
      <c r="K382" t="s">
        <v>15</v>
      </c>
    </row>
    <row r="383" spans="2:11" ht="22" x14ac:dyDescent="0.15">
      <c r="B383" s="28" t="s">
        <v>548</v>
      </c>
      <c r="C383" s="28" t="s">
        <v>549</v>
      </c>
      <c r="D383" s="29">
        <f>SUMIFS(D384:D420,K384:K420,"0",B384:B420,"5 1 3 3 2 12 31111 6 M78 10000 151 00I 001 33201*")-SUMIFS(E384:E420,K384:K420,"0",B384:B420,"5 1 3 3 2 12 31111 6 M78 10000 151 00I 001 33201*")</f>
        <v>0</v>
      </c>
      <c r="E383" s="30"/>
      <c r="F383" s="29">
        <f>SUMIFS(F384:F420,K384:K420,"0",B384:B420,"5 1 3 3 2 12 31111 6 M78 10000 151 00I 001 33201*")</f>
        <v>406000</v>
      </c>
      <c r="G383" s="29">
        <f>SUMIFS(G384:G420,K384:K420,"0",B384:B420,"5 1 3 3 2 12 31111 6 M78 10000 151 00I 001 33201*")</f>
        <v>0</v>
      </c>
      <c r="H383" s="29">
        <f t="shared" si="8"/>
        <v>406000</v>
      </c>
      <c r="I383" s="29"/>
      <c r="K383" t="s">
        <v>15</v>
      </c>
    </row>
    <row r="384" spans="2:11" ht="22" x14ac:dyDescent="0.15">
      <c r="B384" s="28" t="s">
        <v>550</v>
      </c>
      <c r="C384" s="28" t="s">
        <v>123</v>
      </c>
      <c r="D384" s="29">
        <f>SUMIFS(D385:D420,K385:K420,"0",B385:B420,"5 1 3 3 2 12 31111 6 M78 10000 151 00I 001 33201 025*")-SUMIFS(E385:E420,K385:K420,"0",B385:B420,"5 1 3 3 2 12 31111 6 M78 10000 151 00I 001 33201 025*")</f>
        <v>0</v>
      </c>
      <c r="E384" s="30"/>
      <c r="F384" s="29">
        <f>SUMIFS(F385:F420,K385:K420,"0",B385:B420,"5 1 3 3 2 12 31111 6 M78 10000 151 00I 001 33201 025*")</f>
        <v>406000</v>
      </c>
      <c r="G384" s="29">
        <f>SUMIFS(G385:G420,K385:K420,"0",B385:B420,"5 1 3 3 2 12 31111 6 M78 10000 151 00I 001 33201 025*")</f>
        <v>0</v>
      </c>
      <c r="H384" s="29">
        <f t="shared" si="8"/>
        <v>406000</v>
      </c>
      <c r="I384" s="29"/>
      <c r="K384" t="s">
        <v>15</v>
      </c>
    </row>
    <row r="385" spans="2:11" ht="22" x14ac:dyDescent="0.15">
      <c r="B385" s="28" t="s">
        <v>551</v>
      </c>
      <c r="C385" s="28" t="s">
        <v>552</v>
      </c>
      <c r="D385" s="29">
        <f>SUMIFS(D386:D420,K386:K420,"0",B386:B420,"5 1 3 3 2 12 31111 6 M78 10000 151 00I 001 33201 025 2112000*")-SUMIFS(E386:E420,K386:K420,"0",B386:B420,"5 1 3 3 2 12 31111 6 M78 10000 151 00I 001 33201 025 2112000*")</f>
        <v>0</v>
      </c>
      <c r="E385" s="30"/>
      <c r="F385" s="29">
        <f>SUMIFS(F386:F420,K386:K420,"0",B386:B420,"5 1 3 3 2 12 31111 6 M78 10000 151 00I 001 33201 025 2112000*")</f>
        <v>406000</v>
      </c>
      <c r="G385" s="29">
        <f>SUMIFS(G386:G420,K386:K420,"0",B386:B420,"5 1 3 3 2 12 31111 6 M78 10000 151 00I 001 33201 025 2112000*")</f>
        <v>0</v>
      </c>
      <c r="H385" s="29">
        <f t="shared" si="8"/>
        <v>406000</v>
      </c>
      <c r="I385" s="29"/>
      <c r="K385" t="s">
        <v>15</v>
      </c>
    </row>
    <row r="386" spans="2:11" ht="33" x14ac:dyDescent="0.15">
      <c r="B386" s="28" t="s">
        <v>553</v>
      </c>
      <c r="C386" s="28" t="s">
        <v>127</v>
      </c>
      <c r="D386" s="29">
        <f>SUMIFS(D387:D420,K387:K420,"0",B387:B420,"5 1 3 3 2 12 31111 6 M78 10000 151 00I 001 33201 025 2112000 2024*")-SUMIFS(E387:E420,K387:K420,"0",B387:B420,"5 1 3 3 2 12 31111 6 M78 10000 151 00I 001 33201 025 2112000 2024*")</f>
        <v>0</v>
      </c>
      <c r="E386" s="30"/>
      <c r="F386" s="29">
        <f>SUMIFS(F387:F420,K387:K420,"0",B387:B420,"5 1 3 3 2 12 31111 6 M78 10000 151 00I 001 33201 025 2112000 2024*")</f>
        <v>406000</v>
      </c>
      <c r="G386" s="29">
        <f>SUMIFS(G387:G420,K387:K420,"0",B387:B420,"5 1 3 3 2 12 31111 6 M78 10000 151 00I 001 33201 025 2112000 2024*")</f>
        <v>0</v>
      </c>
      <c r="H386" s="29">
        <f t="shared" si="8"/>
        <v>406000</v>
      </c>
      <c r="I386" s="29"/>
      <c r="K386" t="s">
        <v>15</v>
      </c>
    </row>
    <row r="387" spans="2:11" ht="33" x14ac:dyDescent="0.15">
      <c r="B387" s="28" t="s">
        <v>554</v>
      </c>
      <c r="C387" s="28" t="s">
        <v>129</v>
      </c>
      <c r="D387" s="29">
        <f>SUMIFS(D388:D420,K388:K420,"0",B388:B420,"5 1 3 3 2 12 31111 6 M78 10000 151 00I 001 33201 025 2112000 2024 00000000*")-SUMIFS(E388:E420,K388:K420,"0",B388:B420,"5 1 3 3 2 12 31111 6 M78 10000 151 00I 001 33201 025 2112000 2024 00000000*")</f>
        <v>0</v>
      </c>
      <c r="E387" s="30"/>
      <c r="F387" s="29">
        <f>SUMIFS(F388:F420,K388:K420,"0",B388:B420,"5 1 3 3 2 12 31111 6 M78 10000 151 00I 001 33201 025 2112000 2024 00000000*")</f>
        <v>406000</v>
      </c>
      <c r="G387" s="29">
        <f>SUMIFS(G388:G420,K388:K420,"0",B388:B420,"5 1 3 3 2 12 31111 6 M78 10000 151 00I 001 33201 025 2112000 2024 00000000*")</f>
        <v>0</v>
      </c>
      <c r="H387" s="29">
        <f t="shared" si="8"/>
        <v>406000</v>
      </c>
      <c r="I387" s="29"/>
      <c r="K387" t="s">
        <v>15</v>
      </c>
    </row>
    <row r="388" spans="2:11" ht="33" x14ac:dyDescent="0.15">
      <c r="B388" s="31" t="s">
        <v>555</v>
      </c>
      <c r="C388" s="31" t="s">
        <v>556</v>
      </c>
      <c r="D388" s="32">
        <v>0</v>
      </c>
      <c r="E388" s="32"/>
      <c r="F388" s="32">
        <v>406000</v>
      </c>
      <c r="G388" s="32">
        <v>0</v>
      </c>
      <c r="H388" s="32">
        <f t="shared" si="8"/>
        <v>406000</v>
      </c>
      <c r="I388" s="32"/>
      <c r="K388" t="s">
        <v>39</v>
      </c>
    </row>
    <row r="389" spans="2:11" ht="22" x14ac:dyDescent="0.15">
      <c r="B389" s="28" t="s">
        <v>557</v>
      </c>
      <c r="C389" s="28" t="s">
        <v>558</v>
      </c>
      <c r="D389" s="29">
        <f>SUMIFS(D390:D420,K390:K420,"0",B390:B420,"5 1 3 5*")-SUMIFS(E390:E420,K390:K420,"0",B390:B420,"5 1 3 5*")</f>
        <v>0</v>
      </c>
      <c r="E389" s="30"/>
      <c r="F389" s="29">
        <f>SUMIFS(F390:F420,K390:K420,"0",B390:B420,"5 1 3 5*")</f>
        <v>534250</v>
      </c>
      <c r="G389" s="29">
        <f>SUMIFS(G390:G420,K390:K420,"0",B390:B420,"5 1 3 5*")</f>
        <v>0</v>
      </c>
      <c r="H389" s="29">
        <f t="shared" si="8"/>
        <v>534250</v>
      </c>
      <c r="I389" s="29"/>
      <c r="K389" t="s">
        <v>15</v>
      </c>
    </row>
    <row r="390" spans="2:11" ht="13" x14ac:dyDescent="0.15">
      <c r="B390" s="28" t="s">
        <v>559</v>
      </c>
      <c r="C390" s="28" t="s">
        <v>560</v>
      </c>
      <c r="D390" s="29">
        <f>SUMIFS(D391:D420,K391:K420,"0",B391:B420,"5 1 3 5 5*")-SUMIFS(E391:E420,K391:K420,"0",B391:B420,"5 1 3 5 5*")</f>
        <v>0</v>
      </c>
      <c r="E390" s="30"/>
      <c r="F390" s="29">
        <f>SUMIFS(F391:F420,K391:K420,"0",B391:B420,"5 1 3 5 5*")</f>
        <v>534250</v>
      </c>
      <c r="G390" s="29">
        <f>SUMIFS(G391:G420,K391:K420,"0",B391:B420,"5 1 3 5 5*")</f>
        <v>0</v>
      </c>
      <c r="H390" s="29">
        <f t="shared" si="8"/>
        <v>534250</v>
      </c>
      <c r="I390" s="29"/>
      <c r="K390" t="s">
        <v>15</v>
      </c>
    </row>
    <row r="391" spans="2:11" ht="13" x14ac:dyDescent="0.15">
      <c r="B391" s="28" t="s">
        <v>561</v>
      </c>
      <c r="C391" s="28" t="s">
        <v>26</v>
      </c>
      <c r="D391" s="29">
        <f>SUMIFS(D392:D420,K392:K420,"0",B392:B420,"5 1 3 5 5 12*")-SUMIFS(E392:E420,K392:K420,"0",B392:B420,"5 1 3 5 5 12*")</f>
        <v>0</v>
      </c>
      <c r="E391" s="30"/>
      <c r="F391" s="29">
        <f>SUMIFS(F392:F420,K392:K420,"0",B392:B420,"5 1 3 5 5 12*")</f>
        <v>534250</v>
      </c>
      <c r="G391" s="29">
        <f>SUMIFS(G392:G420,K392:K420,"0",B392:B420,"5 1 3 5 5 12*")</f>
        <v>0</v>
      </c>
      <c r="H391" s="29">
        <f t="shared" si="8"/>
        <v>534250</v>
      </c>
      <c r="I391" s="29"/>
      <c r="K391" t="s">
        <v>15</v>
      </c>
    </row>
    <row r="392" spans="2:11" ht="13" x14ac:dyDescent="0.15">
      <c r="B392" s="28" t="s">
        <v>562</v>
      </c>
      <c r="C392" s="28" t="s">
        <v>28</v>
      </c>
      <c r="D392" s="29">
        <f>SUMIFS(D393:D420,K393:K420,"0",B393:B420,"5 1 3 5 5 12 31111*")-SUMIFS(E393:E420,K393:K420,"0",B393:B420,"5 1 3 5 5 12 31111*")</f>
        <v>0</v>
      </c>
      <c r="E392" s="30"/>
      <c r="F392" s="29">
        <f>SUMIFS(F393:F420,K393:K420,"0",B393:B420,"5 1 3 5 5 12 31111*")</f>
        <v>534250</v>
      </c>
      <c r="G392" s="29">
        <f>SUMIFS(G393:G420,K393:K420,"0",B393:B420,"5 1 3 5 5 12 31111*")</f>
        <v>0</v>
      </c>
      <c r="H392" s="29">
        <f t="shared" si="8"/>
        <v>534250</v>
      </c>
      <c r="I392" s="29"/>
      <c r="K392" t="s">
        <v>15</v>
      </c>
    </row>
    <row r="393" spans="2:11" ht="13" x14ac:dyDescent="0.15">
      <c r="B393" s="28" t="s">
        <v>563</v>
      </c>
      <c r="C393" s="28" t="s">
        <v>30</v>
      </c>
      <c r="D393" s="29">
        <f>SUMIFS(D394:D420,K394:K420,"0",B394:B420,"5 1 3 5 5 12 31111 6*")-SUMIFS(E394:E420,K394:K420,"0",B394:B420,"5 1 3 5 5 12 31111 6*")</f>
        <v>0</v>
      </c>
      <c r="E393" s="30"/>
      <c r="F393" s="29">
        <f>SUMIFS(F394:F420,K394:K420,"0",B394:B420,"5 1 3 5 5 12 31111 6*")</f>
        <v>534250</v>
      </c>
      <c r="G393" s="29">
        <f>SUMIFS(G394:G420,K394:K420,"0",B394:B420,"5 1 3 5 5 12 31111 6*")</f>
        <v>0</v>
      </c>
      <c r="H393" s="29">
        <f t="shared" si="8"/>
        <v>534250</v>
      </c>
      <c r="I393" s="29"/>
      <c r="K393" t="s">
        <v>15</v>
      </c>
    </row>
    <row r="394" spans="2:11" ht="13" x14ac:dyDescent="0.15">
      <c r="B394" s="28" t="s">
        <v>564</v>
      </c>
      <c r="C394" s="28" t="s">
        <v>542</v>
      </c>
      <c r="D394" s="29">
        <f>SUMIFS(D395:D420,K395:K420,"0",B395:B420,"5 1 3 5 5 12 31111 6 M78*")-SUMIFS(E395:E420,K395:K420,"0",B395:B420,"5 1 3 5 5 12 31111 6 M78*")</f>
        <v>0</v>
      </c>
      <c r="E394" s="30"/>
      <c r="F394" s="29">
        <f>SUMIFS(F395:F420,K395:K420,"0",B395:B420,"5 1 3 5 5 12 31111 6 M78*")</f>
        <v>534250</v>
      </c>
      <c r="G394" s="29">
        <f>SUMIFS(G395:G420,K395:K420,"0",B395:B420,"5 1 3 5 5 12 31111 6 M78*")</f>
        <v>0</v>
      </c>
      <c r="H394" s="29">
        <f t="shared" si="8"/>
        <v>534250</v>
      </c>
      <c r="I394" s="29"/>
      <c r="K394" t="s">
        <v>15</v>
      </c>
    </row>
    <row r="395" spans="2:11" ht="13" x14ac:dyDescent="0.15">
      <c r="B395" s="28" t="s">
        <v>565</v>
      </c>
      <c r="C395" s="28" t="s">
        <v>113</v>
      </c>
      <c r="D395" s="29">
        <f>SUMIFS(D396:D420,K396:K420,"0",B396:B420,"5 1 3 5 5 12 31111 6 M78 10000*")-SUMIFS(E396:E420,K396:K420,"0",B396:B420,"5 1 3 5 5 12 31111 6 M78 10000*")</f>
        <v>0</v>
      </c>
      <c r="E395" s="30"/>
      <c r="F395" s="29">
        <f>SUMIFS(F396:F420,K396:K420,"0",B396:B420,"5 1 3 5 5 12 31111 6 M78 10000*")</f>
        <v>534250</v>
      </c>
      <c r="G395" s="29">
        <f>SUMIFS(G396:G420,K396:K420,"0",B396:B420,"5 1 3 5 5 12 31111 6 M78 10000*")</f>
        <v>0</v>
      </c>
      <c r="H395" s="29">
        <f t="shared" si="8"/>
        <v>534250</v>
      </c>
      <c r="I395" s="29"/>
      <c r="K395" t="s">
        <v>15</v>
      </c>
    </row>
    <row r="396" spans="2:11" ht="22" x14ac:dyDescent="0.15">
      <c r="B396" s="28" t="s">
        <v>566</v>
      </c>
      <c r="C396" s="28" t="s">
        <v>545</v>
      </c>
      <c r="D396" s="29">
        <f>SUMIFS(D397:D420,K397:K420,"0",B397:B420,"5 1 3 5 5 12 31111 6 M78 10000 151*")-SUMIFS(E397:E420,K397:K420,"0",B397:B420,"5 1 3 5 5 12 31111 6 M78 10000 151*")</f>
        <v>0</v>
      </c>
      <c r="E396" s="30"/>
      <c r="F396" s="29">
        <f>SUMIFS(F397:F420,K397:K420,"0",B397:B420,"5 1 3 5 5 12 31111 6 M78 10000 151*")</f>
        <v>534250</v>
      </c>
      <c r="G396" s="29">
        <f>SUMIFS(G397:G420,K397:K420,"0",B397:B420,"5 1 3 5 5 12 31111 6 M78 10000 151*")</f>
        <v>0</v>
      </c>
      <c r="H396" s="29">
        <f t="shared" si="8"/>
        <v>534250</v>
      </c>
      <c r="I396" s="29"/>
      <c r="K396" t="s">
        <v>15</v>
      </c>
    </row>
    <row r="397" spans="2:11" ht="22" x14ac:dyDescent="0.15">
      <c r="B397" s="28" t="s">
        <v>567</v>
      </c>
      <c r="C397" s="28" t="s">
        <v>117</v>
      </c>
      <c r="D397" s="29">
        <f>SUMIFS(D398:D420,K398:K420,"0",B398:B420,"5 1 3 5 5 12 31111 6 M78 10000 151 00I*")-SUMIFS(E398:E420,K398:K420,"0",B398:B420,"5 1 3 5 5 12 31111 6 M78 10000 151 00I*")</f>
        <v>0</v>
      </c>
      <c r="E397" s="30"/>
      <c r="F397" s="29">
        <f>SUMIFS(F398:F420,K398:K420,"0",B398:B420,"5 1 3 5 5 12 31111 6 M78 10000 151 00I*")</f>
        <v>534250</v>
      </c>
      <c r="G397" s="29">
        <f>SUMIFS(G398:G420,K398:K420,"0",B398:B420,"5 1 3 5 5 12 31111 6 M78 10000 151 00I*")</f>
        <v>0</v>
      </c>
      <c r="H397" s="29">
        <f t="shared" si="8"/>
        <v>534250</v>
      </c>
      <c r="I397" s="29"/>
      <c r="K397" t="s">
        <v>15</v>
      </c>
    </row>
    <row r="398" spans="2:11" ht="22" x14ac:dyDescent="0.15">
      <c r="B398" s="28" t="s">
        <v>568</v>
      </c>
      <c r="C398" s="28" t="s">
        <v>493</v>
      </c>
      <c r="D398" s="29">
        <f>SUMIFS(D399:D420,K399:K420,"0",B399:B420,"5 1 3 5 5 12 31111 6 M78 10000 151 00I 001*")-SUMIFS(E399:E420,K399:K420,"0",B399:B420,"5 1 3 5 5 12 31111 6 M78 10000 151 00I 001*")</f>
        <v>0</v>
      </c>
      <c r="E398" s="30"/>
      <c r="F398" s="29">
        <f>SUMIFS(F399:F420,K399:K420,"0",B399:B420,"5 1 3 5 5 12 31111 6 M78 10000 151 00I 001*")</f>
        <v>534250</v>
      </c>
      <c r="G398" s="29">
        <f>SUMIFS(G399:G420,K399:K420,"0",B399:B420,"5 1 3 5 5 12 31111 6 M78 10000 151 00I 001*")</f>
        <v>0</v>
      </c>
      <c r="H398" s="29">
        <f t="shared" si="8"/>
        <v>534250</v>
      </c>
      <c r="I398" s="29"/>
      <c r="K398" t="s">
        <v>15</v>
      </c>
    </row>
    <row r="399" spans="2:11" ht="22" x14ac:dyDescent="0.15">
      <c r="B399" s="28" t="s">
        <v>569</v>
      </c>
      <c r="C399" s="28" t="s">
        <v>570</v>
      </c>
      <c r="D399" s="29">
        <f>SUMIFS(D400:D420,K400:K420,"0",B400:B420,"5 1 3 5 5 12 31111 6 M78 10000 151 00I 001 35501*")-SUMIFS(E400:E420,K400:K420,"0",B400:B420,"5 1 3 5 5 12 31111 6 M78 10000 151 00I 001 35501*")</f>
        <v>0</v>
      </c>
      <c r="E399" s="30"/>
      <c r="F399" s="29">
        <f>SUMIFS(F400:F420,K400:K420,"0",B400:B420,"5 1 3 5 5 12 31111 6 M78 10000 151 00I 001 35501*")</f>
        <v>534250</v>
      </c>
      <c r="G399" s="29">
        <f>SUMIFS(G400:G420,K400:K420,"0",B400:B420,"5 1 3 5 5 12 31111 6 M78 10000 151 00I 001 35501*")</f>
        <v>0</v>
      </c>
      <c r="H399" s="29">
        <f t="shared" si="8"/>
        <v>534250</v>
      </c>
      <c r="I399" s="29"/>
      <c r="K399" t="s">
        <v>15</v>
      </c>
    </row>
    <row r="400" spans="2:11" ht="22" x14ac:dyDescent="0.15">
      <c r="B400" s="28" t="s">
        <v>571</v>
      </c>
      <c r="C400" s="28" t="s">
        <v>123</v>
      </c>
      <c r="D400" s="29">
        <f>SUMIFS(D401:D420,K401:K420,"0",B401:B420,"5 1 3 5 5 12 31111 6 M78 10000 151 00I 001 35501 025*")-SUMIFS(E401:E420,K401:K420,"0",B401:B420,"5 1 3 5 5 12 31111 6 M78 10000 151 00I 001 35501 025*")</f>
        <v>0</v>
      </c>
      <c r="E400" s="30"/>
      <c r="F400" s="29">
        <f>SUMIFS(F401:F420,K401:K420,"0",B401:B420,"5 1 3 5 5 12 31111 6 M78 10000 151 00I 001 35501 025*")</f>
        <v>534250</v>
      </c>
      <c r="G400" s="29">
        <f>SUMIFS(G401:G420,K401:K420,"0",B401:B420,"5 1 3 5 5 12 31111 6 M78 10000 151 00I 001 35501 025*")</f>
        <v>0</v>
      </c>
      <c r="H400" s="29">
        <f t="shared" si="8"/>
        <v>534250</v>
      </c>
      <c r="I400" s="29"/>
      <c r="K400" t="s">
        <v>15</v>
      </c>
    </row>
    <row r="401" spans="2:11" ht="22" x14ac:dyDescent="0.15">
      <c r="B401" s="28" t="s">
        <v>572</v>
      </c>
      <c r="C401" s="28" t="s">
        <v>552</v>
      </c>
      <c r="D401" s="29">
        <f>SUMIFS(D402:D420,K402:K420,"0",B402:B420,"5 1 3 5 5 12 31111 6 M78 10000 151 00I 001 35501 025 2112000*")-SUMIFS(E402:E420,K402:K420,"0",B402:B420,"5 1 3 5 5 12 31111 6 M78 10000 151 00I 001 35501 025 2112000*")</f>
        <v>0</v>
      </c>
      <c r="E401" s="30"/>
      <c r="F401" s="29">
        <f>SUMIFS(F402:F420,K402:K420,"0",B402:B420,"5 1 3 5 5 12 31111 6 M78 10000 151 00I 001 35501 025 2112000*")</f>
        <v>534250</v>
      </c>
      <c r="G401" s="29">
        <f>SUMIFS(G402:G420,K402:K420,"0",B402:B420,"5 1 3 5 5 12 31111 6 M78 10000 151 00I 001 35501 025 2112000*")</f>
        <v>0</v>
      </c>
      <c r="H401" s="29">
        <f t="shared" si="8"/>
        <v>534250</v>
      </c>
      <c r="I401" s="29"/>
      <c r="K401" t="s">
        <v>15</v>
      </c>
    </row>
    <row r="402" spans="2:11" ht="33" x14ac:dyDescent="0.15">
      <c r="B402" s="28" t="s">
        <v>573</v>
      </c>
      <c r="C402" s="28" t="s">
        <v>127</v>
      </c>
      <c r="D402" s="29">
        <f>SUMIFS(D403:D420,K403:K420,"0",B403:B420,"5 1 3 5 5 12 31111 6 M78 10000 151 00I 001 35501 025 2112000 2024*")-SUMIFS(E403:E420,K403:K420,"0",B403:B420,"5 1 3 5 5 12 31111 6 M78 10000 151 00I 001 35501 025 2112000 2024*")</f>
        <v>0</v>
      </c>
      <c r="E402" s="30"/>
      <c r="F402" s="29">
        <f>SUMIFS(F403:F420,K403:K420,"0",B403:B420,"5 1 3 5 5 12 31111 6 M78 10000 151 00I 001 35501 025 2112000 2024*")</f>
        <v>534250</v>
      </c>
      <c r="G402" s="29">
        <f>SUMIFS(G403:G420,K403:K420,"0",B403:B420,"5 1 3 5 5 12 31111 6 M78 10000 151 00I 001 35501 025 2112000 2024*")</f>
        <v>0</v>
      </c>
      <c r="H402" s="29">
        <f t="shared" si="8"/>
        <v>534250</v>
      </c>
      <c r="I402" s="29"/>
      <c r="K402" t="s">
        <v>15</v>
      </c>
    </row>
    <row r="403" spans="2:11" ht="33" x14ac:dyDescent="0.15">
      <c r="B403" s="28" t="s">
        <v>574</v>
      </c>
      <c r="C403" s="28" t="s">
        <v>129</v>
      </c>
      <c r="D403" s="29">
        <f>SUMIFS(D404:D420,K404:K420,"0",B404:B420,"5 1 3 5 5 12 31111 6 M78 10000 151 00I 001 35501 025 2112000 2024 00000000*")-SUMIFS(E404:E420,K404:K420,"0",B404:B420,"5 1 3 5 5 12 31111 6 M78 10000 151 00I 001 35501 025 2112000 2024 00000000*")</f>
        <v>0</v>
      </c>
      <c r="E403" s="30"/>
      <c r="F403" s="29">
        <f>SUMIFS(F404:F420,K404:K420,"0",B404:B420,"5 1 3 5 5 12 31111 6 M78 10000 151 00I 001 35501 025 2112000 2024 00000000*")</f>
        <v>534250</v>
      </c>
      <c r="G403" s="29">
        <f>SUMIFS(G404:G420,K404:K420,"0",B404:B420,"5 1 3 5 5 12 31111 6 M78 10000 151 00I 001 35501 025 2112000 2024 00000000*")</f>
        <v>0</v>
      </c>
      <c r="H403" s="29">
        <f t="shared" si="8"/>
        <v>534250</v>
      </c>
      <c r="I403" s="29"/>
      <c r="K403" t="s">
        <v>15</v>
      </c>
    </row>
    <row r="404" spans="2:11" ht="33" x14ac:dyDescent="0.15">
      <c r="B404" s="28" t="s">
        <v>575</v>
      </c>
      <c r="C404" s="28" t="s">
        <v>9</v>
      </c>
      <c r="D404" s="29">
        <f>SUMIFS(D405:D420,K405:K420,"0",B405:B420,"5 1 3 5 5 12 31111 6 M78 10000 151 00I 001 35501 025 2112000 2024 00000000 002*")-SUMIFS(E405:E420,K405:K420,"0",B405:B420,"5 1 3 5 5 12 31111 6 M78 10000 151 00I 001 35501 025 2112000 2024 00000000 002*")</f>
        <v>0</v>
      </c>
      <c r="E404" s="30"/>
      <c r="F404" s="29">
        <f>SUMIFS(F405:F420,K405:K420,"0",B405:B420,"5 1 3 5 5 12 31111 6 M78 10000 151 00I 001 35501 025 2112000 2024 00000000 002*")</f>
        <v>534250</v>
      </c>
      <c r="G404" s="29">
        <f>SUMIFS(G405:G420,K405:K420,"0",B405:B420,"5 1 3 5 5 12 31111 6 M78 10000 151 00I 001 35501 025 2112000 2024 00000000 002*")</f>
        <v>0</v>
      </c>
      <c r="H404" s="29">
        <f t="shared" si="8"/>
        <v>534250</v>
      </c>
      <c r="I404" s="29"/>
      <c r="K404" t="s">
        <v>15</v>
      </c>
    </row>
    <row r="405" spans="2:11" ht="33" x14ac:dyDescent="0.15">
      <c r="B405" s="31" t="s">
        <v>576</v>
      </c>
      <c r="C405" s="31" t="s">
        <v>577</v>
      </c>
      <c r="D405" s="32">
        <v>0</v>
      </c>
      <c r="E405" s="32"/>
      <c r="F405" s="32">
        <v>534250</v>
      </c>
      <c r="G405" s="32">
        <v>0</v>
      </c>
      <c r="H405" s="32">
        <f t="shared" si="8"/>
        <v>534250</v>
      </c>
      <c r="I405" s="32"/>
      <c r="K405" t="s">
        <v>39</v>
      </c>
    </row>
    <row r="406" spans="2:11" ht="13" x14ac:dyDescent="0.15">
      <c r="B406" s="28" t="s">
        <v>578</v>
      </c>
      <c r="C406" s="28" t="s">
        <v>579</v>
      </c>
      <c r="D406" s="29">
        <f>SUMIFS(D407:D420,K407:K420,"0",B407:B420,"8*")-SUMIFS(E407:E420,K407:K420,"0",B407:B420,"8*")</f>
        <v>0</v>
      </c>
      <c r="E406" s="30"/>
      <c r="F406" s="29">
        <f>SUMIFS(F407:F420,K407:K420,"0",B407:B420,"8*")</f>
        <v>395335074.44000012</v>
      </c>
      <c r="G406" s="29">
        <f>SUMIFS(G407:G420,K407:K420,"0",B407:B420,"8*")</f>
        <v>395335074.44000006</v>
      </c>
      <c r="H406" s="29">
        <f t="shared" si="8"/>
        <v>0</v>
      </c>
      <c r="I406" s="29"/>
      <c r="K406" t="s">
        <v>15</v>
      </c>
    </row>
    <row r="407" spans="2:11" ht="13" x14ac:dyDescent="0.15">
      <c r="B407" s="28" t="s">
        <v>580</v>
      </c>
      <c r="C407" s="28" t="s">
        <v>581</v>
      </c>
      <c r="D407" s="29">
        <f>SUMIFS(D408:D420,K408:K420,"0",B408:B420,"8 1*")-SUMIFS(E408:E420,K408:K420,"0",B408:B420,"8 1*")</f>
        <v>0</v>
      </c>
      <c r="E407" s="30"/>
      <c r="F407" s="29">
        <f>SUMIFS(F408:F420,K408:K420,"0",B408:B420,"8 1*")</f>
        <v>192614835.28000003</v>
      </c>
      <c r="G407" s="29">
        <f>SUMIFS(G408:G420,K408:K420,"0",B408:B420,"8 1*")</f>
        <v>192614835.27999997</v>
      </c>
      <c r="H407" s="29">
        <f t="shared" si="8"/>
        <v>0</v>
      </c>
      <c r="I407" s="29"/>
      <c r="K407" t="s">
        <v>15</v>
      </c>
    </row>
    <row r="408" spans="2:11" ht="13" x14ac:dyDescent="0.15">
      <c r="B408" s="31" t="s">
        <v>582</v>
      </c>
      <c r="C408" s="31" t="s">
        <v>583</v>
      </c>
      <c r="D408" s="32">
        <v>0</v>
      </c>
      <c r="E408" s="32"/>
      <c r="F408" s="32">
        <v>75267829.420000002</v>
      </c>
      <c r="G408" s="32">
        <v>0</v>
      </c>
      <c r="H408" s="32">
        <f t="shared" si="8"/>
        <v>75267829.420000002</v>
      </c>
      <c r="I408" s="32"/>
      <c r="K408" t="s">
        <v>39</v>
      </c>
    </row>
    <row r="409" spans="2:11" ht="13" x14ac:dyDescent="0.15">
      <c r="B409" s="31" t="s">
        <v>584</v>
      </c>
      <c r="C409" s="31" t="s">
        <v>585</v>
      </c>
      <c r="D409" s="32"/>
      <c r="E409" s="32">
        <v>0</v>
      </c>
      <c r="F409" s="32">
        <v>52714504.140000001</v>
      </c>
      <c r="G409" s="32">
        <v>87185827</v>
      </c>
      <c r="H409" s="32"/>
      <c r="I409" s="32">
        <f>E409 - F409 + G409</f>
        <v>34471322.859999999</v>
      </c>
      <c r="K409" t="s">
        <v>39</v>
      </c>
    </row>
    <row r="410" spans="2:11" ht="13" x14ac:dyDescent="0.15">
      <c r="B410" s="31" t="s">
        <v>586</v>
      </c>
      <c r="C410" s="31" t="s">
        <v>587</v>
      </c>
      <c r="D410" s="32">
        <v>0</v>
      </c>
      <c r="E410" s="32"/>
      <c r="F410" s="32">
        <v>11917997.58</v>
      </c>
      <c r="G410" s="32">
        <v>0</v>
      </c>
      <c r="H410" s="32">
        <f>D410 + F410 - G410</f>
        <v>11917997.58</v>
      </c>
      <c r="I410" s="32"/>
      <c r="K410" t="s">
        <v>39</v>
      </c>
    </row>
    <row r="411" spans="2:11" ht="13" x14ac:dyDescent="0.15">
      <c r="B411" s="31" t="s">
        <v>588</v>
      </c>
      <c r="C411" s="31" t="s">
        <v>589</v>
      </c>
      <c r="D411" s="32"/>
      <c r="E411" s="32">
        <v>0</v>
      </c>
      <c r="F411" s="32">
        <v>52714504.140000001</v>
      </c>
      <c r="G411" s="32">
        <v>52714504.140000001</v>
      </c>
      <c r="H411" s="32"/>
      <c r="I411" s="32">
        <f>E411 - F411 + G411</f>
        <v>0</v>
      </c>
      <c r="K411" t="s">
        <v>39</v>
      </c>
    </row>
    <row r="412" spans="2:11" ht="13" x14ac:dyDescent="0.15">
      <c r="B412" s="31" t="s">
        <v>590</v>
      </c>
      <c r="C412" s="31" t="s">
        <v>591</v>
      </c>
      <c r="D412" s="32"/>
      <c r="E412" s="32">
        <v>0</v>
      </c>
      <c r="F412" s="32">
        <v>0</v>
      </c>
      <c r="G412" s="32">
        <v>52714504.140000001</v>
      </c>
      <c r="H412" s="32"/>
      <c r="I412" s="32">
        <f>E412 - F412 + G412</f>
        <v>52714504.140000001</v>
      </c>
      <c r="K412" t="s">
        <v>39</v>
      </c>
    </row>
    <row r="413" spans="2:11" ht="13" x14ac:dyDescent="0.15">
      <c r="B413" s="28" t="s">
        <v>592</v>
      </c>
      <c r="C413" s="28" t="s">
        <v>593</v>
      </c>
      <c r="D413" s="30"/>
      <c r="E413" s="29">
        <f>SUMIFS(E414:E420,K414:K420,"0",B414:B420,"8 2*")-SUMIFS(D414:D420,K414:K420,"0",B414:B420,"8 2*")</f>
        <v>0</v>
      </c>
      <c r="F413" s="29">
        <f>SUMIFS(F414:F420,K414:K420,"0",B414:B420,"8 2*")</f>
        <v>202720239.15999997</v>
      </c>
      <c r="G413" s="29">
        <f>SUMIFS(G414:G420,K414:K420,"0",B414:B420,"8 2*")</f>
        <v>202720239.16</v>
      </c>
      <c r="H413" s="29"/>
      <c r="I413" s="29">
        <f>E413 - F413 + G413</f>
        <v>0</v>
      </c>
      <c r="K413" t="s">
        <v>15</v>
      </c>
    </row>
    <row r="414" spans="2:11" ht="13" x14ac:dyDescent="0.15">
      <c r="B414" s="31" t="s">
        <v>594</v>
      </c>
      <c r="C414" s="31" t="s">
        <v>595</v>
      </c>
      <c r="D414" s="32"/>
      <c r="E414" s="32">
        <v>0</v>
      </c>
      <c r="F414" s="32">
        <v>0</v>
      </c>
      <c r="G414" s="32">
        <v>75267829.420000002</v>
      </c>
      <c r="H414" s="32"/>
      <c r="I414" s="32">
        <f>E414 - F414 + G414</f>
        <v>75267829.420000002</v>
      </c>
      <c r="K414" t="s">
        <v>39</v>
      </c>
    </row>
    <row r="415" spans="2:11" ht="13" x14ac:dyDescent="0.15">
      <c r="B415" s="31" t="s">
        <v>596</v>
      </c>
      <c r="C415" s="31" t="s">
        <v>597</v>
      </c>
      <c r="D415" s="32">
        <v>0</v>
      </c>
      <c r="E415" s="32"/>
      <c r="F415" s="32">
        <v>87185827</v>
      </c>
      <c r="G415" s="32">
        <v>28883603.039999999</v>
      </c>
      <c r="H415" s="32">
        <f>D415 + F415 - G415</f>
        <v>58302223.960000001</v>
      </c>
      <c r="I415" s="32"/>
      <c r="K415" t="s">
        <v>39</v>
      </c>
    </row>
    <row r="416" spans="2:11" ht="13" x14ac:dyDescent="0.15">
      <c r="B416" s="31" t="s">
        <v>598</v>
      </c>
      <c r="C416" s="31" t="s">
        <v>599</v>
      </c>
      <c r="D416" s="32"/>
      <c r="E416" s="32">
        <v>0</v>
      </c>
      <c r="F416" s="32">
        <v>0</v>
      </c>
      <c r="G416" s="32">
        <v>11917997.58</v>
      </c>
      <c r="H416" s="32"/>
      <c r="I416" s="32">
        <f>E416 - F416 + G416</f>
        <v>11917997.58</v>
      </c>
      <c r="K416" t="s">
        <v>39</v>
      </c>
    </row>
    <row r="417" spans="2:11" ht="13" x14ac:dyDescent="0.15">
      <c r="B417" s="31" t="s">
        <v>600</v>
      </c>
      <c r="C417" s="31" t="s">
        <v>601</v>
      </c>
      <c r="D417" s="32">
        <v>0</v>
      </c>
      <c r="E417" s="32"/>
      <c r="F417" s="32">
        <v>28883603.039999999</v>
      </c>
      <c r="G417" s="32">
        <v>28883603.039999999</v>
      </c>
      <c r="H417" s="32">
        <f>D417 + F417 - G417</f>
        <v>0</v>
      </c>
      <c r="I417" s="32"/>
      <c r="K417" t="s">
        <v>39</v>
      </c>
    </row>
    <row r="418" spans="2:11" ht="13" x14ac:dyDescent="0.15">
      <c r="B418" s="31" t="s">
        <v>602</v>
      </c>
      <c r="C418" s="31" t="s">
        <v>603</v>
      </c>
      <c r="D418" s="32">
        <v>0</v>
      </c>
      <c r="E418" s="32"/>
      <c r="F418" s="32">
        <v>28883603.039999999</v>
      </c>
      <c r="G418" s="32">
        <v>28883603.039999999</v>
      </c>
      <c r="H418" s="32">
        <f>D418 + F418 - G418</f>
        <v>0</v>
      </c>
      <c r="I418" s="32"/>
      <c r="K418" t="s">
        <v>39</v>
      </c>
    </row>
    <row r="419" spans="2:11" ht="13" x14ac:dyDescent="0.15">
      <c r="B419" s="31" t="s">
        <v>604</v>
      </c>
      <c r="C419" s="31" t="s">
        <v>605</v>
      </c>
      <c r="D419" s="32">
        <v>0</v>
      </c>
      <c r="E419" s="32"/>
      <c r="F419" s="32">
        <v>28883603.039999999</v>
      </c>
      <c r="G419" s="32">
        <v>28883603.039999999</v>
      </c>
      <c r="H419" s="32">
        <f>D419 + F419 - G419</f>
        <v>0</v>
      </c>
      <c r="I419" s="32"/>
      <c r="K419" t="s">
        <v>39</v>
      </c>
    </row>
    <row r="420" spans="2:11" ht="13" x14ac:dyDescent="0.15">
      <c r="B420" s="31" t="s">
        <v>606</v>
      </c>
      <c r="C420" s="31" t="s">
        <v>607</v>
      </c>
      <c r="D420" s="32">
        <v>0</v>
      </c>
      <c r="E420" s="32"/>
      <c r="F420" s="32">
        <v>28883603.039999999</v>
      </c>
      <c r="G420" s="32">
        <v>0</v>
      </c>
      <c r="H420" s="32">
        <f>D420 + F420 - G420</f>
        <v>28883603.039999999</v>
      </c>
      <c r="I420" s="32"/>
      <c r="K420" t="s">
        <v>39</v>
      </c>
    </row>
    <row r="421" spans="2:11" x14ac:dyDescent="0.15">
      <c r="B421" s="33"/>
      <c r="C421" s="34"/>
      <c r="D421" s="35"/>
      <c r="E421" s="35"/>
      <c r="F421" s="35"/>
      <c r="G421" s="33"/>
      <c r="H421" s="34"/>
      <c r="I421" s="35"/>
    </row>
    <row r="422" spans="2:11" x14ac:dyDescent="0.15">
      <c r="B422" s="33"/>
      <c r="C422" s="34"/>
      <c r="D422" s="36">
        <f>SUMIF(K12:K420,"=0",D12:D420)</f>
        <v>1685038.5999999992</v>
      </c>
      <c r="E422" s="36">
        <f>SUMIF(K12:K420,"=0",E12:E420)</f>
        <v>1685038.6</v>
      </c>
      <c r="F422" s="36">
        <f>SUMIF(K12:K420,"=0",F12:F420)</f>
        <v>616776908.67999995</v>
      </c>
      <c r="G422" s="36">
        <f>SUMIF(K12:K420,"=0",G12:G420)</f>
        <v>616776908.67999995</v>
      </c>
      <c r="H422" s="36">
        <f>SUMIF(K12:K420,"=0",H12:H420)</f>
        <v>228741642.28000012</v>
      </c>
      <c r="I422" s="36">
        <f>SUMIF(K12:K420,"=0",I12:I420)</f>
        <v>228741642.28</v>
      </c>
    </row>
    <row r="423" spans="2:11" x14ac:dyDescent="0.15">
      <c r="B423" s="33"/>
      <c r="C423" s="34"/>
      <c r="D423" s="35"/>
      <c r="E423" s="35"/>
      <c r="F423" s="35"/>
      <c r="G423" s="33"/>
      <c r="H423" s="34"/>
      <c r="I423" s="35"/>
    </row>
    <row r="426" spans="2:11" x14ac:dyDescent="0.15">
      <c r="B426" s="27" t="str">
        <f>IF(AND(ROUND(D422, 2)=ROUND(E422, 2), ROUND(F422, 2)=ROUND(G422, 2), ROUND(H422,2)=ROUND(I422,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</row>
    <row r="428" spans="2:11" x14ac:dyDescent="0.15">
      <c r="B428" s="37"/>
      <c r="C428" s="37"/>
      <c r="D428" s="5"/>
      <c r="E428" s="5"/>
      <c r="F428" s="38"/>
      <c r="G428" s="38"/>
      <c r="H428" s="39"/>
      <c r="I428" s="39"/>
    </row>
    <row r="429" spans="2:11" x14ac:dyDescent="0.15">
      <c r="B429" s="37"/>
      <c r="C429" s="37"/>
      <c r="D429" s="5"/>
      <c r="E429" s="5"/>
      <c r="F429" s="38"/>
      <c r="G429" s="38"/>
      <c r="H429" s="39"/>
      <c r="I429" s="39"/>
    </row>
    <row r="430" spans="2:11" x14ac:dyDescent="0.15">
      <c r="B430" s="37"/>
      <c r="C430" s="37"/>
      <c r="D430" s="5"/>
      <c r="E430" s="5"/>
      <c r="F430" s="38"/>
      <c r="G430" s="38"/>
      <c r="H430" s="39"/>
      <c r="I430" s="39"/>
    </row>
    <row r="431" spans="2:11" x14ac:dyDescent="0.15">
      <c r="B431" s="40"/>
      <c r="C431" s="40"/>
      <c r="D431" s="5"/>
      <c r="E431" s="5"/>
      <c r="F431" s="41"/>
      <c r="G431" s="41"/>
      <c r="H431" s="4"/>
    </row>
    <row r="432" spans="2:11" x14ac:dyDescent="0.15">
      <c r="B432" s="40"/>
      <c r="C432" s="40"/>
      <c r="D432" s="5"/>
      <c r="E432" s="5"/>
      <c r="F432" s="41"/>
      <c r="G432" s="41"/>
      <c r="H432" s="4"/>
    </row>
    <row r="433" spans="2:8" x14ac:dyDescent="0.15">
      <c r="B433" s="40"/>
      <c r="C433" s="40"/>
      <c r="D433" s="5"/>
      <c r="E433" s="5"/>
      <c r="F433" s="41"/>
      <c r="G433" s="41"/>
      <c r="H433" s="4"/>
    </row>
    <row r="434" spans="2:8" x14ac:dyDescent="0.15">
      <c r="B434" s="40"/>
      <c r="C434" s="40"/>
      <c r="D434" s="5"/>
      <c r="E434" s="5"/>
      <c r="F434" s="41"/>
      <c r="G434" s="41"/>
      <c r="H434" s="4"/>
    </row>
    <row r="435" spans="2:8" x14ac:dyDescent="0.15">
      <c r="B435" s="40"/>
      <c r="C435" s="40"/>
      <c r="D435" s="5"/>
      <c r="E435" s="5"/>
      <c r="F435" s="41"/>
      <c r="G435" s="41"/>
      <c r="H435" s="4"/>
    </row>
    <row r="436" spans="2:8" x14ac:dyDescent="0.15">
      <c r="B436" s="40"/>
      <c r="C436" s="40"/>
      <c r="D436" s="5"/>
      <c r="E436" s="5"/>
      <c r="F436" s="41"/>
      <c r="G436" s="41"/>
      <c r="H436" s="4"/>
    </row>
  </sheetData>
  <mergeCells count="12">
    <mergeCell ref="B7:I7"/>
    <mergeCell ref="B2:I2"/>
    <mergeCell ref="B3:I3"/>
    <mergeCell ref="B4:I4"/>
    <mergeCell ref="B5:I5"/>
    <mergeCell ref="B6:I6"/>
    <mergeCell ref="D10:E10"/>
    <mergeCell ref="F10:G10"/>
    <mergeCell ref="H10:I10"/>
    <mergeCell ref="D9:E9"/>
    <mergeCell ref="F9:G9"/>
    <mergeCell ref="H9:I9"/>
  </mergeCells>
  <phoneticPr fontId="0" type="noConversion"/>
  <pageMargins left="0.78740157480314965" right="0.78740157480314965" top="0.39370078740157483" bottom="0.39370078740157483" header="0" footer="0"/>
  <pageSetup scale="85" orientation="landscape" r:id="rId1"/>
  <headerFooter alignWithMargins="0">
    <oddFooter>&amp;C&amp;7CoRam-Contabilidad                                               &amp;T            &amp;D&amp;R&amp;7Pagina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2024-08-09T02:52:17Z</cp:lastPrinted>
  <dcterms:created xsi:type="dcterms:W3CDTF">1996-11-27T10:00:04Z</dcterms:created>
  <dcterms:modified xsi:type="dcterms:W3CDTF">2024-08-24T00:26:56Z</dcterms:modified>
</cp:coreProperties>
</file>