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karenabarcagarcia/Documents/JJH/CUENTA PÚBLICA/INFORME FINANCIERO 2024 /4.2.19 IC Balanza de comprobación excel/"/>
    </mc:Choice>
  </mc:AlternateContent>
  <xr:revisionPtr revIDLastSave="0" documentId="8_{CBD55596-E3AD-A343-8D3C-075A12E82070}" xr6:coauthVersionLast="47" xr6:coauthVersionMax="47" xr10:uidLastSave="{00000000-0000-0000-0000-000000000000}"/>
  <bookViews>
    <workbookView xWindow="0" yWindow="740" windowWidth="29040" windowHeight="15840" xr2:uid="{00000000-000D-0000-FFFF-FFFF00000000}"/>
  </bookViews>
  <sheets>
    <sheet name="Hoja1" sheetId="1" r:id="rId1"/>
  </sheets>
  <definedNames>
    <definedName name="_xlnm.Print_Area" localSheetId="0">Hoja1!$A$1:$J$311</definedName>
    <definedName name="_xlnm.Print_Titles" localSheetId="0">Hoja1!$1:$8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8" i="1" l="1"/>
  <c r="F288" i="1"/>
  <c r="E288" i="1"/>
  <c r="D288" i="1"/>
  <c r="B292" i="1" s="1"/>
  <c r="H286" i="1"/>
  <c r="H285" i="1"/>
  <c r="H284" i="1"/>
  <c r="H283" i="1"/>
  <c r="I282" i="1"/>
  <c r="H281" i="1"/>
  <c r="I280" i="1"/>
  <c r="G279" i="1"/>
  <c r="F279" i="1"/>
  <c r="E279" i="1"/>
  <c r="I279" i="1" s="1"/>
  <c r="I278" i="1"/>
  <c r="I277" i="1"/>
  <c r="H276" i="1"/>
  <c r="I275" i="1"/>
  <c r="H274" i="1"/>
  <c r="H273" i="1"/>
  <c r="G273" i="1"/>
  <c r="F273" i="1"/>
  <c r="D273" i="1"/>
  <c r="H272" i="1"/>
  <c r="G272" i="1"/>
  <c r="F272" i="1"/>
  <c r="D272" i="1"/>
  <c r="H271" i="1"/>
  <c r="G270" i="1"/>
  <c r="F270" i="1"/>
  <c r="D270" i="1"/>
  <c r="H270" i="1" s="1"/>
  <c r="G269" i="1"/>
  <c r="F269" i="1"/>
  <c r="D269" i="1"/>
  <c r="H269" i="1" s="1"/>
  <c r="G268" i="1"/>
  <c r="F268" i="1"/>
  <c r="D268" i="1"/>
  <c r="H268" i="1" s="1"/>
  <c r="G267" i="1"/>
  <c r="F267" i="1"/>
  <c r="D267" i="1"/>
  <c r="H267" i="1" s="1"/>
  <c r="G266" i="1"/>
  <c r="F266" i="1"/>
  <c r="D266" i="1"/>
  <c r="H266" i="1" s="1"/>
  <c r="G265" i="1"/>
  <c r="F265" i="1"/>
  <c r="D265" i="1"/>
  <c r="H265" i="1" s="1"/>
  <c r="G264" i="1"/>
  <c r="F264" i="1"/>
  <c r="D264" i="1"/>
  <c r="H264" i="1" s="1"/>
  <c r="G263" i="1"/>
  <c r="F263" i="1"/>
  <c r="D263" i="1"/>
  <c r="H263" i="1" s="1"/>
  <c r="G262" i="1"/>
  <c r="F262" i="1"/>
  <c r="D262" i="1"/>
  <c r="H262" i="1" s="1"/>
  <c r="G261" i="1"/>
  <c r="F261" i="1"/>
  <c r="D261" i="1"/>
  <c r="H261" i="1" s="1"/>
  <c r="G260" i="1"/>
  <c r="F260" i="1"/>
  <c r="D260" i="1"/>
  <c r="H260" i="1" s="1"/>
  <c r="G259" i="1"/>
  <c r="F259" i="1"/>
  <c r="D259" i="1"/>
  <c r="H259" i="1" s="1"/>
  <c r="G258" i="1"/>
  <c r="F258" i="1"/>
  <c r="D258" i="1"/>
  <c r="H258" i="1" s="1"/>
  <c r="G257" i="1"/>
  <c r="F257" i="1"/>
  <c r="D257" i="1"/>
  <c r="H257" i="1" s="1"/>
  <c r="G256" i="1"/>
  <c r="F256" i="1"/>
  <c r="D256" i="1"/>
  <c r="H256" i="1" s="1"/>
  <c r="G255" i="1"/>
  <c r="F255" i="1"/>
  <c r="D255" i="1"/>
  <c r="H255" i="1" s="1"/>
  <c r="H254" i="1"/>
  <c r="G253" i="1"/>
  <c r="F253" i="1"/>
  <c r="H253" i="1" s="1"/>
  <c r="D253" i="1"/>
  <c r="G252" i="1"/>
  <c r="F252" i="1"/>
  <c r="H252" i="1" s="1"/>
  <c r="D252" i="1"/>
  <c r="G251" i="1"/>
  <c r="F251" i="1"/>
  <c r="H251" i="1" s="1"/>
  <c r="D251" i="1"/>
  <c r="G250" i="1"/>
  <c r="F250" i="1"/>
  <c r="H250" i="1" s="1"/>
  <c r="D250" i="1"/>
  <c r="G249" i="1"/>
  <c r="F249" i="1"/>
  <c r="H249" i="1" s="1"/>
  <c r="D249" i="1"/>
  <c r="G248" i="1"/>
  <c r="F248" i="1"/>
  <c r="D248" i="1"/>
  <c r="H248" i="1" s="1"/>
  <c r="G247" i="1"/>
  <c r="F247" i="1"/>
  <c r="D247" i="1"/>
  <c r="H247" i="1" s="1"/>
  <c r="G246" i="1"/>
  <c r="F246" i="1"/>
  <c r="D246" i="1"/>
  <c r="H246" i="1" s="1"/>
  <c r="G245" i="1"/>
  <c r="F245" i="1"/>
  <c r="D245" i="1"/>
  <c r="H245" i="1" s="1"/>
  <c r="G244" i="1"/>
  <c r="F244" i="1"/>
  <c r="D244" i="1"/>
  <c r="H244" i="1" s="1"/>
  <c r="G243" i="1"/>
  <c r="F243" i="1"/>
  <c r="D243" i="1"/>
  <c r="H243" i="1" s="1"/>
  <c r="G242" i="1"/>
  <c r="F242" i="1"/>
  <c r="D242" i="1"/>
  <c r="H242" i="1" s="1"/>
  <c r="G241" i="1"/>
  <c r="F241" i="1"/>
  <c r="D241" i="1"/>
  <c r="H241" i="1" s="1"/>
  <c r="G240" i="1"/>
  <c r="F240" i="1"/>
  <c r="D240" i="1"/>
  <c r="H240" i="1" s="1"/>
  <c r="G239" i="1"/>
  <c r="F239" i="1"/>
  <c r="D239" i="1"/>
  <c r="H239" i="1" s="1"/>
  <c r="G238" i="1"/>
  <c r="F238" i="1"/>
  <c r="D238" i="1"/>
  <c r="H238" i="1" s="1"/>
  <c r="G237" i="1"/>
  <c r="F237" i="1"/>
  <c r="D237" i="1"/>
  <c r="H237" i="1" s="1"/>
  <c r="H236" i="1"/>
  <c r="G235" i="1"/>
  <c r="F235" i="1"/>
  <c r="H235" i="1" s="1"/>
  <c r="D235" i="1"/>
  <c r="G234" i="1"/>
  <c r="F234" i="1"/>
  <c r="H234" i="1" s="1"/>
  <c r="D234" i="1"/>
  <c r="G233" i="1"/>
  <c r="F233" i="1"/>
  <c r="H233" i="1" s="1"/>
  <c r="D233" i="1"/>
  <c r="G232" i="1"/>
  <c r="F232" i="1"/>
  <c r="H232" i="1" s="1"/>
  <c r="D232" i="1"/>
  <c r="G231" i="1"/>
  <c r="F231" i="1"/>
  <c r="H231" i="1" s="1"/>
  <c r="D231" i="1"/>
  <c r="G230" i="1"/>
  <c r="F230" i="1"/>
  <c r="H230" i="1" s="1"/>
  <c r="D230" i="1"/>
  <c r="G229" i="1"/>
  <c r="F229" i="1"/>
  <c r="D229" i="1"/>
  <c r="H229" i="1" s="1"/>
  <c r="G228" i="1"/>
  <c r="F228" i="1"/>
  <c r="D228" i="1"/>
  <c r="H228" i="1" s="1"/>
  <c r="G227" i="1"/>
  <c r="F227" i="1"/>
  <c r="D227" i="1"/>
  <c r="H227" i="1" s="1"/>
  <c r="G226" i="1"/>
  <c r="F226" i="1"/>
  <c r="D226" i="1"/>
  <c r="H226" i="1" s="1"/>
  <c r="G225" i="1"/>
  <c r="F225" i="1"/>
  <c r="D225" i="1"/>
  <c r="H225" i="1" s="1"/>
  <c r="G224" i="1"/>
  <c r="F224" i="1"/>
  <c r="D224" i="1"/>
  <c r="H224" i="1" s="1"/>
  <c r="G223" i="1"/>
  <c r="F223" i="1"/>
  <c r="D223" i="1"/>
  <c r="H223" i="1" s="1"/>
  <c r="G222" i="1"/>
  <c r="F222" i="1"/>
  <c r="D222" i="1"/>
  <c r="H222" i="1" s="1"/>
  <c r="G221" i="1"/>
  <c r="F221" i="1"/>
  <c r="D221" i="1"/>
  <c r="H221" i="1" s="1"/>
  <c r="G220" i="1"/>
  <c r="F220" i="1"/>
  <c r="D220" i="1"/>
  <c r="H220" i="1" s="1"/>
  <c r="H219" i="1"/>
  <c r="H218" i="1"/>
  <c r="G218" i="1"/>
  <c r="F218" i="1"/>
  <c r="D218" i="1"/>
  <c r="H217" i="1"/>
  <c r="G217" i="1"/>
  <c r="F217" i="1"/>
  <c r="D217" i="1"/>
  <c r="H216" i="1"/>
  <c r="G216" i="1"/>
  <c r="F216" i="1"/>
  <c r="D216" i="1"/>
  <c r="H215" i="1"/>
  <c r="G215" i="1"/>
  <c r="F215" i="1"/>
  <c r="D215" i="1"/>
  <c r="H214" i="1"/>
  <c r="G214" i="1"/>
  <c r="F214" i="1"/>
  <c r="D214" i="1"/>
  <c r="H213" i="1"/>
  <c r="G213" i="1"/>
  <c r="F213" i="1"/>
  <c r="D213" i="1"/>
  <c r="H212" i="1"/>
  <c r="G212" i="1"/>
  <c r="F212" i="1"/>
  <c r="D212" i="1"/>
  <c r="H211" i="1"/>
  <c r="G211" i="1"/>
  <c r="F211" i="1"/>
  <c r="D211" i="1"/>
  <c r="H210" i="1"/>
  <c r="G210" i="1"/>
  <c r="F210" i="1"/>
  <c r="D210" i="1"/>
  <c r="H209" i="1"/>
  <c r="G209" i="1"/>
  <c r="F209" i="1"/>
  <c r="D209" i="1"/>
  <c r="H208" i="1"/>
  <c r="G208" i="1"/>
  <c r="F208" i="1"/>
  <c r="D208" i="1"/>
  <c r="H207" i="1"/>
  <c r="G207" i="1"/>
  <c r="F207" i="1"/>
  <c r="D207" i="1"/>
  <c r="H206" i="1"/>
  <c r="G206" i="1"/>
  <c r="F206" i="1"/>
  <c r="D206" i="1"/>
  <c r="H205" i="1"/>
  <c r="G205" i="1"/>
  <c r="F205" i="1"/>
  <c r="D205" i="1"/>
  <c r="H204" i="1"/>
  <c r="G204" i="1"/>
  <c r="F204" i="1"/>
  <c r="D204" i="1"/>
  <c r="H203" i="1"/>
  <c r="G203" i="1"/>
  <c r="F203" i="1"/>
  <c r="D203" i="1"/>
  <c r="H202" i="1"/>
  <c r="G202" i="1"/>
  <c r="F202" i="1"/>
  <c r="D202" i="1"/>
  <c r="H201" i="1"/>
  <c r="G201" i="1"/>
  <c r="F201" i="1"/>
  <c r="D201" i="1"/>
  <c r="H200" i="1"/>
  <c r="G200" i="1"/>
  <c r="F200" i="1"/>
  <c r="D200" i="1"/>
  <c r="I199" i="1"/>
  <c r="G198" i="1"/>
  <c r="F198" i="1"/>
  <c r="E198" i="1"/>
  <c r="I198" i="1" s="1"/>
  <c r="G197" i="1"/>
  <c r="F197" i="1"/>
  <c r="E197" i="1"/>
  <c r="I197" i="1" s="1"/>
  <c r="G196" i="1"/>
  <c r="F196" i="1"/>
  <c r="E196" i="1"/>
  <c r="I196" i="1" s="1"/>
  <c r="G195" i="1"/>
  <c r="F195" i="1"/>
  <c r="E195" i="1"/>
  <c r="I195" i="1" s="1"/>
  <c r="G194" i="1"/>
  <c r="F194" i="1"/>
  <c r="E194" i="1"/>
  <c r="I194" i="1" s="1"/>
  <c r="G193" i="1"/>
  <c r="F193" i="1"/>
  <c r="E193" i="1"/>
  <c r="I193" i="1" s="1"/>
  <c r="G192" i="1"/>
  <c r="F192" i="1"/>
  <c r="E192" i="1"/>
  <c r="I192" i="1" s="1"/>
  <c r="G191" i="1"/>
  <c r="F191" i="1"/>
  <c r="E191" i="1"/>
  <c r="I191" i="1" s="1"/>
  <c r="G190" i="1"/>
  <c r="F190" i="1"/>
  <c r="E190" i="1"/>
  <c r="I190" i="1" s="1"/>
  <c r="G189" i="1"/>
  <c r="F189" i="1"/>
  <c r="E189" i="1"/>
  <c r="I189" i="1" s="1"/>
  <c r="G188" i="1"/>
  <c r="F188" i="1"/>
  <c r="E188" i="1"/>
  <c r="I188" i="1" s="1"/>
  <c r="G187" i="1"/>
  <c r="F187" i="1"/>
  <c r="E187" i="1"/>
  <c r="I187" i="1" s="1"/>
  <c r="G186" i="1"/>
  <c r="F186" i="1"/>
  <c r="E186" i="1"/>
  <c r="I186" i="1" s="1"/>
  <c r="G185" i="1"/>
  <c r="F185" i="1"/>
  <c r="E185" i="1"/>
  <c r="I185" i="1" s="1"/>
  <c r="G184" i="1"/>
  <c r="F184" i="1"/>
  <c r="E184" i="1"/>
  <c r="I184" i="1" s="1"/>
  <c r="G183" i="1"/>
  <c r="F183" i="1"/>
  <c r="E183" i="1"/>
  <c r="I183" i="1" s="1"/>
  <c r="G182" i="1"/>
  <c r="F182" i="1"/>
  <c r="E182" i="1"/>
  <c r="I182" i="1" s="1"/>
  <c r="I181" i="1"/>
  <c r="G180" i="1"/>
  <c r="F180" i="1"/>
  <c r="I180" i="1" s="1"/>
  <c r="E180" i="1"/>
  <c r="G179" i="1"/>
  <c r="F179" i="1"/>
  <c r="I179" i="1" s="1"/>
  <c r="E179" i="1"/>
  <c r="G178" i="1"/>
  <c r="F178" i="1"/>
  <c r="I178" i="1" s="1"/>
  <c r="E178" i="1"/>
  <c r="G177" i="1"/>
  <c r="F177" i="1"/>
  <c r="I177" i="1" s="1"/>
  <c r="E177" i="1"/>
  <c r="G176" i="1"/>
  <c r="F176" i="1"/>
  <c r="E176" i="1"/>
  <c r="I176" i="1" s="1"/>
  <c r="G175" i="1"/>
  <c r="F175" i="1"/>
  <c r="E175" i="1"/>
  <c r="I175" i="1" s="1"/>
  <c r="G174" i="1"/>
  <c r="F174" i="1"/>
  <c r="E174" i="1"/>
  <c r="I174" i="1" s="1"/>
  <c r="G173" i="1"/>
  <c r="F173" i="1"/>
  <c r="E173" i="1"/>
  <c r="I173" i="1" s="1"/>
  <c r="G172" i="1"/>
  <c r="F172" i="1"/>
  <c r="E172" i="1"/>
  <c r="I172" i="1" s="1"/>
  <c r="G171" i="1"/>
  <c r="F171" i="1"/>
  <c r="E171" i="1"/>
  <c r="I171" i="1" s="1"/>
  <c r="G170" i="1"/>
  <c r="F170" i="1"/>
  <c r="E170" i="1"/>
  <c r="I170" i="1" s="1"/>
  <c r="G169" i="1"/>
  <c r="F169" i="1"/>
  <c r="E169" i="1"/>
  <c r="I169" i="1" s="1"/>
  <c r="G168" i="1"/>
  <c r="F168" i="1"/>
  <c r="E168" i="1"/>
  <c r="I168" i="1" s="1"/>
  <c r="G167" i="1"/>
  <c r="F167" i="1"/>
  <c r="E167" i="1"/>
  <c r="I167" i="1" s="1"/>
  <c r="G166" i="1"/>
  <c r="F166" i="1"/>
  <c r="E166" i="1"/>
  <c r="I166" i="1" s="1"/>
  <c r="G165" i="1"/>
  <c r="F165" i="1"/>
  <c r="E165" i="1"/>
  <c r="I165" i="1" s="1"/>
  <c r="G164" i="1"/>
  <c r="F164" i="1"/>
  <c r="E164" i="1"/>
  <c r="I164" i="1" s="1"/>
  <c r="I163" i="1"/>
  <c r="I162" i="1"/>
  <c r="I161" i="1"/>
  <c r="I160" i="1"/>
  <c r="I159" i="1"/>
  <c r="I158" i="1"/>
  <c r="I157" i="1"/>
  <c r="G157" i="1"/>
  <c r="F157" i="1"/>
  <c r="E157" i="1"/>
  <c r="I156" i="1"/>
  <c r="G156" i="1"/>
  <c r="F156" i="1"/>
  <c r="E156" i="1"/>
  <c r="I155" i="1"/>
  <c r="G155" i="1"/>
  <c r="F155" i="1"/>
  <c r="E155" i="1"/>
  <c r="I154" i="1"/>
  <c r="G154" i="1"/>
  <c r="F154" i="1"/>
  <c r="E154" i="1"/>
  <c r="I153" i="1"/>
  <c r="G153" i="1"/>
  <c r="F153" i="1"/>
  <c r="E153" i="1"/>
  <c r="I152" i="1"/>
  <c r="G152" i="1"/>
  <c r="F152" i="1"/>
  <c r="E152" i="1"/>
  <c r="I151" i="1"/>
  <c r="G151" i="1"/>
  <c r="F151" i="1"/>
  <c r="E151" i="1"/>
  <c r="I150" i="1"/>
  <c r="G150" i="1"/>
  <c r="F150" i="1"/>
  <c r="E150" i="1"/>
  <c r="I149" i="1"/>
  <c r="G149" i="1"/>
  <c r="F149" i="1"/>
  <c r="E149" i="1"/>
  <c r="I148" i="1"/>
  <c r="G148" i="1"/>
  <c r="F148" i="1"/>
  <c r="E148" i="1"/>
  <c r="I147" i="1"/>
  <c r="G147" i="1"/>
  <c r="F147" i="1"/>
  <c r="E147" i="1"/>
  <c r="I146" i="1"/>
  <c r="G146" i="1"/>
  <c r="F146" i="1"/>
  <c r="E146" i="1"/>
  <c r="I145" i="1"/>
  <c r="G145" i="1"/>
  <c r="F145" i="1"/>
  <c r="E145" i="1"/>
  <c r="I144" i="1"/>
  <c r="G144" i="1"/>
  <c r="F144" i="1"/>
  <c r="E144" i="1"/>
  <c r="I143" i="1"/>
  <c r="G143" i="1"/>
  <c r="F143" i="1"/>
  <c r="E143" i="1"/>
  <c r="I142" i="1"/>
  <c r="G142" i="1"/>
  <c r="F142" i="1"/>
  <c r="E142" i="1"/>
  <c r="I141" i="1"/>
  <c r="G141" i="1"/>
  <c r="F141" i="1"/>
  <c r="E141" i="1"/>
  <c r="I140" i="1"/>
  <c r="G140" i="1"/>
  <c r="F140" i="1"/>
  <c r="E140" i="1"/>
  <c r="I139" i="1"/>
  <c r="G139" i="1"/>
  <c r="F139" i="1"/>
  <c r="E139" i="1"/>
  <c r="I138" i="1"/>
  <c r="G137" i="1"/>
  <c r="F137" i="1"/>
  <c r="E137" i="1"/>
  <c r="I137" i="1" s="1"/>
  <c r="G136" i="1"/>
  <c r="F136" i="1"/>
  <c r="E136" i="1"/>
  <c r="I136" i="1" s="1"/>
  <c r="G135" i="1"/>
  <c r="F135" i="1"/>
  <c r="E135" i="1"/>
  <c r="I135" i="1" s="1"/>
  <c r="G134" i="1"/>
  <c r="F134" i="1"/>
  <c r="E134" i="1"/>
  <c r="I134" i="1" s="1"/>
  <c r="G133" i="1"/>
  <c r="F133" i="1"/>
  <c r="E133" i="1"/>
  <c r="I133" i="1" s="1"/>
  <c r="G132" i="1"/>
  <c r="F132" i="1"/>
  <c r="E132" i="1"/>
  <c r="I132" i="1" s="1"/>
  <c r="G131" i="1"/>
  <c r="F131" i="1"/>
  <c r="E131" i="1"/>
  <c r="I131" i="1" s="1"/>
  <c r="G130" i="1"/>
  <c r="F130" i="1"/>
  <c r="E130" i="1"/>
  <c r="I130" i="1" s="1"/>
  <c r="G129" i="1"/>
  <c r="F129" i="1"/>
  <c r="E129" i="1"/>
  <c r="I129" i="1" s="1"/>
  <c r="G128" i="1"/>
  <c r="F128" i="1"/>
  <c r="E128" i="1"/>
  <c r="I128" i="1" s="1"/>
  <c r="I127" i="1"/>
  <c r="G126" i="1"/>
  <c r="F126" i="1"/>
  <c r="E126" i="1"/>
  <c r="I126" i="1" s="1"/>
  <c r="G125" i="1"/>
  <c r="F125" i="1"/>
  <c r="E125" i="1"/>
  <c r="I125" i="1" s="1"/>
  <c r="G124" i="1"/>
  <c r="F124" i="1"/>
  <c r="E124" i="1"/>
  <c r="I124" i="1" s="1"/>
  <c r="G123" i="1"/>
  <c r="F123" i="1"/>
  <c r="E123" i="1"/>
  <c r="I123" i="1" s="1"/>
  <c r="G122" i="1"/>
  <c r="F122" i="1"/>
  <c r="E122" i="1"/>
  <c r="I122" i="1" s="1"/>
  <c r="G121" i="1"/>
  <c r="F121" i="1"/>
  <c r="E121" i="1"/>
  <c r="I121" i="1" s="1"/>
  <c r="I120" i="1"/>
  <c r="I119" i="1"/>
  <c r="I118" i="1"/>
  <c r="G118" i="1"/>
  <c r="F118" i="1"/>
  <c r="E118" i="1"/>
  <c r="I117" i="1"/>
  <c r="G117" i="1"/>
  <c r="F117" i="1"/>
  <c r="E117" i="1"/>
  <c r="I116" i="1"/>
  <c r="G116" i="1"/>
  <c r="F116" i="1"/>
  <c r="E116" i="1"/>
  <c r="I115" i="1"/>
  <c r="G115" i="1"/>
  <c r="F115" i="1"/>
  <c r="E115" i="1"/>
  <c r="I114" i="1"/>
  <c r="G114" i="1"/>
  <c r="F114" i="1"/>
  <c r="E114" i="1"/>
  <c r="I113" i="1"/>
  <c r="G113" i="1"/>
  <c r="F113" i="1"/>
  <c r="E113" i="1"/>
  <c r="I112" i="1"/>
  <c r="G112" i="1"/>
  <c r="F112" i="1"/>
  <c r="E112" i="1"/>
  <c r="I111" i="1"/>
  <c r="I110" i="1"/>
  <c r="I109" i="1"/>
  <c r="I288" i="1" s="1"/>
  <c r="G108" i="1"/>
  <c r="I108" i="1" s="1"/>
  <c r="F108" i="1"/>
  <c r="E108" i="1"/>
  <c r="G107" i="1"/>
  <c r="I107" i="1" s="1"/>
  <c r="F107" i="1"/>
  <c r="E107" i="1"/>
  <c r="G106" i="1"/>
  <c r="I106" i="1" s="1"/>
  <c r="F106" i="1"/>
  <c r="E106" i="1"/>
  <c r="G105" i="1"/>
  <c r="I105" i="1" s="1"/>
  <c r="F105" i="1"/>
  <c r="E105" i="1"/>
  <c r="G104" i="1"/>
  <c r="I104" i="1" s="1"/>
  <c r="F104" i="1"/>
  <c r="E104" i="1"/>
  <c r="G103" i="1"/>
  <c r="I103" i="1" s="1"/>
  <c r="F103" i="1"/>
  <c r="E103" i="1"/>
  <c r="G102" i="1"/>
  <c r="I102" i="1" s="1"/>
  <c r="F102" i="1"/>
  <c r="E102" i="1"/>
  <c r="G101" i="1"/>
  <c r="I101" i="1" s="1"/>
  <c r="F101" i="1"/>
  <c r="E101" i="1"/>
  <c r="G100" i="1"/>
  <c r="I100" i="1" s="1"/>
  <c r="F100" i="1"/>
  <c r="E100" i="1"/>
  <c r="G99" i="1"/>
  <c r="I99" i="1" s="1"/>
  <c r="F99" i="1"/>
  <c r="E99" i="1"/>
  <c r="H98" i="1"/>
  <c r="H97" i="1"/>
  <c r="G97" i="1"/>
  <c r="F97" i="1"/>
  <c r="D97" i="1"/>
  <c r="H96" i="1"/>
  <c r="G96" i="1"/>
  <c r="F96" i="1"/>
  <c r="D96" i="1"/>
  <c r="H95" i="1"/>
  <c r="G95" i="1"/>
  <c r="F95" i="1"/>
  <c r="D95" i="1"/>
  <c r="H94" i="1"/>
  <c r="G94" i="1"/>
  <c r="F94" i="1"/>
  <c r="D94" i="1"/>
  <c r="H93" i="1"/>
  <c r="G93" i="1"/>
  <c r="F93" i="1"/>
  <c r="D93" i="1"/>
  <c r="H92" i="1"/>
  <c r="G92" i="1"/>
  <c r="F92" i="1"/>
  <c r="D92" i="1"/>
  <c r="H91" i="1"/>
  <c r="G91" i="1"/>
  <c r="F91" i="1"/>
  <c r="D91" i="1"/>
  <c r="H90" i="1"/>
  <c r="G90" i="1"/>
  <c r="F90" i="1"/>
  <c r="D90" i="1"/>
  <c r="H89" i="1"/>
  <c r="G89" i="1"/>
  <c r="F89" i="1"/>
  <c r="D89" i="1"/>
  <c r="H88" i="1"/>
  <c r="G88" i="1"/>
  <c r="F88" i="1"/>
  <c r="D88" i="1"/>
  <c r="H87" i="1"/>
  <c r="G87" i="1"/>
  <c r="F87" i="1"/>
  <c r="D87" i="1"/>
  <c r="H86" i="1"/>
  <c r="G86" i="1"/>
  <c r="F86" i="1"/>
  <c r="D86" i="1"/>
  <c r="H85" i="1"/>
  <c r="G85" i="1"/>
  <c r="F85" i="1"/>
  <c r="D85" i="1"/>
  <c r="H84" i="1"/>
  <c r="G84" i="1"/>
  <c r="F84" i="1"/>
  <c r="D84" i="1"/>
  <c r="H83" i="1"/>
  <c r="G83" i="1"/>
  <c r="F83" i="1"/>
  <c r="D83" i="1"/>
  <c r="H82" i="1"/>
  <c r="G82" i="1"/>
  <c r="F82" i="1"/>
  <c r="D82" i="1"/>
  <c r="H81" i="1"/>
  <c r="G81" i="1"/>
  <c r="F81" i="1"/>
  <c r="D81" i="1"/>
  <c r="H80" i="1"/>
  <c r="G79" i="1"/>
  <c r="F79" i="1"/>
  <c r="D79" i="1"/>
  <c r="H79" i="1" s="1"/>
  <c r="G78" i="1"/>
  <c r="F78" i="1"/>
  <c r="D78" i="1"/>
  <c r="H78" i="1" s="1"/>
  <c r="G77" i="1"/>
  <c r="F77" i="1"/>
  <c r="D77" i="1"/>
  <c r="H77" i="1" s="1"/>
  <c r="G76" i="1"/>
  <c r="F76" i="1"/>
  <c r="D76" i="1"/>
  <c r="H76" i="1" s="1"/>
  <c r="H75" i="1"/>
  <c r="G74" i="1"/>
  <c r="F74" i="1"/>
  <c r="D74" i="1"/>
  <c r="H74" i="1" s="1"/>
  <c r="G73" i="1"/>
  <c r="F73" i="1"/>
  <c r="D73" i="1"/>
  <c r="H73" i="1" s="1"/>
  <c r="G72" i="1"/>
  <c r="F72" i="1"/>
  <c r="D72" i="1"/>
  <c r="H72" i="1" s="1"/>
  <c r="G71" i="1"/>
  <c r="F71" i="1"/>
  <c r="D71" i="1"/>
  <c r="H71" i="1" s="1"/>
  <c r="G70" i="1"/>
  <c r="F70" i="1"/>
  <c r="D70" i="1"/>
  <c r="H70" i="1" s="1"/>
  <c r="G69" i="1"/>
  <c r="F69" i="1"/>
  <c r="D69" i="1"/>
  <c r="H69" i="1" s="1"/>
  <c r="G68" i="1"/>
  <c r="F68" i="1"/>
  <c r="D68" i="1"/>
  <c r="H68" i="1" s="1"/>
  <c r="G67" i="1"/>
  <c r="F67" i="1"/>
  <c r="D67" i="1"/>
  <c r="H67" i="1" s="1"/>
  <c r="G66" i="1"/>
  <c r="F66" i="1"/>
  <c r="D66" i="1"/>
  <c r="H66" i="1" s="1"/>
  <c r="G65" i="1"/>
  <c r="F65" i="1"/>
  <c r="D65" i="1"/>
  <c r="H65" i="1" s="1"/>
  <c r="G64" i="1"/>
  <c r="F64" i="1"/>
  <c r="D64" i="1"/>
  <c r="H64" i="1" s="1"/>
  <c r="G63" i="1"/>
  <c r="F63" i="1"/>
  <c r="D63" i="1"/>
  <c r="H63" i="1" s="1"/>
  <c r="G62" i="1"/>
  <c r="F62" i="1"/>
  <c r="D62" i="1"/>
  <c r="H62" i="1" s="1"/>
  <c r="G61" i="1"/>
  <c r="F61" i="1"/>
  <c r="D61" i="1"/>
  <c r="H61" i="1" s="1"/>
  <c r="G60" i="1"/>
  <c r="F60" i="1"/>
  <c r="D60" i="1"/>
  <c r="H60" i="1" s="1"/>
  <c r="G59" i="1"/>
  <c r="F59" i="1"/>
  <c r="D59" i="1"/>
  <c r="H59" i="1" s="1"/>
  <c r="G58" i="1"/>
  <c r="F58" i="1"/>
  <c r="D58" i="1"/>
  <c r="H58" i="1" s="1"/>
  <c r="G57" i="1"/>
  <c r="F57" i="1"/>
  <c r="D57" i="1"/>
  <c r="H57" i="1" s="1"/>
  <c r="G56" i="1"/>
  <c r="F56" i="1"/>
  <c r="D56" i="1"/>
  <c r="H56" i="1" s="1"/>
  <c r="H55" i="1"/>
  <c r="G54" i="1"/>
  <c r="H54" i="1" s="1"/>
  <c r="F54" i="1"/>
  <c r="D54" i="1"/>
  <c r="G53" i="1"/>
  <c r="F53" i="1"/>
  <c r="D53" i="1"/>
  <c r="G52" i="1"/>
  <c r="F52" i="1"/>
  <c r="D52" i="1"/>
  <c r="G51" i="1"/>
  <c r="H51" i="1" s="1"/>
  <c r="F51" i="1"/>
  <c r="D51" i="1"/>
  <c r="G50" i="1"/>
  <c r="H50" i="1" s="1"/>
  <c r="F50" i="1"/>
  <c r="D50" i="1"/>
  <c r="G49" i="1"/>
  <c r="F49" i="1"/>
  <c r="D49" i="1"/>
  <c r="H48" i="1"/>
  <c r="G47" i="1"/>
  <c r="F47" i="1"/>
  <c r="D47" i="1"/>
  <c r="H47" i="1" s="1"/>
  <c r="G46" i="1"/>
  <c r="F46" i="1"/>
  <c r="D46" i="1"/>
  <c r="H46" i="1" s="1"/>
  <c r="G45" i="1"/>
  <c r="F45" i="1"/>
  <c r="D45" i="1"/>
  <c r="H45" i="1" s="1"/>
  <c r="G44" i="1"/>
  <c r="F44" i="1"/>
  <c r="D44" i="1"/>
  <c r="H44" i="1" s="1"/>
  <c r="G43" i="1"/>
  <c r="F43" i="1"/>
  <c r="D43" i="1"/>
  <c r="H43" i="1" s="1"/>
  <c r="G42" i="1"/>
  <c r="F42" i="1"/>
  <c r="D42" i="1"/>
  <c r="H42" i="1" s="1"/>
  <c r="H41" i="1"/>
  <c r="G40" i="1"/>
  <c r="F40" i="1"/>
  <c r="D40" i="1"/>
  <c r="H40" i="1" s="1"/>
  <c r="G39" i="1"/>
  <c r="F39" i="1"/>
  <c r="D39" i="1"/>
  <c r="H39" i="1" s="1"/>
  <c r="G38" i="1"/>
  <c r="F38" i="1"/>
  <c r="D38" i="1"/>
  <c r="H38" i="1" s="1"/>
  <c r="G37" i="1"/>
  <c r="F37" i="1"/>
  <c r="D37" i="1"/>
  <c r="H37" i="1" s="1"/>
  <c r="G36" i="1"/>
  <c r="F36" i="1"/>
  <c r="D36" i="1"/>
  <c r="H36" i="1" s="1"/>
  <c r="G35" i="1"/>
  <c r="F35" i="1"/>
  <c r="D35" i="1"/>
  <c r="H35" i="1" s="1"/>
  <c r="G34" i="1"/>
  <c r="F34" i="1"/>
  <c r="D34" i="1"/>
  <c r="H34" i="1" s="1"/>
  <c r="H33" i="1"/>
  <c r="H32" i="1"/>
  <c r="H31" i="1"/>
  <c r="H30" i="1"/>
  <c r="G30" i="1"/>
  <c r="F30" i="1"/>
  <c r="D30" i="1"/>
  <c r="H29" i="1"/>
  <c r="G29" i="1"/>
  <c r="F29" i="1"/>
  <c r="D29" i="1"/>
  <c r="H28" i="1"/>
  <c r="G28" i="1"/>
  <c r="F28" i="1"/>
  <c r="D28" i="1"/>
  <c r="H27" i="1"/>
  <c r="G27" i="1"/>
  <c r="F27" i="1"/>
  <c r="D27" i="1"/>
  <c r="H26" i="1"/>
  <c r="G26" i="1"/>
  <c r="F26" i="1"/>
  <c r="D26" i="1"/>
  <c r="H25" i="1"/>
  <c r="G25" i="1"/>
  <c r="F25" i="1"/>
  <c r="D25" i="1"/>
  <c r="H24" i="1"/>
  <c r="G24" i="1"/>
  <c r="F24" i="1"/>
  <c r="D24" i="1"/>
  <c r="H23" i="1"/>
  <c r="G23" i="1"/>
  <c r="F23" i="1"/>
  <c r="D23" i="1"/>
  <c r="H22" i="1"/>
  <c r="H288" i="1" s="1"/>
  <c r="G21" i="1"/>
  <c r="F21" i="1"/>
  <c r="D21" i="1"/>
  <c r="H21" i="1" s="1"/>
  <c r="G20" i="1"/>
  <c r="F20" i="1"/>
  <c r="D20" i="1"/>
  <c r="H20" i="1" s="1"/>
  <c r="G19" i="1"/>
  <c r="F19" i="1"/>
  <c r="D19" i="1"/>
  <c r="H19" i="1" s="1"/>
  <c r="G18" i="1"/>
  <c r="F18" i="1"/>
  <c r="D18" i="1"/>
  <c r="H18" i="1" s="1"/>
  <c r="G17" i="1"/>
  <c r="F17" i="1"/>
  <c r="D17" i="1"/>
  <c r="H17" i="1" s="1"/>
  <c r="G16" i="1"/>
  <c r="F16" i="1"/>
  <c r="D16" i="1"/>
  <c r="H16" i="1" s="1"/>
  <c r="G15" i="1"/>
  <c r="F15" i="1"/>
  <c r="D15" i="1"/>
  <c r="H15" i="1" s="1"/>
  <c r="G14" i="1"/>
  <c r="F14" i="1"/>
  <c r="D14" i="1"/>
  <c r="H14" i="1" s="1"/>
  <c r="G13" i="1"/>
  <c r="F13" i="1"/>
  <c r="D13" i="1"/>
  <c r="H13" i="1" s="1"/>
  <c r="G12" i="1"/>
  <c r="F12" i="1"/>
  <c r="D12" i="1"/>
  <c r="H12" i="1" s="1"/>
  <c r="H49" i="1" l="1"/>
  <c r="H53" i="1"/>
  <c r="H52" i="1"/>
</calcChain>
</file>

<file path=xl/sharedStrings.xml><?xml version="1.0" encoding="utf-8"?>
<sst xmlns="http://schemas.openxmlformats.org/spreadsheetml/2006/main" count="844" uniqueCount="408">
  <si>
    <t>DEBE</t>
  </si>
  <si>
    <t>HABER</t>
  </si>
  <si>
    <t>C U E N T A</t>
  </si>
  <si>
    <t>C O N C E P T O</t>
  </si>
  <si>
    <t>SALDOS ACUMULADOS</t>
  </si>
  <si>
    <t>M O V I M I E N T O S</t>
  </si>
  <si>
    <t>SALDOS INICIALES</t>
  </si>
  <si>
    <t>H. AYUNTAMIENTO MUNICIPAL DE JOSE JOAQUIN DE HERRERA, GRO.</t>
  </si>
  <si>
    <t>TESORERIA MUNICIPAL</t>
  </si>
  <si>
    <t>INGRESOS PROPIOS</t>
  </si>
  <si>
    <t/>
  </si>
  <si>
    <t xml:space="preserve">BALANZA DE COMPROBACIÓN DEL 1 DE ENERO AL 30 DE JUNIO DEL 2024 </t>
  </si>
  <si>
    <t>AL 1 DE ENERO DE 2024</t>
  </si>
  <si>
    <t>ENERO - JUNIO 2024</t>
  </si>
  <si>
    <t>AL 30 DE JUNIO DE 2024</t>
  </si>
  <si>
    <t>1</t>
  </si>
  <si>
    <t>ACTIVO</t>
  </si>
  <si>
    <t>1 1</t>
  </si>
  <si>
    <t>ACTIVO CIRCULANTE</t>
  </si>
  <si>
    <t>1 1 1</t>
  </si>
  <si>
    <t>EFECTIVO Y EQUIVALENTES</t>
  </si>
  <si>
    <t>1 1 1 2</t>
  </si>
  <si>
    <t>BANCOS/TESORERÍA</t>
  </si>
  <si>
    <t>1 1 1 2 1</t>
  </si>
  <si>
    <t>BANCOS MONEDA NACIONAL</t>
  </si>
  <si>
    <t>1 1 1 2 1 12</t>
  </si>
  <si>
    <t>GUERRERO</t>
  </si>
  <si>
    <t>1 1 1 2 1 12 31111</t>
  </si>
  <si>
    <t>ORGANO EJECUTIVO MUNICIPAL (AYUNTAMIENTO)</t>
  </si>
  <si>
    <t>1 1 1 2 1 12 31111 6</t>
  </si>
  <si>
    <t>SECTOR PÚBLICO MUNICIPAL</t>
  </si>
  <si>
    <t>1 1 1 2 1 12 31111 6 M78</t>
  </si>
  <si>
    <t>JOSÉ JOAQUÍN DE HERRERA</t>
  </si>
  <si>
    <t>1 1 1 2 1 12 31111 6 M78 00005</t>
  </si>
  <si>
    <t>INGRESOS FISCALES</t>
  </si>
  <si>
    <t>1 1 1 2 1 12 31111 6 M78 00005 001</t>
  </si>
  <si>
    <t>BANAMEX 7009 8442403 INGRESOS FISCALES</t>
  </si>
  <si>
    <t>0</t>
  </si>
  <si>
    <t>1 1 2</t>
  </si>
  <si>
    <t>DERECHOS A RECIBIR EFECTIVO O EQUIVALENTES</t>
  </si>
  <si>
    <t>1 1 2 3</t>
  </si>
  <si>
    <t>DEUDORES DIVERSOS POR COBRAR A CORTO PLAZO</t>
  </si>
  <si>
    <t>1 1 2 3 1</t>
  </si>
  <si>
    <t>DEUDORES DIVERSOS POR COBRAR A CP</t>
  </si>
  <si>
    <t>1 1 2 3 1 12</t>
  </si>
  <si>
    <t>1 1 2 3 1 12 31111</t>
  </si>
  <si>
    <t>1 1 2 3 1 12 31111 6</t>
  </si>
  <si>
    <t>1 1 2 3 1 12 31111 6 M78</t>
  </si>
  <si>
    <t>1 1 2 3 1 12 31111 6 M78 00005</t>
  </si>
  <si>
    <t>1 1 2 3 1 12 31111 6 M78 00005 001</t>
  </si>
  <si>
    <t>ALBERTO CASTRO FLORES</t>
  </si>
  <si>
    <t>1 1 2 3 1 12 31111 6 M78 00005 006</t>
  </si>
  <si>
    <t>GASTO CORRIENTE 2023</t>
  </si>
  <si>
    <t>1 1 2 3 1 12 31111 6 M78 00005 007</t>
  </si>
  <si>
    <t>GASTO CORRIENTE 2024</t>
  </si>
  <si>
    <t>1 1 2 4</t>
  </si>
  <si>
    <t>INGRESOS POR RECUPERAR A CORTO PLAZO</t>
  </si>
  <si>
    <t>1 1 2 4 1</t>
  </si>
  <si>
    <t>CONTRIBUCIONES POR COBRAR</t>
  </si>
  <si>
    <t>1 1 2 4 1 12</t>
  </si>
  <si>
    <t>1 1 2 4 1 12 31111</t>
  </si>
  <si>
    <t>1 1 2 4 1 12 31111 6</t>
  </si>
  <si>
    <t>1 1 2 4 1 12 31111 6 M78</t>
  </si>
  <si>
    <t>1 1 2 4 1 12 31111 6 M78 00005</t>
  </si>
  <si>
    <t>1 1 2 4 1 12 31111 6 M78 00005 001</t>
  </si>
  <si>
    <t>1 1 2 4 3</t>
  </si>
  <si>
    <t>DERECHOS POR COBRAR</t>
  </si>
  <si>
    <t>1 1 2 4 3 12</t>
  </si>
  <si>
    <t>1 1 2 4 3 12 31111</t>
  </si>
  <si>
    <t>1 1 2 4 3 12 31111 6</t>
  </si>
  <si>
    <t>1 1 2 4 3 12 31111 6 M78</t>
  </si>
  <si>
    <t>1 1 2 4 3 12 31111 6 M78 00005</t>
  </si>
  <si>
    <t>1 1 2 4 3 12 31111 6 M78 00005 001</t>
  </si>
  <si>
    <t>1 1 2 4 4</t>
  </si>
  <si>
    <t>PRODUCTOS POR COBRAR</t>
  </si>
  <si>
    <t>1 1 2 4 4 12</t>
  </si>
  <si>
    <t>1 1 2 4 4 12 31111</t>
  </si>
  <si>
    <t>1 1 2 4 4 12 31111 6</t>
  </si>
  <si>
    <t>1 1 2 4 4 12 31111 6 M78</t>
  </si>
  <si>
    <t>1 1 2 4 4 12 31111 6 M78 00005</t>
  </si>
  <si>
    <t>1 1 2 4 4 12 31111 6 M78 00005 001</t>
  </si>
  <si>
    <t>1 2</t>
  </si>
  <si>
    <t>ACTIVO NO CIRCULANTE</t>
  </si>
  <si>
    <t>1 2 4</t>
  </si>
  <si>
    <t>BIENES MUEBLES</t>
  </si>
  <si>
    <t>1 2 4 1</t>
  </si>
  <si>
    <t>MOBILIARIO Y EQUIPO DE ADMINISTRACIÓN</t>
  </si>
  <si>
    <t>1 2 4 1 3</t>
  </si>
  <si>
    <t>EQUIPO DE CÓMPUTO Y DE TECNOLOGÍAS DE LA INFORMACIÓN</t>
  </si>
  <si>
    <t>1 2 4 1 3 12</t>
  </si>
  <si>
    <t>1 2 4 1 3 12 31111</t>
  </si>
  <si>
    <t>1 2 4 1 3 12 31111 6</t>
  </si>
  <si>
    <t>1 2 4 1 3 12 31111 6 M78</t>
  </si>
  <si>
    <t>1 2 4 1 3 12 31111 6 M78 07000</t>
  </si>
  <si>
    <t>TESORERÍA MUNICIPAL</t>
  </si>
  <si>
    <t>1 2 4 1 3 12 31111 6 M78 07000 151</t>
  </si>
  <si>
    <t>ASUNTOS FINANCIEROS</t>
  </si>
  <si>
    <t>1 2 4 1 3 12 31111 6 M78 07000 151 00E</t>
  </si>
  <si>
    <t>PRESTACION DE SERVICIOS PUBLICOS</t>
  </si>
  <si>
    <t>1 2 4 1 3 12 31111 6 M78 07000 151 00E 002</t>
  </si>
  <si>
    <t>GASTO DE CAPITAL</t>
  </si>
  <si>
    <t>1 2 4 1 3 12 31111 6 M78 07000 151 00E 002 51501</t>
  </si>
  <si>
    <t>BIENES INFORMATICOS.</t>
  </si>
  <si>
    <t>1 2 4 1 3 12 31111 6 M78 07000 151 00E 002 51501 011</t>
  </si>
  <si>
    <t>11- RECURSOS FISCALES</t>
  </si>
  <si>
    <t>1 2 4 1 3 12 31111 6 M78 07000 151 00E 002 51501 011 2112000</t>
  </si>
  <si>
    <t>COMPRA DE BIENES Y SERVICIOS</t>
  </si>
  <si>
    <t>1 2 4 1 3 12 31111 6 M78 07000 151 00E 002 51501 011 2112000 2019</t>
  </si>
  <si>
    <t>EJERCICIO 2019</t>
  </si>
  <si>
    <t>1 2 4 1 3 12 31111 6 M78 07000 151 00E 002 51501 011 2112000 2019 00000000</t>
  </si>
  <si>
    <t>SIN PRIORIDAD</t>
  </si>
  <si>
    <t>1 2 4 1 3 12 31111 6 M78 07000 151 00E 002 51501 011 2112000 2019 00000000 005</t>
  </si>
  <si>
    <t>1 2 4 1 3 12 31111 6 M78 07000 151 00E 002 51501 011 2112000 2019 00000000 005 022</t>
  </si>
  <si>
    <t>AREA DE SECRETARIA DE LA MUJER</t>
  </si>
  <si>
    <t>1 2 4 1 3 12 31111 6 M78 07000 151 00E 002 51501 011 2112000 2019 00000000 005 022 001</t>
  </si>
  <si>
    <t>IMPRESORA CANON PIXMA G21120 MULTIFUNCIONAL</t>
  </si>
  <si>
    <t>1 2 4 1 3 12 31111 6 M78 07000 151 00E 002 51501 011 2112000 2022</t>
  </si>
  <si>
    <t>EJERCICIO 2022</t>
  </si>
  <si>
    <t>1 2 4 1 3 12 31111 6 M78 07000 151 00E 002 51501 011 2112000 2022 00000000</t>
  </si>
  <si>
    <t>1 2 4 1 3 12 31111 6 M78 07000 151 00E 002 51501 011 2112000 2022 00000000 005</t>
  </si>
  <si>
    <t>1 2 4 1 3 12 31111 6 M78 07000 151 00E 002 51501 011 2112000 2022 00000000 005 022</t>
  </si>
  <si>
    <t>1 2 4 1 3 12 31111 6 M78 07000 151 00E 002 51501 011 2112000 2022 00000000 005 022 002</t>
  </si>
  <si>
    <t>IMPRESORA DE TARJETAS ZEBRA ZXP7- 2 CARAS- COLOR- CON SOFTWARE PARA INSTALARSE EN PC, 3003 DPI/USB/ETHERNET</t>
  </si>
  <si>
    <t>1 2 4 2</t>
  </si>
  <si>
    <t>MOBILIARIO Y EQUIPO EDUCACIONAL Y RECREATIVO</t>
  </si>
  <si>
    <t>1 2 4 2 1</t>
  </si>
  <si>
    <t>EQUIPOS Y APARATOS AUDIOVISUALES</t>
  </si>
  <si>
    <t>1 2 4 2 1 12</t>
  </si>
  <si>
    <t>1 2 4 2 1 12 31111</t>
  </si>
  <si>
    <t>1 2 4 2 1 12 31111 6</t>
  </si>
  <si>
    <t>1 2 4 2 1 12 31111 6 M78</t>
  </si>
  <si>
    <t>xxx CUENTA FALTANTE xxx</t>
  </si>
  <si>
    <t>1 2 4 2 1 12 31111 6 M78 07000</t>
  </si>
  <si>
    <t>1 2 4 2 1 12 31111 6 M78 07000 151</t>
  </si>
  <si>
    <t>1 2 4 2 1 12 31111 6 M78 07000 151 00E</t>
  </si>
  <si>
    <t>1 2 4 2 1 12 31111 6 M78 07000 151 00E 002</t>
  </si>
  <si>
    <t>1 2 4 2 1 12 31111 6 M78 07000 151 00E 002 52101</t>
  </si>
  <si>
    <t>EQUIPOS Y APARATOS AUDIOVISUALES.</t>
  </si>
  <si>
    <t>1 2 4 2 1 12 31111 6 M78 07000 151 00E 002 52101 011</t>
  </si>
  <si>
    <t>1 2 4 2 1 12 31111 6 M78 07000 151 00E 002 52101 011 2112000</t>
  </si>
  <si>
    <t>1 2 4 2 1 12 31111 6 M78 07000 151 00E 002 52101 011 2112000 2019</t>
  </si>
  <si>
    <t>1 2 4 2 1 12 31111 6 M78 07000 151 00E 002 52101 011 2112000 2019 00000000</t>
  </si>
  <si>
    <t>SIN PROYECTO</t>
  </si>
  <si>
    <t>1 2 4 2 1 12 31111 6 M78 07000 151 00E 002 52101 011 2112000 2019 00000000 005</t>
  </si>
  <si>
    <t>1 2 4 2 1 12 31111 6 M78 07000 151 00E 002 52101 011 2112000 2019 00000000 005 007</t>
  </si>
  <si>
    <t>AREA DE TESORERIA</t>
  </si>
  <si>
    <t>1 2 4 2 1 12 31111 6 M78 07000 151 00E 002 52101 011 2112000 2019 00000000 005 007 001</t>
  </si>
  <si>
    <t>JUEGO DE MICROFONOS INALAMBRICOS LENNON MOD. LN302U</t>
  </si>
  <si>
    <t>2</t>
  </si>
  <si>
    <t>PASIVO</t>
  </si>
  <si>
    <t>2 1</t>
  </si>
  <si>
    <t>PASIVO CIRCULANTE</t>
  </si>
  <si>
    <t>2 1 1</t>
  </si>
  <si>
    <t>CUENTAS POR PAGAR A CORTO PLAZO</t>
  </si>
  <si>
    <t>2 1 1 2</t>
  </si>
  <si>
    <t>PROVEEDORES POR PAGAR A CORTO PLAZO</t>
  </si>
  <si>
    <t>2 1 1 2 1</t>
  </si>
  <si>
    <t>DEUDAS POR ADQUISICIÓN DE BIENES Y CONTRATACIÓN DE SERVICIOS POR PAGAR A CP</t>
  </si>
  <si>
    <t>2 1 1 2 1 12</t>
  </si>
  <si>
    <t>2 1 1 2 1 12 31111</t>
  </si>
  <si>
    <t>2 1 1 2 1 12 31111 6</t>
  </si>
  <si>
    <t>2 1 1 2 1 12 31111 6 M78</t>
  </si>
  <si>
    <t>2 1 1 2 1 12 31111 6 M78 00005</t>
  </si>
  <si>
    <t>RECURSOS FISCALES</t>
  </si>
  <si>
    <t>2 1 1 2 1 12 31111 6 M78 00005 002</t>
  </si>
  <si>
    <t>2 1 1 2 1 12 31111 6 M78 00005 049</t>
  </si>
  <si>
    <t>SERVICIO MONTAÑAS DEL SUR</t>
  </si>
  <si>
    <t>2 1 1 2 1 12 31111 6 M78 00005 053</t>
  </si>
  <si>
    <t>NICOLAS MERINO MATEO</t>
  </si>
  <si>
    <t>2 1 1 7</t>
  </si>
  <si>
    <t>RETENCIONES Y CONTRIBUCIONES POR PAGAR A CORTO PLAZO</t>
  </si>
  <si>
    <t>2 1 1 7 3</t>
  </si>
  <si>
    <t>IMPUESTO Y DERECHOS POR PAGAR A CP</t>
  </si>
  <si>
    <t>2 1 1 7 3 12</t>
  </si>
  <si>
    <t>2 1 1 7 3 12 31111</t>
  </si>
  <si>
    <t>2 1 1 7 3 12 31111 6</t>
  </si>
  <si>
    <t>2 1 1 7 3 12 31111 6 M78</t>
  </si>
  <si>
    <t>2 1 1 7 3 12 31111 6 M78 00005</t>
  </si>
  <si>
    <t>2 1 1 7 3 12 31111 6 M78 00005 001</t>
  </si>
  <si>
    <t>10% POR ADMINISTRACION DEL REGISTRO CIVIL</t>
  </si>
  <si>
    <t>2 1 1 7 3 12 31111 6 M78 00005 002</t>
  </si>
  <si>
    <t>15 % DE CONTRIBUCION ESTATAL</t>
  </si>
  <si>
    <t>2 1 1 9</t>
  </si>
  <si>
    <t>OTRAS CUENTAS POR PAGAR A CORTO PLAZO</t>
  </si>
  <si>
    <t>2 1 1 9 5</t>
  </si>
  <si>
    <t>PRÉSTAMOS RECIBIDOS A CP</t>
  </si>
  <si>
    <t>2 1 1 9 5 12</t>
  </si>
  <si>
    <t>2 1 1 9 5 12 31111</t>
  </si>
  <si>
    <t>2 1 1 9 5 12 31111 6</t>
  </si>
  <si>
    <t>2 1 1 9 5 12 31111 6 M78</t>
  </si>
  <si>
    <t>2 1 1 9 5 12 31111 6 M78 00008</t>
  </si>
  <si>
    <t xml:space="preserve">FORTAMUN 2023 POR PRESTAMOS A INGRESOS FISCALES
</t>
  </si>
  <si>
    <t>3</t>
  </si>
  <si>
    <t>HACIENDA PÚBLICA/ PATRIMONIO</t>
  </si>
  <si>
    <t>3 2</t>
  </si>
  <si>
    <t>HACIENDA PÚBLICA /PATRIMONIO GENERADO</t>
  </si>
  <si>
    <t>3 2 2</t>
  </si>
  <si>
    <t>RESULTADOS DE EJERCICIOS ANTERIORES</t>
  </si>
  <si>
    <t>3 2 2 1</t>
  </si>
  <si>
    <t>3 2 2 1 1</t>
  </si>
  <si>
    <t>RESULTADOS DEL EJERCICIO ANTERIOR</t>
  </si>
  <si>
    <t>3 2 2 1 1 12</t>
  </si>
  <si>
    <t>3 2 2 1 1 12 31111</t>
  </si>
  <si>
    <t>3 2 2 1 1 12 31111 6</t>
  </si>
  <si>
    <t>3 2 2 1 1 12 31111 6 M78</t>
  </si>
  <si>
    <t>3 2 2 1 1 12 31111 6 M78 00000</t>
  </si>
  <si>
    <t>3 2 2 1 1 12 31111 6 M78 00000 005</t>
  </si>
  <si>
    <t>4</t>
  </si>
  <si>
    <t>INGRESOS Y OTROS BENEFICIOS</t>
  </si>
  <si>
    <t>4 1</t>
  </si>
  <si>
    <t>INGRESOS DE GESTIÓN</t>
  </si>
  <si>
    <t>4 1 4</t>
  </si>
  <si>
    <t>DERECHOS</t>
  </si>
  <si>
    <t>4 1 4 3</t>
  </si>
  <si>
    <t>DERECHOS POR PRESTACIÓN DE SERVICIOS</t>
  </si>
  <si>
    <t>4 1 4 3 1</t>
  </si>
  <si>
    <t>DERECHOS POR PRESTACION DE SERVICIOS</t>
  </si>
  <si>
    <t>4 1 4 3 1 12</t>
  </si>
  <si>
    <t>4 1 4 3 1 12 31111</t>
  </si>
  <si>
    <t>4 1 4 3 1 12 31111 6</t>
  </si>
  <si>
    <t>4 1 4 3 1 12 31111 6 M78</t>
  </si>
  <si>
    <t>XXX CAMBIO DE ETIQUETA PRESUPUESTAL XXX</t>
  </si>
  <si>
    <t>4 1 4 3 1 12 31111 6 M78 07000</t>
  </si>
  <si>
    <t>4 1 4 3 1 12 31111 6 M78 07000 151</t>
  </si>
  <si>
    <t>4 1 4 3 1 12 31111 6 M78 07000 151 00E</t>
  </si>
  <si>
    <t>4 1 4 3 1 12 31111 6 M78 07000 151 00E 001</t>
  </si>
  <si>
    <t>GASTO CORRIENTE</t>
  </si>
  <si>
    <t>4 1 4 3 1 12 31111 6 M78 07000 151 00E 001 00043</t>
  </si>
  <si>
    <t>4 1 4 3 1 12 31111 6 M78 07000 151 00E 001 00043 011</t>
  </si>
  <si>
    <t>4 1 4 3 1 12 31111 6 M78 07000 151 00E 001 00043 011 1141000</t>
  </si>
  <si>
    <t>DERECHOS NO INCLUIDOS EN OTROS CONCEPTOS</t>
  </si>
  <si>
    <t>4 1 4 3 1 12 31111 6 M78 07000 151 00E 001 00043 011 1141000 2024</t>
  </si>
  <si>
    <t>EJERCICIO 2024</t>
  </si>
  <si>
    <t>4 1 4 3 1 12 31111 6 M78 07000 151 00E 001 00043 011 1141000 2024 00000000</t>
  </si>
  <si>
    <t>4 1 4 3 1 12 31111 6 M78 07000 151 00E 001 00043 011 1141000 2024 00000000 005</t>
  </si>
  <si>
    <t>4 1 4 3 1 12 31111 6 M78 07000 151 00E 001 00043 011 1141000 2024 00000000 005 001</t>
  </si>
  <si>
    <t>LICENCIAS PARA EJECUTAR RUPTURAS EN LA VIA PUBLICA.</t>
  </si>
  <si>
    <t>4 1 4 3 1 12 31111 6 M78 07000 151 00E 001 00043 011 1141000 2024 00000000 005 002</t>
  </si>
  <si>
    <t>POR CONCEPTO DE CONSTRUCCION DE BARDAS</t>
  </si>
  <si>
    <t>4 1 4 3 1 12 31111 6 M78 07000 151 00E 001 00043 011 1141000 2024 00000000 005 009</t>
  </si>
  <si>
    <t>CONEXION A LA RED DE AGUA POTABLE</t>
  </si>
  <si>
    <t>4 1 4 3 1 12 31111 6 M78 07000 151 00E 001 00043 011 1141000 2024 00000000 005 010</t>
  </si>
  <si>
    <t>POR LA CONEXION A LA RED DE DRENAJE</t>
  </si>
  <si>
    <t>4 1 4 3 1 12 31111 6 M78 07000 151 00E 001 00043 011 1141000 2024 00000000 005 020</t>
  </si>
  <si>
    <t>POR EXPEDICION INICIAL O REFRENDO DE LICENCIAS COMERCIALES EN LOCALES UBICADOS FUERA DEL MERCADO.</t>
  </si>
  <si>
    <t>4 1 4 3 1 12 31111 6 M78 07000 151 00E 001 00043 011 1141000 2024 00000000 005 022</t>
  </si>
  <si>
    <t>NACIMIENTOS, MATRIMONIOS Y OTROS REGISTROS.</t>
  </si>
  <si>
    <t>4 1 5</t>
  </si>
  <si>
    <t>PRODUCTOS</t>
  </si>
  <si>
    <t>4 1 5 1</t>
  </si>
  <si>
    <t>4 1 5 1 1</t>
  </si>
  <si>
    <t>PRODUCTOS DERIVADOS DEL USO Y APROVACHAMIENTO DE BIENES NO SUJETOS A REGIMEN DE DOMINIO PUBLICO</t>
  </si>
  <si>
    <t>4 1 5 1 1 12</t>
  </si>
  <si>
    <t>4 1 5 1 1 12 31111</t>
  </si>
  <si>
    <t>4 1 5 1 1 12 31111 6</t>
  </si>
  <si>
    <t>4 1 5 1 1 12 31111 6 M78</t>
  </si>
  <si>
    <t>4 1 5 1 1 12 31111 6 M78 07000</t>
  </si>
  <si>
    <t>4 1 5 1 1 12 31111 6 M78 07000 151</t>
  </si>
  <si>
    <t>4 1 5 1 1 12 31111 6 M78 07000 151 00E</t>
  </si>
  <si>
    <t>4 1 5 1 1 12 31111 6 M78 07000 151 00E 001</t>
  </si>
  <si>
    <t>4 1 5 1 1 12 31111 6 M78 07000 151 00E 001 00051</t>
  </si>
  <si>
    <t>4 1 5 1 1 12 31111 6 M78 07000 151 00E 001 00051 011</t>
  </si>
  <si>
    <t>4 1 5 1 1 12 31111 6 M78 07000 151 00E 001 00051 011 1142000</t>
  </si>
  <si>
    <t>PRODUCTOS CORRIENTES NO INCLUIDOS EN OTROS CONCEPTOS</t>
  </si>
  <si>
    <t>4 1 5 1 1 12 31111 6 M78 07000 151 00E 001 00051 011 1142000 2024</t>
  </si>
  <si>
    <t>4 1 5 1 1 12 31111 6 M78 07000 151 00E 001 00051 011 1142000 2024 00000000</t>
  </si>
  <si>
    <t>4 1 5 1 1 12 31111 6 M78 07000 151 00E 001 00051 011 1142000 2024 00000000 005</t>
  </si>
  <si>
    <t>4 1 5 1 1 12 31111 6 M78 07000 151 00E 001 00051 011 1142000 2024 00000000 005 005</t>
  </si>
  <si>
    <t>FORMAS DEL REGISTRO CIVIL</t>
  </si>
  <si>
    <t>4 1 6</t>
  </si>
  <si>
    <t>APROVECHAMIENTOS</t>
  </si>
  <si>
    <t>4 1 6 9</t>
  </si>
  <si>
    <t>OTROS APROVECHAMIENTOS</t>
  </si>
  <si>
    <t>4 1 6 9 1</t>
  </si>
  <si>
    <t>4 1 6 9 1 12</t>
  </si>
  <si>
    <t>4 1 6 9 1 12 31111</t>
  </si>
  <si>
    <t>4 1 6 9 1 12 31111 6</t>
  </si>
  <si>
    <t>4 1 6 9 1 12 31111 6 M78</t>
  </si>
  <si>
    <t>4 1 6 9 1 12 31111 6 M78 07000</t>
  </si>
  <si>
    <t>4 1 6 9 1 12 31111 6 M78 07000 151</t>
  </si>
  <si>
    <t>4 1 6 9 1 12 31111 6 M78 07000 151 00E</t>
  </si>
  <si>
    <t>4 1 6 9 1 12 31111 6 M78 07000 151 00E 001</t>
  </si>
  <si>
    <t>4 1 6 9 1 12 31111 6 M78 07000 151 00E 001 00061</t>
  </si>
  <si>
    <t>4 1 6 9 1 12 31111 6 M78 07000 151 00E 001 00061 011</t>
  </si>
  <si>
    <t>4 1 6 9 1 12 31111 6 M78 07000 151 00E 001 00061 011 1143000</t>
  </si>
  <si>
    <t>APROVECHAMIENTOS CORRIENTES NO INCLUIDOS EN OTROS CONCEPTOS</t>
  </si>
  <si>
    <t>4 1 6 9 1 12 31111 6 M78 07000 151 00E 001 00061 011 1143000 2024</t>
  </si>
  <si>
    <t>4 1 6 9 1 12 31111 6 M78 07000 151 00E 001 00061 011 1143000 2024 00000000</t>
  </si>
  <si>
    <t>4 1 6 9 1 12 31111 6 M78 07000 151 00E 001 00061 011 1143000 2024 00000000 005</t>
  </si>
  <si>
    <t>4 1 6 9 1 12 31111 6 M78 07000 151 00E 001 00061 011 1143000 2024 00000000 005 005</t>
  </si>
  <si>
    <t>INTERESES POR PRODUCTOS FINANCIEROS</t>
  </si>
  <si>
    <t>5</t>
  </si>
  <si>
    <t>GASTOS Y OTRAS PÉRDIDAS</t>
  </si>
  <si>
    <t>5 1</t>
  </si>
  <si>
    <t>GASTOS DE FUNCIONAMIENTO</t>
  </si>
  <si>
    <t>5 1 2</t>
  </si>
  <si>
    <t>MATERIALES Y SUMINISTROS</t>
  </si>
  <si>
    <t>5 1 2 1</t>
  </si>
  <si>
    <t>MATERIALES DE ADMINISTRACIÓN, EMISIÓN DE DOCUMENTOS Y ARTÍCULOS OFICIALES</t>
  </si>
  <si>
    <t>5 1 2 1 1</t>
  </si>
  <si>
    <t>MATERIALES, ÚTILES Y EQUIPOS MENORES DE OFICINA</t>
  </si>
  <si>
    <t>5 1 2 1 1 12</t>
  </si>
  <si>
    <t>5 1 2 1 1 12 31111</t>
  </si>
  <si>
    <t>5 1 2 1 1 12 31111 6</t>
  </si>
  <si>
    <t>5 1 2 1 1 12 31111 6 M78</t>
  </si>
  <si>
    <t>5 1 2 1 1 12 31111 6 M78 07000</t>
  </si>
  <si>
    <t>5 1 2 1 1 12 31111 6 M78 07000 151</t>
  </si>
  <si>
    <t>5 1 2 1 1 12 31111 6 M78 07000 151 00E</t>
  </si>
  <si>
    <t>5 1 2 1 1 12 31111 6 M78 07000 151 00E 001</t>
  </si>
  <si>
    <t>5 1 2 1 1 12 31111 6 M78 07000 151 00E 001 21101</t>
  </si>
  <si>
    <t>MATERIALES Y ÚTILES DE OFICINA</t>
  </si>
  <si>
    <t>5 1 2 1 1 12 31111 6 M78 07000 151 00E 001 21101 011</t>
  </si>
  <si>
    <t>5 1 2 1 1 12 31111 6 M78 07000 151 00E 001 21101 011 2112000</t>
  </si>
  <si>
    <t>5 1 2 1 1 12 31111 6 M78 07000 151 00E 001 21101 011 2112000 2024</t>
  </si>
  <si>
    <t>5 1 2 1 1 12 31111 6 M78 07000 151 00E 001 21101 011 2112000 2024 00000000</t>
  </si>
  <si>
    <t>5 1 2 1 1 12 31111 6 M78 07000 151 00E 001 21101 011 2112000 2024 00000000 005</t>
  </si>
  <si>
    <t>5 1 2 1 1 12 31111 6 M78 07000 151 00E 001 21101 011 2112000 2024 00000000 005 001</t>
  </si>
  <si>
    <t>5 1 2 6</t>
  </si>
  <si>
    <t>COMBUSTIBLES, LUBRICANTES Y ADITIVOS</t>
  </si>
  <si>
    <t>5 1 2 6 1</t>
  </si>
  <si>
    <t>5 1 2 6 1 12</t>
  </si>
  <si>
    <t>5 1 2 6 1 12 31111</t>
  </si>
  <si>
    <t>5 1 2 6 1 12 31111 6</t>
  </si>
  <si>
    <t>5 1 2 6 1 12 31111 6 M78</t>
  </si>
  <si>
    <t>5 1 2 6 1 12 31111 6 M78 07000</t>
  </si>
  <si>
    <t>5 1 2 6 1 12 31111 6 M78 07000 151</t>
  </si>
  <si>
    <t>5 1 2 6 1 12 31111 6 M78 07000 151 00E</t>
  </si>
  <si>
    <t>5 1 2 6 1 12 31111 6 M78 07000 151 00E 001</t>
  </si>
  <si>
    <t>5 1 2 6 1 12 31111 6 M78 07000 151 00E 001 26104</t>
  </si>
  <si>
    <t>COMBUSTIBLES, LUBRICANTES Y ADITIVOS PARA VEHÍCULOS TERRESTRES, AÉREOS, MARÍTIMOS, LACUSTRES Y FLUVIALES ASIGNADOS A SERVIDORES PÚBLICOS</t>
  </si>
  <si>
    <t>5 1 2 6 1 12 31111 6 M78 07000 151 00E 001 26104 011</t>
  </si>
  <si>
    <t>5 1 2 6 1 12 31111 6 M78 07000 151 00E 001 26104 011 2112000</t>
  </si>
  <si>
    <t>5 1 2 6 1 12 31111 6 M78 07000 151 00E 001 26104 011 2112000 2024</t>
  </si>
  <si>
    <t>5 1 2 6 1 12 31111 6 M78 07000 151 00E 001 26104 011 2112000 2024 00000000</t>
  </si>
  <si>
    <t>5 1 2 6 1 12 31111 6 M78 07000 151 00E 001 26104 011 2112000 2024 00000000 005</t>
  </si>
  <si>
    <t>5 1 2 6 1 12 31111 6 M78 07000 151 00E 001 26104 011 2112000 2024 00000000 005 001</t>
  </si>
  <si>
    <t>5 1 3</t>
  </si>
  <si>
    <t>SERVICIOS GENERALES</t>
  </si>
  <si>
    <t>5 1 3 5</t>
  </si>
  <si>
    <t>SERVICIOS DE INSTALACIÓN, REPARACIÓN, MANTENIMIENTO Y CONSERVACIÓN</t>
  </si>
  <si>
    <t>5 1 3 5 3</t>
  </si>
  <si>
    <t>INSTALACIÓN, REPARACIÓN Y MANTENIMIENTO DE EQUIPO DE CÓMPUTO Y TECNOLOGÍA DE LA INFORMACIÓN</t>
  </si>
  <si>
    <t>5 1 3 5 3 12</t>
  </si>
  <si>
    <t>5 1 3 5 3 12 31111</t>
  </si>
  <si>
    <t>5 1 3 5 3 12 31111 6</t>
  </si>
  <si>
    <t>5 1 3 5 3 12 31111 6 M78</t>
  </si>
  <si>
    <t>5 1 3 5 3 12 31111 6 M78 07000</t>
  </si>
  <si>
    <t>5 1 3 5 3 12 31111 6 M78 07000 151</t>
  </si>
  <si>
    <t>5 1 3 5 3 12 31111 6 M78 07000 151 00E</t>
  </si>
  <si>
    <t>5 1 3 5 3 12 31111 6 M78 07000 151 00E 001</t>
  </si>
  <si>
    <t>5 1 3 5 3 12 31111 6 M78 07000 151 00E 001 35301</t>
  </si>
  <si>
    <t>MANTENIMIENTO Y CONSERVACIÓN DE BIENES INFORMÁTICOS</t>
  </si>
  <si>
    <t>5 1 3 5 3 12 31111 6 M78 07000 151 00E 001 35301 011</t>
  </si>
  <si>
    <t>5 1 3 5 3 12 31111 6 M78 07000 151 00E 001 35301 011 2112000</t>
  </si>
  <si>
    <t>5 1 3 5 3 12 31111 6 M78 07000 151 00E 001 35301 011 2112000 2024</t>
  </si>
  <si>
    <t>5 1 3 5 3 12 31111 6 M78 07000 151 00E 001 35301 011 2112000 2024 00000000</t>
  </si>
  <si>
    <t>5 1 3 5 3 12 31111 6 M78 07000 151 00E 001 35301 011 2112000 2024 00000000 005</t>
  </si>
  <si>
    <t>5 1 3 5 3 12 31111 6 M78 07000 151 00E 001 35301 011 2112000 2024 00000000 005 001</t>
  </si>
  <si>
    <t>5 1 3 9</t>
  </si>
  <si>
    <t>OTROS SERVICIOS GENERALES</t>
  </si>
  <si>
    <t>5 1 3 9 2</t>
  </si>
  <si>
    <t>IMPUESTOS Y DERECHOS</t>
  </si>
  <si>
    <t>5 1 3 9 2 12</t>
  </si>
  <si>
    <t>5 1 3 9 2 12 31111</t>
  </si>
  <si>
    <t>5 1 3 9 2 12 31111 6</t>
  </si>
  <si>
    <t>5 1 3 9 2 12 31111 6 M78</t>
  </si>
  <si>
    <t>5 1 3 9 2 12 31111 6 M78 07000</t>
  </si>
  <si>
    <t>5 1 3 9 2 12 31111 6 M78 07000 151</t>
  </si>
  <si>
    <t>5 1 3 9 2 12 31111 6 M78 07000 151 00E</t>
  </si>
  <si>
    <t>5 1 3 9 2 12 31111 6 M78 07000 151 00E 001</t>
  </si>
  <si>
    <t>5 1 3 9 2 12 31111 6 M78 07000 151 00E 001 39202</t>
  </si>
  <si>
    <t>OTROS IMPUESTOS Y DERECHOS</t>
  </si>
  <si>
    <t>5 1 3 9 2 12 31111 6 M78 07000 151 00E 001 39202 011</t>
  </si>
  <si>
    <t>5 1 3 9 2 12 31111 6 M78 07000 151 00E 001 39202 011 2112000</t>
  </si>
  <si>
    <t>5 1 3 9 2 12 31111 6 M78 07000 151 00E 001 39202 011 2112000 2024</t>
  </si>
  <si>
    <t>5 1 3 9 2 12 31111 6 M78 07000 151 00E 001 39202 011 2112000 2024 00000000</t>
  </si>
  <si>
    <t>5 1 3 9 2 12 31111 6 M78 07000 151 00E 001 39202 011 2112000 2024 00000000 005</t>
  </si>
  <si>
    <t>5 1 3 9 2 12 31111 6 M78 07000 151 00E 001 39202 011 2112000 2024 00000000 005 001</t>
  </si>
  <si>
    <t>8</t>
  </si>
  <si>
    <t>CUENTAS DE ORDEN PRESUPUESTARIAS</t>
  </si>
  <si>
    <t>8 1</t>
  </si>
  <si>
    <t>LEY DE INGRESOS</t>
  </si>
  <si>
    <t>8 1 1</t>
  </si>
  <si>
    <t>LEY DE INGRESOS ESTIMADA</t>
  </si>
  <si>
    <t>8 1 2</t>
  </si>
  <si>
    <t>LEY DE INGRESOS POR EJECUTAR</t>
  </si>
  <si>
    <t>8 1 3</t>
  </si>
  <si>
    <t>MODIFICACIONES A LA LEY DE INGRESOS ESTIMADA</t>
  </si>
  <si>
    <t>8 1 4</t>
  </si>
  <si>
    <t>LEY DE INGRESOS DEVENGADA</t>
  </si>
  <si>
    <t>8 1 5</t>
  </si>
  <si>
    <t>LEY DE INGRESOS RECAUDADA</t>
  </si>
  <si>
    <t>8 2</t>
  </si>
  <si>
    <t>PRESUPUESTO DE EGRESOS</t>
  </si>
  <si>
    <t>8 2 1</t>
  </si>
  <si>
    <t>PRESUPUESTO DE EGRESOS APROBADO</t>
  </si>
  <si>
    <t>8 2 2</t>
  </si>
  <si>
    <t>PRESUPUESTO DE EGRESOS POR EJERCER</t>
  </si>
  <si>
    <t>8 2 3</t>
  </si>
  <si>
    <t>MODIFICACIONES AL PRESUPUESTO DE EGRESOS APROBADO</t>
  </si>
  <si>
    <t>8 2 4</t>
  </si>
  <si>
    <t>PRESUPUESTO DE EGRESOS COMPROMETIDO</t>
  </si>
  <si>
    <t>8 2 5</t>
  </si>
  <si>
    <t>PRESUPUESTO DE EGRESOS DEVENGADO</t>
  </si>
  <si>
    <t>8 2 6</t>
  </si>
  <si>
    <t>PRESUPUESTO DE EGRESOS EJERCIDO</t>
  </si>
  <si>
    <t>8 2 7</t>
  </si>
  <si>
    <t>PRESUPUESTO DE EGRESOS 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</si>
</sst>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9"/>
      <color indexed="8"/>
      <name val="Arial Narrow"/>
      <family val="2"/>
    </font>
    <font>
      <b/>
      <sz val="7"/>
      <color indexed="8"/>
      <name val="Arial Narrow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2E2E2"/>
        <bgColor indexed="64"/>
      </patternFill>
    </fill>
    <fill>
      <patternFill patternType="none">
        <fgColor rgb="FFE2E2E2"/>
      </patternFill>
    </fill>
    <fill>
      <patternFill patternType="solid">
        <fgColor rgb="FFE2E2E2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6" fillId="0" borderId="0" xfId="0" applyFont="1" applyAlignment="1">
      <alignment horizontal="center" vertical="top"/>
    </xf>
    <xf numFmtId="0" fontId="0" fillId="0" borderId="1" xfId="0" applyBorder="1"/>
    <xf numFmtId="0" fontId="0" fillId="0" borderId="4" xfId="0" applyBorder="1"/>
    <xf numFmtId="0" fontId="2" fillId="0" borderId="5" xfId="0" applyFont="1" applyBorder="1" applyAlignment="1">
      <alignment vertical="top"/>
    </xf>
    <xf numFmtId="0" fontId="3" fillId="0" borderId="3" xfId="0" applyFont="1" applyBorder="1"/>
    <xf numFmtId="0" fontId="3" fillId="0" borderId="6" xfId="0" applyFont="1" applyBorder="1" applyAlignment="1">
      <alignment vertical="top"/>
    </xf>
    <xf numFmtId="0" fontId="3" fillId="0" borderId="7" xfId="0" applyFont="1" applyBorder="1"/>
    <xf numFmtId="0" fontId="8" fillId="0" borderId="2" xfId="0" applyFont="1" applyBorder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8" xfId="0" applyFont="1" applyBorder="1" applyAlignment="1">
      <alignment vertical="top"/>
    </xf>
    <xf numFmtId="0" fontId="9" fillId="0" borderId="8" xfId="0" applyFont="1" applyBorder="1" applyAlignment="1">
      <alignment vertical="top" wrapText="1"/>
    </xf>
    <xf numFmtId="4" fontId="9" fillId="0" borderId="5" xfId="0" applyNumberFormat="1" applyFont="1" applyBorder="1" applyAlignment="1">
      <alignment horizontal="center"/>
    </xf>
    <xf numFmtId="4" fontId="9" fillId="0" borderId="6" xfId="0" applyNumberFormat="1" applyFont="1" applyBorder="1" applyAlignment="1">
      <alignment horizontal="center"/>
    </xf>
    <xf numFmtId="4" fontId="9" fillId="0" borderId="8" xfId="0" applyNumberFormat="1" applyFont="1" applyBorder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wrapText="1"/>
    </xf>
    <xf numFmtId="4" fontId="2" fillId="2" borderId="0" xfId="0" applyNumberFormat="1" applyFont="1" applyFill="1"/>
    <xf numFmtId="0" fontId="0" fillId="2" borderId="0" xfId="0" applyFill="1"/>
    <xf numFmtId="0" fontId="1" fillId="2" borderId="0" xfId="0" applyFont="1" applyFill="1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left" vertical="center"/>
    </xf>
    <xf numFmtId="0" fontId="13" fillId="0" borderId="11" xfId="0" applyFont="1" applyBorder="1" applyAlignment="1">
      <alignment horizontal="left" vertical="center" wrapText="1"/>
    </xf>
    <xf numFmtId="4" fontId="15" fillId="0" borderId="11" xfId="0" applyNumberFormat="1" applyFont="1" applyBorder="1" applyAlignment="1">
      <alignment horizontal="right" vertical="center"/>
    </xf>
    <xf numFmtId="0" fontId="0" fillId="0" borderId="11" xfId="0" applyBorder="1"/>
    <xf numFmtId="0" fontId="2" fillId="0" borderId="11" xfId="0" applyFont="1" applyBorder="1" applyAlignment="1">
      <alignment vertical="top"/>
    </xf>
    <xf numFmtId="0" fontId="11" fillId="0" borderId="11" xfId="0" applyFont="1" applyBorder="1" applyAlignment="1">
      <alignment horizontal="left" vertical="center" wrapText="1"/>
    </xf>
    <xf numFmtId="4" fontId="14" fillId="0" borderId="11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vertical="top" wrapText="1"/>
    </xf>
    <xf numFmtId="4" fontId="2" fillId="0" borderId="11" xfId="0" applyNumberFormat="1" applyFont="1" applyBorder="1" applyAlignment="1">
      <alignment vertical="top"/>
    </xf>
    <xf numFmtId="4" fontId="16" fillId="4" borderId="11" xfId="0" applyNumberFormat="1" applyFont="1" applyFill="1" applyBorder="1" applyAlignment="1">
      <alignment horizontal="right" vertical="center"/>
    </xf>
    <xf numFmtId="0" fontId="3" fillId="3" borderId="0" xfId="0" quotePrefix="1" applyFont="1" applyFill="1" applyAlignment="1">
      <alignment vertical="top"/>
    </xf>
    <xf numFmtId="4" fontId="3" fillId="0" borderId="0" xfId="0" quotePrefix="1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0" fontId="2" fillId="3" borderId="0" xfId="0" quotePrefix="1" applyFont="1" applyFill="1" applyAlignment="1">
      <alignment vertical="top"/>
    </xf>
    <xf numFmtId="4" fontId="2" fillId="0" borderId="0" xfId="0" quotePrefix="1" applyNumberFormat="1" applyFont="1" applyAlignment="1">
      <alignment vertical="top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2E2E2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295</xdr:row>
      <xdr:rowOff>0</xdr:rowOff>
    </xdr:from>
    <xdr:to>
      <xdr:col>2</xdr:col>
      <xdr:colOff>809625</xdr:colOff>
      <xdr:row>301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EE0D195-5BDF-4F4B-99C3-87C4830B4DC5}"/>
            </a:ext>
          </a:extLst>
        </xdr:cNvPr>
        <xdr:cNvSpPr txBox="1">
          <a:spLocks noChangeArrowheads="1"/>
        </xdr:cNvSpPr>
      </xdr:nvSpPr>
      <xdr:spPr bwMode="auto">
        <a:xfrm>
          <a:off x="47625" y="195853050"/>
          <a:ext cx="1905000" cy="857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Autorizò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Orquidia Hernàndez Mendoza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Presidenta Municipal Constitucional</a:t>
          </a:r>
        </a:p>
      </xdr:txBody>
    </xdr:sp>
    <xdr:clientData/>
  </xdr:twoCellAnchor>
  <xdr:twoCellAnchor>
    <xdr:from>
      <xdr:col>2</xdr:col>
      <xdr:colOff>1485900</xdr:colOff>
      <xdr:row>295</xdr:row>
      <xdr:rowOff>28575</xdr:rowOff>
    </xdr:from>
    <xdr:to>
      <xdr:col>3</xdr:col>
      <xdr:colOff>314325</xdr:colOff>
      <xdr:row>300</xdr:row>
      <xdr:rowOff>104775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87F3110A-8179-445C-A58E-2D906AE1F18B}"/>
            </a:ext>
          </a:extLst>
        </xdr:cNvPr>
        <xdr:cNvSpPr txBox="1">
          <a:spLocks noChangeArrowheads="1"/>
        </xdr:cNvSpPr>
      </xdr:nvSpPr>
      <xdr:spPr bwMode="auto">
        <a:xfrm>
          <a:off x="2628900" y="195881625"/>
          <a:ext cx="1733550" cy="790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Vo.   Bo.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Ing. Salvador Flores Castillo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Sìndico Procurador Municipal</a:t>
          </a:r>
        </a:p>
      </xdr:txBody>
    </xdr:sp>
    <xdr:clientData/>
  </xdr:twoCellAnchor>
  <xdr:twoCellAnchor>
    <xdr:from>
      <xdr:col>4</xdr:col>
      <xdr:colOff>161925</xdr:colOff>
      <xdr:row>295</xdr:row>
      <xdr:rowOff>38100</xdr:rowOff>
    </xdr:from>
    <xdr:to>
      <xdr:col>6</xdr:col>
      <xdr:colOff>209550</xdr:colOff>
      <xdr:row>301</xdr:row>
      <xdr:rowOff>19050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5A9E01-9DA1-469D-96E2-8A7D7039C067}"/>
            </a:ext>
          </a:extLst>
        </xdr:cNvPr>
        <xdr:cNvSpPr txBox="1">
          <a:spLocks noChangeArrowheads="1"/>
        </xdr:cNvSpPr>
      </xdr:nvSpPr>
      <xdr:spPr bwMode="auto">
        <a:xfrm>
          <a:off x="5095875" y="195891150"/>
          <a:ext cx="1819275" cy="838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Elaborò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Lic. Alberto Castro Flores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Tesorero Municipal</a:t>
          </a:r>
        </a:p>
      </xdr:txBody>
    </xdr:sp>
    <xdr:clientData/>
  </xdr:twoCellAnchor>
  <xdr:twoCellAnchor>
    <xdr:from>
      <xdr:col>6</xdr:col>
      <xdr:colOff>638176</xdr:colOff>
      <xdr:row>295</xdr:row>
      <xdr:rowOff>28575</xdr:rowOff>
    </xdr:from>
    <xdr:to>
      <xdr:col>8</xdr:col>
      <xdr:colOff>685800</xdr:colOff>
      <xdr:row>301</xdr:row>
      <xdr:rowOff>15875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10A2ABBC-196C-4135-9ECB-296A056F818B}"/>
            </a:ext>
          </a:extLst>
        </xdr:cNvPr>
        <xdr:cNvSpPr txBox="1">
          <a:spLocks noChangeArrowheads="1"/>
        </xdr:cNvSpPr>
      </xdr:nvSpPr>
      <xdr:spPr bwMode="auto">
        <a:xfrm>
          <a:off x="7343776" y="195881625"/>
          <a:ext cx="1819274" cy="844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Revisò</a:t>
          </a: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MX" sz="7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__________________________________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L.C. Erick Josué Riíos García</a:t>
          </a:r>
        </a:p>
        <a:p>
          <a:pPr algn="ctr" rtl="0">
            <a:defRPr sz="1000"/>
          </a:pPr>
          <a:r>
            <a:rPr lang="es-MX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Titular del Òrgano Interno de Control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2"/>
  <sheetViews>
    <sheetView tabSelected="1" view="pageBreakPreview" topLeftCell="A254" zoomScale="60" zoomScaleNormal="100" workbookViewId="0">
      <selection activeCell="T298" sqref="T298"/>
    </sheetView>
  </sheetViews>
  <sheetFormatPr baseColWidth="10" defaultColWidth="9.1640625" defaultRowHeight="11" x14ac:dyDescent="0.15"/>
  <cols>
    <col min="1" max="1" width="0.6640625" style="2" customWidth="1" collapsed="1"/>
    <col min="2" max="2" width="16.5" style="2" customWidth="1" collapsed="1"/>
    <col min="3" max="3" width="41.83203125" style="5" customWidth="1" collapsed="1"/>
    <col min="4" max="6" width="13.33203125" style="4" customWidth="1" collapsed="1"/>
    <col min="7" max="7" width="13.33203125" style="2" customWidth="1" collapsed="1"/>
    <col min="8" max="8" width="13.33203125" style="5" customWidth="1" collapsed="1"/>
    <col min="9" max="9" width="13.33203125" style="4" customWidth="1" collapsed="1"/>
    <col min="10" max="10" width="0.6640625" style="2" customWidth="1" collapsed="1"/>
    <col min="11" max="11" width="13.6640625" style="2" hidden="1" customWidth="1" collapsed="1"/>
    <col min="12" max="13" width="0" style="2" hidden="1" customWidth="1" collapsed="1"/>
    <col min="14" max="16384" width="9.1640625" style="2" collapsed="1"/>
  </cols>
  <sheetData>
    <row r="1" spans="1:11" s="3" customFormat="1" ht="5.25" customHeight="1" x14ac:dyDescent="0.15">
      <c r="A1" s="20"/>
      <c r="B1" s="21"/>
      <c r="C1" s="22"/>
      <c r="D1" s="23"/>
      <c r="E1" s="23"/>
      <c r="F1" s="23"/>
      <c r="G1" s="21"/>
      <c r="H1" s="22"/>
      <c r="I1" s="23"/>
      <c r="J1" s="20"/>
    </row>
    <row r="2" spans="1:11" customFormat="1" ht="13.5" customHeight="1" x14ac:dyDescent="0.15">
      <c r="A2" s="24"/>
      <c r="B2" s="49" t="s">
        <v>7</v>
      </c>
      <c r="C2" s="49"/>
      <c r="D2" s="49"/>
      <c r="E2" s="49"/>
      <c r="F2" s="49"/>
      <c r="G2" s="49"/>
      <c r="H2" s="49"/>
      <c r="I2" s="49"/>
      <c r="J2" s="24"/>
    </row>
    <row r="3" spans="1:11" s="1" customFormat="1" ht="13.5" customHeight="1" x14ac:dyDescent="0.15">
      <c r="A3" s="25"/>
      <c r="B3" s="50" t="s">
        <v>8</v>
      </c>
      <c r="C3" s="50"/>
      <c r="D3" s="50"/>
      <c r="E3" s="50"/>
      <c r="F3" s="50"/>
      <c r="G3" s="50"/>
      <c r="H3" s="50"/>
      <c r="I3" s="50"/>
      <c r="J3" s="25"/>
    </row>
    <row r="4" spans="1:11" s="1" customFormat="1" ht="13.5" customHeight="1" x14ac:dyDescent="0.15">
      <c r="A4" s="25"/>
      <c r="B4" s="48" t="s">
        <v>9</v>
      </c>
      <c r="C4" s="48"/>
      <c r="D4" s="48"/>
      <c r="E4" s="48"/>
      <c r="F4" s="48"/>
      <c r="G4" s="48"/>
      <c r="H4" s="48"/>
      <c r="I4" s="48"/>
      <c r="J4" s="25"/>
    </row>
    <row r="5" spans="1:11" s="1" customFormat="1" ht="13.5" customHeight="1" x14ac:dyDescent="0.15">
      <c r="A5" s="25"/>
      <c r="B5" s="48" t="s">
        <v>10</v>
      </c>
      <c r="C5" s="48"/>
      <c r="D5" s="48"/>
      <c r="E5" s="48"/>
      <c r="F5" s="48"/>
      <c r="G5" s="48"/>
      <c r="H5" s="48"/>
      <c r="I5" s="48"/>
      <c r="J5" s="25"/>
    </row>
    <row r="6" spans="1:11" customFormat="1" ht="13.5" customHeight="1" x14ac:dyDescent="0.15">
      <c r="A6" s="24"/>
      <c r="B6" s="51" t="s">
        <v>11</v>
      </c>
      <c r="C6" s="51"/>
      <c r="D6" s="51"/>
      <c r="E6" s="51"/>
      <c r="F6" s="51"/>
      <c r="G6" s="51"/>
      <c r="H6" s="51"/>
      <c r="I6" s="51"/>
      <c r="J6" s="24"/>
    </row>
    <row r="7" spans="1:11" customFormat="1" ht="13.5" customHeight="1" x14ac:dyDescent="0.15">
      <c r="A7" s="24"/>
      <c r="B7" s="48"/>
      <c r="C7" s="48"/>
      <c r="D7" s="48"/>
      <c r="E7" s="48"/>
      <c r="F7" s="48"/>
      <c r="G7" s="48"/>
      <c r="H7" s="48"/>
      <c r="I7" s="48"/>
      <c r="J7" s="24"/>
    </row>
    <row r="8" spans="1:11" customFormat="1" ht="8.25" customHeight="1" x14ac:dyDescent="0.15">
      <c r="B8" s="6"/>
      <c r="C8" s="6"/>
      <c r="D8" s="6"/>
      <c r="E8" s="6"/>
      <c r="F8" s="6"/>
      <c r="G8" s="6"/>
      <c r="H8" s="6"/>
      <c r="I8" s="6"/>
    </row>
    <row r="9" spans="1:11" customFormat="1" ht="13" x14ac:dyDescent="0.15">
      <c r="A9" s="7"/>
      <c r="B9" s="13"/>
      <c r="C9" s="13"/>
      <c r="D9" s="45" t="s">
        <v>6</v>
      </c>
      <c r="E9" s="46"/>
      <c r="F9" s="45" t="s">
        <v>5</v>
      </c>
      <c r="G9" s="46"/>
      <c r="H9" s="47" t="s">
        <v>4</v>
      </c>
      <c r="I9" s="47"/>
      <c r="J9" s="10"/>
    </row>
    <row r="10" spans="1:11" customFormat="1" ht="13" x14ac:dyDescent="0.15">
      <c r="A10" s="8"/>
      <c r="B10" s="14" t="s">
        <v>2</v>
      </c>
      <c r="C10" s="26" t="s">
        <v>3</v>
      </c>
      <c r="D10" s="42" t="s">
        <v>12</v>
      </c>
      <c r="E10" s="43"/>
      <c r="F10" s="42" t="s">
        <v>13</v>
      </c>
      <c r="G10" s="43"/>
      <c r="H10" s="44" t="s">
        <v>14</v>
      </c>
      <c r="I10" s="44"/>
      <c r="J10" s="12"/>
    </row>
    <row r="11" spans="1:11" x14ac:dyDescent="0.15">
      <c r="A11" s="9"/>
      <c r="B11" s="15"/>
      <c r="C11" s="16"/>
      <c r="D11" s="17" t="s">
        <v>0</v>
      </c>
      <c r="E11" s="18" t="s">
        <v>1</v>
      </c>
      <c r="F11" s="17" t="s">
        <v>0</v>
      </c>
      <c r="G11" s="18" t="s">
        <v>1</v>
      </c>
      <c r="H11" s="19" t="s">
        <v>0</v>
      </c>
      <c r="I11" s="19" t="s">
        <v>1</v>
      </c>
      <c r="J11" s="11"/>
    </row>
    <row r="12" spans="1:11" ht="13" x14ac:dyDescent="0.15">
      <c r="B12" s="28" t="s">
        <v>15</v>
      </c>
      <c r="C12" s="28" t="s">
        <v>16</v>
      </c>
      <c r="D12" s="29">
        <f>SUMIFS(D13:D286,K13:K286,"0",B13:B286,"1*")-SUMIFS(E13:E286,K13:K286,"0",B13:B286,"1*")</f>
        <v>76684.45</v>
      </c>
      <c r="E12" s="30"/>
      <c r="F12" s="29">
        <f>SUMIFS(F13:F286,K13:K286,"0",B13:B286,"1*")</f>
        <v>237189.68</v>
      </c>
      <c r="G12" s="29">
        <f>SUMIFS(G13:G286,K13:K286,"0",B13:B286,"1*")</f>
        <v>190084.56</v>
      </c>
      <c r="H12" s="29">
        <f t="shared" ref="H12:H43" si="0">D12 + F12 - G12</f>
        <v>123789.57</v>
      </c>
      <c r="I12" s="29"/>
      <c r="J12" s="31"/>
      <c r="K12" t="s">
        <v>15</v>
      </c>
    </row>
    <row r="13" spans="1:11" ht="13" x14ac:dyDescent="0.15">
      <c r="B13" s="28" t="s">
        <v>17</v>
      </c>
      <c r="C13" s="28" t="s">
        <v>18</v>
      </c>
      <c r="D13" s="29">
        <f>SUMIFS(D14:D286,K14:K286,"0",B14:B286,"1 1*")-SUMIFS(E14:E286,K14:K286,"0",B14:B286,"1 1*")</f>
        <v>10185.450000000001</v>
      </c>
      <c r="E13" s="30"/>
      <c r="F13" s="29">
        <f>SUMIFS(F14:F286,K14:K286,"0",B14:B286,"1 1*")</f>
        <v>237189.68</v>
      </c>
      <c r="G13" s="29">
        <f>SUMIFS(G14:G286,K14:K286,"0",B14:B286,"1 1*")</f>
        <v>190084.56</v>
      </c>
      <c r="H13" s="29">
        <f t="shared" si="0"/>
        <v>57290.570000000007</v>
      </c>
      <c r="I13" s="29"/>
      <c r="J13" s="31"/>
      <c r="K13" t="s">
        <v>15</v>
      </c>
    </row>
    <row r="14" spans="1:11" ht="13" x14ac:dyDescent="0.15">
      <c r="B14" s="28" t="s">
        <v>19</v>
      </c>
      <c r="C14" s="28" t="s">
        <v>20</v>
      </c>
      <c r="D14" s="29">
        <f>SUMIFS(D15:D286,K15:K286,"0",B15:B286,"1 1 1*")-SUMIFS(E15:E286,K15:K286,"0",B15:B286,"1 1 1*")</f>
        <v>12.35</v>
      </c>
      <c r="E14" s="30"/>
      <c r="F14" s="29">
        <f>SUMIFS(F15:F286,K15:K286,"0",B15:B286,"1 1 1*")</f>
        <v>109902.93</v>
      </c>
      <c r="G14" s="29">
        <f>SUMIFS(G15:G286,K15:K286,"0",B15:B286,"1 1 1*")</f>
        <v>82797.81</v>
      </c>
      <c r="H14" s="29">
        <f t="shared" si="0"/>
        <v>27117.47</v>
      </c>
      <c r="I14" s="29"/>
      <c r="J14" s="31"/>
      <c r="K14" t="s">
        <v>15</v>
      </c>
    </row>
    <row r="15" spans="1:11" ht="13" x14ac:dyDescent="0.15">
      <c r="B15" s="28" t="s">
        <v>21</v>
      </c>
      <c r="C15" s="28" t="s">
        <v>22</v>
      </c>
      <c r="D15" s="29">
        <f>SUMIFS(D16:D286,K16:K286,"0",B16:B286,"1 1 1 2*")-SUMIFS(E16:E286,K16:K286,"0",B16:B286,"1 1 1 2*")</f>
        <v>12.35</v>
      </c>
      <c r="E15" s="30"/>
      <c r="F15" s="29">
        <f>SUMIFS(F16:F286,K16:K286,"0",B16:B286,"1 1 1 2*")</f>
        <v>109902.93</v>
      </c>
      <c r="G15" s="29">
        <f>SUMIFS(G16:G286,K16:K286,"0",B16:B286,"1 1 1 2*")</f>
        <v>82797.81</v>
      </c>
      <c r="H15" s="29">
        <f t="shared" si="0"/>
        <v>27117.47</v>
      </c>
      <c r="I15" s="29"/>
      <c r="J15" s="31"/>
      <c r="K15" t="s">
        <v>15</v>
      </c>
    </row>
    <row r="16" spans="1:11" ht="13" x14ac:dyDescent="0.15">
      <c r="B16" s="28" t="s">
        <v>23</v>
      </c>
      <c r="C16" s="28" t="s">
        <v>24</v>
      </c>
      <c r="D16" s="29">
        <f>SUMIFS(D17:D286,K17:K286,"0",B17:B286,"1 1 1 2 1*")-SUMIFS(E17:E286,K17:K286,"0",B17:B286,"1 1 1 2 1*")</f>
        <v>12.35</v>
      </c>
      <c r="E16" s="30"/>
      <c r="F16" s="29">
        <f>SUMIFS(F17:F286,K17:K286,"0",B17:B286,"1 1 1 2 1*")</f>
        <v>109902.93</v>
      </c>
      <c r="G16" s="29">
        <f>SUMIFS(G17:G286,K17:K286,"0",B17:B286,"1 1 1 2 1*")</f>
        <v>82797.81</v>
      </c>
      <c r="H16" s="29">
        <f t="shared" si="0"/>
        <v>27117.47</v>
      </c>
      <c r="I16" s="29"/>
      <c r="J16" s="31"/>
      <c r="K16" t="s">
        <v>15</v>
      </c>
    </row>
    <row r="17" spans="2:11" ht="13" x14ac:dyDescent="0.15">
      <c r="B17" s="28" t="s">
        <v>25</v>
      </c>
      <c r="C17" s="28" t="s">
        <v>26</v>
      </c>
      <c r="D17" s="29">
        <f>SUMIFS(D18:D286,K18:K286,"0",B18:B286,"1 1 1 2 1 12*")-SUMIFS(E18:E286,K18:K286,"0",B18:B286,"1 1 1 2 1 12*")</f>
        <v>12.35</v>
      </c>
      <c r="E17" s="30"/>
      <c r="F17" s="29">
        <f>SUMIFS(F18:F286,K18:K286,"0",B18:B286,"1 1 1 2 1 12*")</f>
        <v>109902.93</v>
      </c>
      <c r="G17" s="29">
        <f>SUMIFS(G18:G286,K18:K286,"0",B18:B286,"1 1 1 2 1 12*")</f>
        <v>82797.81</v>
      </c>
      <c r="H17" s="29">
        <f t="shared" si="0"/>
        <v>27117.47</v>
      </c>
      <c r="I17" s="29"/>
      <c r="J17" s="31"/>
      <c r="K17" t="s">
        <v>15</v>
      </c>
    </row>
    <row r="18" spans="2:11" ht="13" x14ac:dyDescent="0.15">
      <c r="B18" s="28" t="s">
        <v>27</v>
      </c>
      <c r="C18" s="28" t="s">
        <v>28</v>
      </c>
      <c r="D18" s="29">
        <f>SUMIFS(D19:D286,K19:K286,"0",B19:B286,"1 1 1 2 1 12 31111*")-SUMIFS(E19:E286,K19:K286,"0",B19:B286,"1 1 1 2 1 12 31111*")</f>
        <v>12.35</v>
      </c>
      <c r="E18" s="30"/>
      <c r="F18" s="29">
        <f>SUMIFS(F19:F286,K19:K286,"0",B19:B286,"1 1 1 2 1 12 31111*")</f>
        <v>109902.93</v>
      </c>
      <c r="G18" s="29">
        <f>SUMIFS(G19:G286,K19:K286,"0",B19:B286,"1 1 1 2 1 12 31111*")</f>
        <v>82797.81</v>
      </c>
      <c r="H18" s="29">
        <f t="shared" si="0"/>
        <v>27117.47</v>
      </c>
      <c r="I18" s="29"/>
      <c r="J18" s="31"/>
      <c r="K18" t="s">
        <v>15</v>
      </c>
    </row>
    <row r="19" spans="2:11" ht="13" x14ac:dyDescent="0.15">
      <c r="B19" s="28" t="s">
        <v>29</v>
      </c>
      <c r="C19" s="28" t="s">
        <v>30</v>
      </c>
      <c r="D19" s="29">
        <f>SUMIFS(D20:D286,K20:K286,"0",B20:B286,"1 1 1 2 1 12 31111 6*")-SUMIFS(E20:E286,K20:K286,"0",B20:B286,"1 1 1 2 1 12 31111 6*")</f>
        <v>12.35</v>
      </c>
      <c r="E19" s="30"/>
      <c r="F19" s="29">
        <f>SUMIFS(F20:F286,K20:K286,"0",B20:B286,"1 1 1 2 1 12 31111 6*")</f>
        <v>109902.93</v>
      </c>
      <c r="G19" s="29">
        <f>SUMIFS(G20:G286,K20:K286,"0",B20:B286,"1 1 1 2 1 12 31111 6*")</f>
        <v>82797.81</v>
      </c>
      <c r="H19" s="29">
        <f t="shared" si="0"/>
        <v>27117.47</v>
      </c>
      <c r="I19" s="29"/>
      <c r="J19" s="31"/>
      <c r="K19" t="s">
        <v>15</v>
      </c>
    </row>
    <row r="20" spans="2:11" ht="13" x14ac:dyDescent="0.15">
      <c r="B20" s="28" t="s">
        <v>31</v>
      </c>
      <c r="C20" s="28" t="s">
        <v>32</v>
      </c>
      <c r="D20" s="29">
        <f>SUMIFS(D21:D286,K21:K286,"0",B21:B286,"1 1 1 2 1 12 31111 6 M78*")-SUMIFS(E21:E286,K21:K286,"0",B21:B286,"1 1 1 2 1 12 31111 6 M78*")</f>
        <v>12.35</v>
      </c>
      <c r="E20" s="30"/>
      <c r="F20" s="29">
        <f>SUMIFS(F21:F286,K21:K286,"0",B21:B286,"1 1 1 2 1 12 31111 6 M78*")</f>
        <v>109902.93</v>
      </c>
      <c r="G20" s="29">
        <f>SUMIFS(G21:G286,K21:K286,"0",B21:B286,"1 1 1 2 1 12 31111 6 M78*")</f>
        <v>82797.81</v>
      </c>
      <c r="H20" s="29">
        <f t="shared" si="0"/>
        <v>27117.47</v>
      </c>
      <c r="I20" s="29"/>
      <c r="J20" s="31"/>
      <c r="K20" t="s">
        <v>15</v>
      </c>
    </row>
    <row r="21" spans="2:11" ht="13" x14ac:dyDescent="0.15">
      <c r="B21" s="28" t="s">
        <v>33</v>
      </c>
      <c r="C21" s="28" t="s">
        <v>34</v>
      </c>
      <c r="D21" s="29">
        <f>SUMIFS(D22:D286,K22:K286,"0",B22:B286,"1 1 1 2 1 12 31111 6 M78 00005*")-SUMIFS(E22:E286,K22:K286,"0",B22:B286,"1 1 1 2 1 12 31111 6 M78 00005*")</f>
        <v>12.35</v>
      </c>
      <c r="E21" s="30"/>
      <c r="F21" s="29">
        <f>SUMIFS(F22:F286,K22:K286,"0",B22:B286,"1 1 1 2 1 12 31111 6 M78 00005*")</f>
        <v>109902.93</v>
      </c>
      <c r="G21" s="29">
        <f>SUMIFS(G22:G286,K22:K286,"0",B22:B286,"1 1 1 2 1 12 31111 6 M78 00005*")</f>
        <v>82797.81</v>
      </c>
      <c r="H21" s="29">
        <f t="shared" si="0"/>
        <v>27117.47</v>
      </c>
      <c r="I21" s="29"/>
      <c r="J21" s="31"/>
      <c r="K21" t="s">
        <v>15</v>
      </c>
    </row>
    <row r="22" spans="2:11" ht="22" x14ac:dyDescent="0.15">
      <c r="B22" s="32" t="s">
        <v>35</v>
      </c>
      <c r="C22" s="32" t="s">
        <v>36</v>
      </c>
      <c r="D22" s="33">
        <v>12.35</v>
      </c>
      <c r="E22" s="33"/>
      <c r="F22" s="33">
        <v>109902.93</v>
      </c>
      <c r="G22" s="33">
        <v>82797.81</v>
      </c>
      <c r="H22" s="33">
        <f t="shared" si="0"/>
        <v>27117.47</v>
      </c>
      <c r="I22" s="33"/>
      <c r="J22" s="31"/>
      <c r="K22" t="s">
        <v>37</v>
      </c>
    </row>
    <row r="23" spans="2:11" ht="13" x14ac:dyDescent="0.15">
      <c r="B23" s="28" t="s">
        <v>38</v>
      </c>
      <c r="C23" s="28" t="s">
        <v>39</v>
      </c>
      <c r="D23" s="29">
        <f>SUMIFS(D24:D286,K24:K286,"0",B24:B286,"1 1 2*")-SUMIFS(E24:E286,K24:K286,"0",B24:B286,"1 1 2*")</f>
        <v>10173.1</v>
      </c>
      <c r="E23" s="30"/>
      <c r="F23" s="29">
        <f>SUMIFS(F24:F286,K24:K286,"0",B24:B286,"1 1 2*")</f>
        <v>127286.75</v>
      </c>
      <c r="G23" s="29">
        <f>SUMIFS(G24:G286,K24:K286,"0",B24:B286,"1 1 2*")</f>
        <v>107286.75</v>
      </c>
      <c r="H23" s="29">
        <f t="shared" si="0"/>
        <v>30173.100000000006</v>
      </c>
      <c r="I23" s="29"/>
      <c r="J23" s="31"/>
      <c r="K23" t="s">
        <v>15</v>
      </c>
    </row>
    <row r="24" spans="2:11" ht="13" x14ac:dyDescent="0.15">
      <c r="B24" s="28" t="s">
        <v>40</v>
      </c>
      <c r="C24" s="28" t="s">
        <v>41</v>
      </c>
      <c r="D24" s="29">
        <f>SUMIFS(D25:D286,K25:K286,"0",B25:B286,"1 1 2 3*")-SUMIFS(E25:E286,K25:K286,"0",B25:B286,"1 1 2 3*")</f>
        <v>9423.1</v>
      </c>
      <c r="E24" s="30"/>
      <c r="F24" s="29">
        <f>SUMIFS(F25:F286,K25:K286,"0",B25:B286,"1 1 2 3*")</f>
        <v>40000</v>
      </c>
      <c r="G24" s="29">
        <f>SUMIFS(G25:G286,K25:K286,"0",B25:B286,"1 1 2 3*")</f>
        <v>20000</v>
      </c>
      <c r="H24" s="29">
        <f t="shared" si="0"/>
        <v>29423.1</v>
      </c>
      <c r="I24" s="29"/>
      <c r="J24" s="31"/>
      <c r="K24" t="s">
        <v>15</v>
      </c>
    </row>
    <row r="25" spans="2:11" ht="13" x14ac:dyDescent="0.15">
      <c r="B25" s="28" t="s">
        <v>42</v>
      </c>
      <c r="C25" s="28" t="s">
        <v>43</v>
      </c>
      <c r="D25" s="29">
        <f>SUMIFS(D26:D286,K26:K286,"0",B26:B286,"1 1 2 3 1*")-SUMIFS(E26:E286,K26:K286,"0",B26:B286,"1 1 2 3 1*")</f>
        <v>9423.1</v>
      </c>
      <c r="E25" s="30"/>
      <c r="F25" s="29">
        <f>SUMIFS(F26:F286,K26:K286,"0",B26:B286,"1 1 2 3 1*")</f>
        <v>40000</v>
      </c>
      <c r="G25" s="29">
        <f>SUMIFS(G26:G286,K26:K286,"0",B26:B286,"1 1 2 3 1*")</f>
        <v>20000</v>
      </c>
      <c r="H25" s="29">
        <f t="shared" si="0"/>
        <v>29423.1</v>
      </c>
      <c r="I25" s="29"/>
      <c r="J25" s="31"/>
      <c r="K25" t="s">
        <v>15</v>
      </c>
    </row>
    <row r="26" spans="2:11" ht="13" x14ac:dyDescent="0.15">
      <c r="B26" s="28" t="s">
        <v>44</v>
      </c>
      <c r="C26" s="28" t="s">
        <v>26</v>
      </c>
      <c r="D26" s="29">
        <f>SUMIFS(D27:D286,K27:K286,"0",B27:B286,"1 1 2 3 1 12*")-SUMIFS(E27:E286,K27:K286,"0",B27:B286,"1 1 2 3 1 12*")</f>
        <v>9423.1</v>
      </c>
      <c r="E26" s="30"/>
      <c r="F26" s="29">
        <f>SUMIFS(F27:F286,K27:K286,"0",B27:B286,"1 1 2 3 1 12*")</f>
        <v>40000</v>
      </c>
      <c r="G26" s="29">
        <f>SUMIFS(G27:G286,K27:K286,"0",B27:B286,"1 1 2 3 1 12*")</f>
        <v>20000</v>
      </c>
      <c r="H26" s="29">
        <f t="shared" si="0"/>
        <v>29423.1</v>
      </c>
      <c r="I26" s="29"/>
      <c r="J26" s="31"/>
      <c r="K26" t="s">
        <v>15</v>
      </c>
    </row>
    <row r="27" spans="2:11" ht="13" x14ac:dyDescent="0.15">
      <c r="B27" s="28" t="s">
        <v>45</v>
      </c>
      <c r="C27" s="28" t="s">
        <v>28</v>
      </c>
      <c r="D27" s="29">
        <f>SUMIFS(D28:D286,K28:K286,"0",B28:B286,"1 1 2 3 1 12 31111*")-SUMIFS(E28:E286,K28:K286,"0",B28:B286,"1 1 2 3 1 12 31111*")</f>
        <v>9423.1</v>
      </c>
      <c r="E27" s="30"/>
      <c r="F27" s="29">
        <f>SUMIFS(F28:F286,K28:K286,"0",B28:B286,"1 1 2 3 1 12 31111*")</f>
        <v>40000</v>
      </c>
      <c r="G27" s="29">
        <f>SUMIFS(G28:G286,K28:K286,"0",B28:B286,"1 1 2 3 1 12 31111*")</f>
        <v>20000</v>
      </c>
      <c r="H27" s="29">
        <f t="shared" si="0"/>
        <v>29423.1</v>
      </c>
      <c r="I27" s="29"/>
      <c r="J27" s="31"/>
      <c r="K27" t="s">
        <v>15</v>
      </c>
    </row>
    <row r="28" spans="2:11" ht="13" x14ac:dyDescent="0.15">
      <c r="B28" s="28" t="s">
        <v>46</v>
      </c>
      <c r="C28" s="28" t="s">
        <v>30</v>
      </c>
      <c r="D28" s="29">
        <f>SUMIFS(D29:D286,K29:K286,"0",B29:B286,"1 1 2 3 1 12 31111 6*")-SUMIFS(E29:E286,K29:K286,"0",B29:B286,"1 1 2 3 1 12 31111 6*")</f>
        <v>9423.1</v>
      </c>
      <c r="E28" s="30"/>
      <c r="F28" s="29">
        <f>SUMIFS(F29:F286,K29:K286,"0",B29:B286,"1 1 2 3 1 12 31111 6*")</f>
        <v>40000</v>
      </c>
      <c r="G28" s="29">
        <f>SUMIFS(G29:G286,K29:K286,"0",B29:B286,"1 1 2 3 1 12 31111 6*")</f>
        <v>20000</v>
      </c>
      <c r="H28" s="29">
        <f t="shared" si="0"/>
        <v>29423.1</v>
      </c>
      <c r="I28" s="29"/>
      <c r="J28" s="31"/>
      <c r="K28" t="s">
        <v>15</v>
      </c>
    </row>
    <row r="29" spans="2:11" ht="13" x14ac:dyDescent="0.15">
      <c r="B29" s="28" t="s">
        <v>47</v>
      </c>
      <c r="C29" s="28" t="s">
        <v>32</v>
      </c>
      <c r="D29" s="29">
        <f>SUMIFS(D30:D286,K30:K286,"0",B30:B286,"1 1 2 3 1 12 31111 6 M78*")-SUMIFS(E30:E286,K30:K286,"0",B30:B286,"1 1 2 3 1 12 31111 6 M78*")</f>
        <v>9423.1</v>
      </c>
      <c r="E29" s="30"/>
      <c r="F29" s="29">
        <f>SUMIFS(F30:F286,K30:K286,"0",B30:B286,"1 1 2 3 1 12 31111 6 M78*")</f>
        <v>40000</v>
      </c>
      <c r="G29" s="29">
        <f>SUMIFS(G30:G286,K30:K286,"0",B30:B286,"1 1 2 3 1 12 31111 6 M78*")</f>
        <v>20000</v>
      </c>
      <c r="H29" s="29">
        <f t="shared" si="0"/>
        <v>29423.1</v>
      </c>
      <c r="I29" s="29"/>
      <c r="J29" s="31"/>
      <c r="K29" t="s">
        <v>15</v>
      </c>
    </row>
    <row r="30" spans="2:11" ht="13" x14ac:dyDescent="0.15">
      <c r="B30" s="28" t="s">
        <v>48</v>
      </c>
      <c r="C30" s="28" t="s">
        <v>34</v>
      </c>
      <c r="D30" s="29">
        <f>SUMIFS(D31:D286,K31:K286,"0",B31:B286,"1 1 2 3 1 12 31111 6 M78 00005*")-SUMIFS(E31:E286,K31:K286,"0",B31:B286,"1 1 2 3 1 12 31111 6 M78 00005*")</f>
        <v>9423.1</v>
      </c>
      <c r="E30" s="30"/>
      <c r="F30" s="29">
        <f>SUMIFS(F31:F286,K31:K286,"0",B31:B286,"1 1 2 3 1 12 31111 6 M78 00005*")</f>
        <v>40000</v>
      </c>
      <c r="G30" s="29">
        <f>SUMIFS(G31:G286,K31:K286,"0",B31:B286,"1 1 2 3 1 12 31111 6 M78 00005*")</f>
        <v>20000</v>
      </c>
      <c r="H30" s="29">
        <f t="shared" si="0"/>
        <v>29423.1</v>
      </c>
      <c r="I30" s="29"/>
      <c r="J30" s="31"/>
      <c r="K30" t="s">
        <v>15</v>
      </c>
    </row>
    <row r="31" spans="2:11" ht="22" x14ac:dyDescent="0.15">
      <c r="B31" s="32" t="s">
        <v>49</v>
      </c>
      <c r="C31" s="32" t="s">
        <v>50</v>
      </c>
      <c r="D31" s="33">
        <v>-576.9</v>
      </c>
      <c r="E31" s="33"/>
      <c r="F31" s="33">
        <v>0</v>
      </c>
      <c r="G31" s="33">
        <v>0</v>
      </c>
      <c r="H31" s="33">
        <f t="shared" si="0"/>
        <v>-576.9</v>
      </c>
      <c r="I31" s="33"/>
      <c r="J31" s="31"/>
      <c r="K31" t="s">
        <v>37</v>
      </c>
    </row>
    <row r="32" spans="2:11" ht="22" x14ac:dyDescent="0.15">
      <c r="B32" s="32" t="s">
        <v>51</v>
      </c>
      <c r="C32" s="32" t="s">
        <v>52</v>
      </c>
      <c r="D32" s="33">
        <v>10000</v>
      </c>
      <c r="E32" s="33"/>
      <c r="F32" s="33">
        <v>0</v>
      </c>
      <c r="G32" s="33">
        <v>0</v>
      </c>
      <c r="H32" s="33">
        <f t="shared" si="0"/>
        <v>10000</v>
      </c>
      <c r="I32" s="33"/>
      <c r="J32" s="31"/>
      <c r="K32" t="s">
        <v>37</v>
      </c>
    </row>
    <row r="33" spans="2:11" ht="22" x14ac:dyDescent="0.15">
      <c r="B33" s="32" t="s">
        <v>53</v>
      </c>
      <c r="C33" s="32" t="s">
        <v>54</v>
      </c>
      <c r="D33" s="33">
        <v>0</v>
      </c>
      <c r="E33" s="33"/>
      <c r="F33" s="33">
        <v>40000</v>
      </c>
      <c r="G33" s="33">
        <v>20000</v>
      </c>
      <c r="H33" s="33">
        <f t="shared" si="0"/>
        <v>20000</v>
      </c>
      <c r="I33" s="33"/>
      <c r="J33" s="31"/>
      <c r="K33" t="s">
        <v>37</v>
      </c>
    </row>
    <row r="34" spans="2:11" ht="13" x14ac:dyDescent="0.15">
      <c r="B34" s="28" t="s">
        <v>55</v>
      </c>
      <c r="C34" s="28" t="s">
        <v>56</v>
      </c>
      <c r="D34" s="29">
        <f>SUMIFS(D35:D286,K35:K286,"0",B35:B286,"1 1 2 4*")-SUMIFS(E35:E286,K35:K286,"0",B35:B286,"1 1 2 4*")</f>
        <v>750</v>
      </c>
      <c r="E34" s="30"/>
      <c r="F34" s="29">
        <f>SUMIFS(F35:F286,K35:K286,"0",B35:B286,"1 1 2 4*")</f>
        <v>87286.75</v>
      </c>
      <c r="G34" s="29">
        <f>SUMIFS(G35:G286,K35:K286,"0",B35:B286,"1 1 2 4*")</f>
        <v>87286.75</v>
      </c>
      <c r="H34" s="29">
        <f t="shared" si="0"/>
        <v>750</v>
      </c>
      <c r="I34" s="29"/>
      <c r="J34" s="31"/>
      <c r="K34" t="s">
        <v>15</v>
      </c>
    </row>
    <row r="35" spans="2:11" ht="13" x14ac:dyDescent="0.15">
      <c r="B35" s="28" t="s">
        <v>57</v>
      </c>
      <c r="C35" s="28" t="s">
        <v>58</v>
      </c>
      <c r="D35" s="29">
        <f>SUMIFS(D36:D286,K36:K286,"0",B36:B286,"1 1 2 4 1*")-SUMIFS(E36:E286,K36:K286,"0",B36:B286,"1 1 2 4 1*")</f>
        <v>0</v>
      </c>
      <c r="E35" s="30"/>
      <c r="F35" s="29">
        <f>SUMIFS(F36:F286,K36:K286,"0",B36:B286,"1 1 2 4 1*")</f>
        <v>2817.93</v>
      </c>
      <c r="G35" s="29">
        <f>SUMIFS(G36:G286,K36:K286,"0",B36:B286,"1 1 2 4 1*")</f>
        <v>2817.93</v>
      </c>
      <c r="H35" s="29">
        <f t="shared" si="0"/>
        <v>0</v>
      </c>
      <c r="I35" s="29"/>
      <c r="J35" s="31"/>
      <c r="K35" t="s">
        <v>15</v>
      </c>
    </row>
    <row r="36" spans="2:11" ht="13" x14ac:dyDescent="0.15">
      <c r="B36" s="28" t="s">
        <v>59</v>
      </c>
      <c r="C36" s="28" t="s">
        <v>26</v>
      </c>
      <c r="D36" s="29">
        <f>SUMIFS(D37:D286,K37:K286,"0",B37:B286,"1 1 2 4 1 12*")-SUMIFS(E37:E286,K37:K286,"0",B37:B286,"1 1 2 4 1 12*")</f>
        <v>0</v>
      </c>
      <c r="E36" s="30"/>
      <c r="F36" s="29">
        <f>SUMIFS(F37:F286,K37:K286,"0",B37:B286,"1 1 2 4 1 12*")</f>
        <v>2817.93</v>
      </c>
      <c r="G36" s="29">
        <f>SUMIFS(G37:G286,K37:K286,"0",B37:B286,"1 1 2 4 1 12*")</f>
        <v>2817.93</v>
      </c>
      <c r="H36" s="29">
        <f t="shared" si="0"/>
        <v>0</v>
      </c>
      <c r="I36" s="29"/>
      <c r="J36" s="31"/>
      <c r="K36" t="s">
        <v>15</v>
      </c>
    </row>
    <row r="37" spans="2:11" ht="13" x14ac:dyDescent="0.15">
      <c r="B37" s="28" t="s">
        <v>60</v>
      </c>
      <c r="C37" s="28" t="s">
        <v>28</v>
      </c>
      <c r="D37" s="29">
        <f>SUMIFS(D38:D286,K38:K286,"0",B38:B286,"1 1 2 4 1 12 31111*")-SUMIFS(E38:E286,K38:K286,"0",B38:B286,"1 1 2 4 1 12 31111*")</f>
        <v>0</v>
      </c>
      <c r="E37" s="30"/>
      <c r="F37" s="29">
        <f>SUMIFS(F38:F286,K38:K286,"0",B38:B286,"1 1 2 4 1 12 31111*")</f>
        <v>2817.93</v>
      </c>
      <c r="G37" s="29">
        <f>SUMIFS(G38:G286,K38:K286,"0",B38:B286,"1 1 2 4 1 12 31111*")</f>
        <v>2817.93</v>
      </c>
      <c r="H37" s="29">
        <f t="shared" si="0"/>
        <v>0</v>
      </c>
      <c r="I37" s="29"/>
      <c r="J37" s="31"/>
      <c r="K37" t="s">
        <v>15</v>
      </c>
    </row>
    <row r="38" spans="2:11" ht="13" x14ac:dyDescent="0.15">
      <c r="B38" s="28" t="s">
        <v>61</v>
      </c>
      <c r="C38" s="28" t="s">
        <v>30</v>
      </c>
      <c r="D38" s="29">
        <f>SUMIFS(D39:D286,K39:K286,"0",B39:B286,"1 1 2 4 1 12 31111 6*")-SUMIFS(E39:E286,K39:K286,"0",B39:B286,"1 1 2 4 1 12 31111 6*")</f>
        <v>0</v>
      </c>
      <c r="E38" s="30"/>
      <c r="F38" s="29">
        <f>SUMIFS(F39:F286,K39:K286,"0",B39:B286,"1 1 2 4 1 12 31111 6*")</f>
        <v>2817.93</v>
      </c>
      <c r="G38" s="29">
        <f>SUMIFS(G39:G286,K39:K286,"0",B39:B286,"1 1 2 4 1 12 31111 6*")</f>
        <v>2817.93</v>
      </c>
      <c r="H38" s="29">
        <f t="shared" si="0"/>
        <v>0</v>
      </c>
      <c r="I38" s="29"/>
      <c r="J38" s="31"/>
      <c r="K38" t="s">
        <v>15</v>
      </c>
    </row>
    <row r="39" spans="2:11" ht="13" x14ac:dyDescent="0.15">
      <c r="B39" s="28" t="s">
        <v>62</v>
      </c>
      <c r="C39" s="28" t="s">
        <v>32</v>
      </c>
      <c r="D39" s="29">
        <f>SUMIFS(D40:D286,K40:K286,"0",B40:B286,"1 1 2 4 1 12 31111 6 M78*")-SUMIFS(E40:E286,K40:K286,"0",B40:B286,"1 1 2 4 1 12 31111 6 M78*")</f>
        <v>0</v>
      </c>
      <c r="E39" s="30"/>
      <c r="F39" s="29">
        <f>SUMIFS(F40:F286,K40:K286,"0",B40:B286,"1 1 2 4 1 12 31111 6 M78*")</f>
        <v>2817.93</v>
      </c>
      <c r="G39" s="29">
        <f>SUMIFS(G40:G286,K40:K286,"0",B40:B286,"1 1 2 4 1 12 31111 6 M78*")</f>
        <v>2817.93</v>
      </c>
      <c r="H39" s="29">
        <f t="shared" si="0"/>
        <v>0</v>
      </c>
      <c r="I39" s="29"/>
      <c r="J39" s="31"/>
      <c r="K39" t="s">
        <v>15</v>
      </c>
    </row>
    <row r="40" spans="2:11" ht="13" x14ac:dyDescent="0.15">
      <c r="B40" s="28" t="s">
        <v>63</v>
      </c>
      <c r="C40" s="28" t="s">
        <v>34</v>
      </c>
      <c r="D40" s="29">
        <f>SUMIFS(D41:D286,K41:K286,"0",B41:B286,"1 1 2 4 1 12 31111 6 M78 00005*")-SUMIFS(E41:E286,K41:K286,"0",B41:B286,"1 1 2 4 1 12 31111 6 M78 00005*")</f>
        <v>0</v>
      </c>
      <c r="E40" s="30"/>
      <c r="F40" s="29">
        <f>SUMIFS(F41:F286,K41:K286,"0",B41:B286,"1 1 2 4 1 12 31111 6 M78 00005*")</f>
        <v>2817.93</v>
      </c>
      <c r="G40" s="29">
        <f>SUMIFS(G41:G286,K41:K286,"0",B41:B286,"1 1 2 4 1 12 31111 6 M78 00005*")</f>
        <v>2817.93</v>
      </c>
      <c r="H40" s="29">
        <f t="shared" si="0"/>
        <v>0</v>
      </c>
      <c r="I40" s="29"/>
      <c r="J40" s="31"/>
      <c r="K40" t="s">
        <v>15</v>
      </c>
    </row>
    <row r="41" spans="2:11" ht="22" x14ac:dyDescent="0.15">
      <c r="B41" s="32" t="s">
        <v>64</v>
      </c>
      <c r="C41" s="32" t="s">
        <v>58</v>
      </c>
      <c r="D41" s="33">
        <v>0</v>
      </c>
      <c r="E41" s="33"/>
      <c r="F41" s="33">
        <v>2817.93</v>
      </c>
      <c r="G41" s="33">
        <v>2817.93</v>
      </c>
      <c r="H41" s="33">
        <f t="shared" si="0"/>
        <v>0</v>
      </c>
      <c r="I41" s="33"/>
      <c r="J41" s="31"/>
      <c r="K41" t="s">
        <v>37</v>
      </c>
    </row>
    <row r="42" spans="2:11" ht="13" x14ac:dyDescent="0.15">
      <c r="B42" s="28" t="s">
        <v>65</v>
      </c>
      <c r="C42" s="28" t="s">
        <v>66</v>
      </c>
      <c r="D42" s="29">
        <f>SUMIFS(D43:D286,K43:K286,"0",B43:B286,"1 1 2 4 3*")-SUMIFS(E43:E286,K43:K286,"0",B43:B286,"1 1 2 4 3*")</f>
        <v>750</v>
      </c>
      <c r="E42" s="30"/>
      <c r="F42" s="29">
        <f>SUMIFS(F43:F286,K43:K286,"0",B43:B286,"1 1 2 4 3*")</f>
        <v>68480.78</v>
      </c>
      <c r="G42" s="29">
        <f>SUMIFS(G43:G286,K43:K286,"0",B43:B286,"1 1 2 4 3*")</f>
        <v>68480.78</v>
      </c>
      <c r="H42" s="29">
        <f t="shared" si="0"/>
        <v>750</v>
      </c>
      <c r="I42" s="29"/>
      <c r="J42" s="31"/>
      <c r="K42" t="s">
        <v>15</v>
      </c>
    </row>
    <row r="43" spans="2:11" ht="13" x14ac:dyDescent="0.15">
      <c r="B43" s="28" t="s">
        <v>67</v>
      </c>
      <c r="C43" s="28" t="s">
        <v>26</v>
      </c>
      <c r="D43" s="29">
        <f>SUMIFS(D44:D286,K44:K286,"0",B44:B286,"1 1 2 4 3 12*")-SUMIFS(E44:E286,K44:K286,"0",B44:B286,"1 1 2 4 3 12*")</f>
        <v>750</v>
      </c>
      <c r="E43" s="30"/>
      <c r="F43" s="29">
        <f>SUMIFS(F44:F286,K44:K286,"0",B44:B286,"1 1 2 4 3 12*")</f>
        <v>68480.78</v>
      </c>
      <c r="G43" s="29">
        <f>SUMIFS(G44:G286,K44:K286,"0",B44:B286,"1 1 2 4 3 12*")</f>
        <v>68480.78</v>
      </c>
      <c r="H43" s="29">
        <f t="shared" si="0"/>
        <v>750</v>
      </c>
      <c r="I43" s="29"/>
      <c r="J43" s="31"/>
      <c r="K43" t="s">
        <v>15</v>
      </c>
    </row>
    <row r="44" spans="2:11" ht="13" x14ac:dyDescent="0.15">
      <c r="B44" s="28" t="s">
        <v>68</v>
      </c>
      <c r="C44" s="28" t="s">
        <v>28</v>
      </c>
      <c r="D44" s="29">
        <f>SUMIFS(D45:D286,K45:K286,"0",B45:B286,"1 1 2 4 3 12 31111*")-SUMIFS(E45:E286,K45:K286,"0",B45:B286,"1 1 2 4 3 12 31111*")</f>
        <v>750</v>
      </c>
      <c r="E44" s="30"/>
      <c r="F44" s="29">
        <f>SUMIFS(F45:F286,K45:K286,"0",B45:B286,"1 1 2 4 3 12 31111*")</f>
        <v>68480.78</v>
      </c>
      <c r="G44" s="29">
        <f>SUMIFS(G45:G286,K45:K286,"0",B45:B286,"1 1 2 4 3 12 31111*")</f>
        <v>68480.78</v>
      </c>
      <c r="H44" s="29">
        <f t="shared" ref="H44:H75" si="1">D44 + F44 - G44</f>
        <v>750</v>
      </c>
      <c r="I44" s="29"/>
      <c r="J44" s="31"/>
      <c r="K44" t="s">
        <v>15</v>
      </c>
    </row>
    <row r="45" spans="2:11" ht="13" x14ac:dyDescent="0.15">
      <c r="B45" s="28" t="s">
        <v>69</v>
      </c>
      <c r="C45" s="28" t="s">
        <v>30</v>
      </c>
      <c r="D45" s="29">
        <f>SUMIFS(D46:D286,K46:K286,"0",B46:B286,"1 1 2 4 3 12 31111 6*")-SUMIFS(E46:E286,K46:K286,"0",B46:B286,"1 1 2 4 3 12 31111 6*")</f>
        <v>750</v>
      </c>
      <c r="E45" s="30"/>
      <c r="F45" s="29">
        <f>SUMIFS(F46:F286,K46:K286,"0",B46:B286,"1 1 2 4 3 12 31111 6*")</f>
        <v>68480.78</v>
      </c>
      <c r="G45" s="29">
        <f>SUMIFS(G46:G286,K46:K286,"0",B46:B286,"1 1 2 4 3 12 31111 6*")</f>
        <v>68480.78</v>
      </c>
      <c r="H45" s="29">
        <f t="shared" si="1"/>
        <v>750</v>
      </c>
      <c r="I45" s="29"/>
      <c r="J45" s="31"/>
      <c r="K45" t="s">
        <v>15</v>
      </c>
    </row>
    <row r="46" spans="2:11" ht="13" x14ac:dyDescent="0.15">
      <c r="B46" s="28" t="s">
        <v>70</v>
      </c>
      <c r="C46" s="28" t="s">
        <v>32</v>
      </c>
      <c r="D46" s="29">
        <f>SUMIFS(D47:D286,K47:K286,"0",B47:B286,"1 1 2 4 3 12 31111 6 M78*")-SUMIFS(E47:E286,K47:K286,"0",B47:B286,"1 1 2 4 3 12 31111 6 M78*")</f>
        <v>750</v>
      </c>
      <c r="E46" s="30"/>
      <c r="F46" s="29">
        <f>SUMIFS(F47:F286,K47:K286,"0",B47:B286,"1 1 2 4 3 12 31111 6 M78*")</f>
        <v>68480.78</v>
      </c>
      <c r="G46" s="29">
        <f>SUMIFS(G47:G286,K47:K286,"0",B47:B286,"1 1 2 4 3 12 31111 6 M78*")</f>
        <v>68480.78</v>
      </c>
      <c r="H46" s="29">
        <f t="shared" si="1"/>
        <v>750</v>
      </c>
      <c r="I46" s="29"/>
      <c r="J46" s="31"/>
      <c r="K46" t="s">
        <v>15</v>
      </c>
    </row>
    <row r="47" spans="2:11" ht="13" x14ac:dyDescent="0.15">
      <c r="B47" s="28" t="s">
        <v>71</v>
      </c>
      <c r="C47" s="28" t="s">
        <v>34</v>
      </c>
      <c r="D47" s="29">
        <f>SUMIFS(D48:D286,K48:K286,"0",B48:B286,"1 1 2 4 3 12 31111 6 M78 00005*")-SUMIFS(E48:E286,K48:K286,"0",B48:B286,"1 1 2 4 3 12 31111 6 M78 00005*")</f>
        <v>750</v>
      </c>
      <c r="E47" s="30"/>
      <c r="F47" s="29">
        <f>SUMIFS(F48:F286,K48:K286,"0",B48:B286,"1 1 2 4 3 12 31111 6 M78 00005*")</f>
        <v>68480.78</v>
      </c>
      <c r="G47" s="29">
        <f>SUMIFS(G48:G286,K48:K286,"0",B48:B286,"1 1 2 4 3 12 31111 6 M78 00005*")</f>
        <v>68480.78</v>
      </c>
      <c r="H47" s="29">
        <f t="shared" si="1"/>
        <v>750</v>
      </c>
      <c r="I47" s="29"/>
      <c r="J47" s="31"/>
      <c r="K47" t="s">
        <v>15</v>
      </c>
    </row>
    <row r="48" spans="2:11" ht="22" x14ac:dyDescent="0.15">
      <c r="B48" s="32" t="s">
        <v>72</v>
      </c>
      <c r="C48" s="32" t="s">
        <v>66</v>
      </c>
      <c r="D48" s="33">
        <v>750</v>
      </c>
      <c r="E48" s="33"/>
      <c r="F48" s="33">
        <v>68480.78</v>
      </c>
      <c r="G48" s="33">
        <v>68480.78</v>
      </c>
      <c r="H48" s="33">
        <f t="shared" si="1"/>
        <v>750</v>
      </c>
      <c r="I48" s="33"/>
      <c r="J48" s="31"/>
      <c r="K48" t="s">
        <v>37</v>
      </c>
    </row>
    <row r="49" spans="2:11" ht="13" x14ac:dyDescent="0.15">
      <c r="B49" s="28" t="s">
        <v>73</v>
      </c>
      <c r="C49" s="28" t="s">
        <v>74</v>
      </c>
      <c r="D49" s="29">
        <f>SUMIFS(D50:D286,K50:K286,"0",B50:B286,"1 1 2 4 4*")-SUMIFS(E50:E286,K50:K286,"0",B50:B286,"1 1 2 4 4*")</f>
        <v>0</v>
      </c>
      <c r="E49" s="30"/>
      <c r="F49" s="29">
        <f>SUMIFS(F50:F286,K50:K286,"0",B50:B286,"1 1 2 4 4*")</f>
        <v>15988.04</v>
      </c>
      <c r="G49" s="29">
        <f>SUMIFS(G50:G286,K50:K286,"0",B50:B286,"1 1 2 4 4*")</f>
        <v>15988.04</v>
      </c>
      <c r="H49" s="29">
        <f t="shared" si="1"/>
        <v>0</v>
      </c>
      <c r="I49" s="29"/>
      <c r="J49" s="31"/>
      <c r="K49" t="s">
        <v>15</v>
      </c>
    </row>
    <row r="50" spans="2:11" ht="13" x14ac:dyDescent="0.15">
      <c r="B50" s="28" t="s">
        <v>75</v>
      </c>
      <c r="C50" s="28" t="s">
        <v>26</v>
      </c>
      <c r="D50" s="29">
        <f>SUMIFS(D51:D286,K51:K286,"0",B51:B286,"1 1 2 4 4 12*")-SUMIFS(E51:E286,K51:K286,"0",B51:B286,"1 1 2 4 4 12*")</f>
        <v>0</v>
      </c>
      <c r="E50" s="30"/>
      <c r="F50" s="29">
        <f>SUMIFS(F51:F286,K51:K286,"0",B51:B286,"1 1 2 4 4 12*")</f>
        <v>15988.04</v>
      </c>
      <c r="G50" s="29">
        <f>SUMIFS(G51:G286,K51:K286,"0",B51:B286,"1 1 2 4 4 12*")</f>
        <v>15988.04</v>
      </c>
      <c r="H50" s="29">
        <f t="shared" si="1"/>
        <v>0</v>
      </c>
      <c r="I50" s="29"/>
      <c r="J50" s="31"/>
      <c r="K50" t="s">
        <v>15</v>
      </c>
    </row>
    <row r="51" spans="2:11" ht="13" x14ac:dyDescent="0.15">
      <c r="B51" s="28" t="s">
        <v>76</v>
      </c>
      <c r="C51" s="28" t="s">
        <v>28</v>
      </c>
      <c r="D51" s="29">
        <f>SUMIFS(D52:D286,K52:K286,"0",B52:B286,"1 1 2 4 4 12 31111*")-SUMIFS(E52:E286,K52:K286,"0",B52:B286,"1 1 2 4 4 12 31111*")</f>
        <v>0</v>
      </c>
      <c r="E51" s="30"/>
      <c r="F51" s="29">
        <f>SUMIFS(F52:F286,K52:K286,"0",B52:B286,"1 1 2 4 4 12 31111*")</f>
        <v>15988.04</v>
      </c>
      <c r="G51" s="29">
        <f>SUMIFS(G52:G286,K52:K286,"0",B52:B286,"1 1 2 4 4 12 31111*")</f>
        <v>15988.04</v>
      </c>
      <c r="H51" s="29">
        <f t="shared" si="1"/>
        <v>0</v>
      </c>
      <c r="I51" s="29"/>
      <c r="J51" s="31"/>
      <c r="K51" t="s">
        <v>15</v>
      </c>
    </row>
    <row r="52" spans="2:11" ht="13" x14ac:dyDescent="0.15">
      <c r="B52" s="28" t="s">
        <v>77</v>
      </c>
      <c r="C52" s="28" t="s">
        <v>30</v>
      </c>
      <c r="D52" s="29">
        <f>SUMIFS(D53:D286,K53:K286,"0",B53:B286,"1 1 2 4 4 12 31111 6*")-SUMIFS(E53:E286,K53:K286,"0",B53:B286,"1 1 2 4 4 12 31111 6*")</f>
        <v>0</v>
      </c>
      <c r="E52" s="30"/>
      <c r="F52" s="29">
        <f>SUMIFS(F53:F286,K53:K286,"0",B53:B286,"1 1 2 4 4 12 31111 6*")</f>
        <v>15988.04</v>
      </c>
      <c r="G52" s="29">
        <f>SUMIFS(G53:G286,K53:K286,"0",B53:B286,"1 1 2 4 4 12 31111 6*")</f>
        <v>15988.04</v>
      </c>
      <c r="H52" s="29">
        <f t="shared" si="1"/>
        <v>0</v>
      </c>
      <c r="I52" s="29"/>
      <c r="J52" s="31"/>
      <c r="K52" t="s">
        <v>15</v>
      </c>
    </row>
    <row r="53" spans="2:11" ht="13" x14ac:dyDescent="0.15">
      <c r="B53" s="28" t="s">
        <v>78</v>
      </c>
      <c r="C53" s="28" t="s">
        <v>32</v>
      </c>
      <c r="D53" s="29">
        <f>SUMIFS(D54:D286,K54:K286,"0",B54:B286,"1 1 2 4 4 12 31111 6 M78*")-SUMIFS(E54:E286,K54:K286,"0",B54:B286,"1 1 2 4 4 12 31111 6 M78*")</f>
        <v>0</v>
      </c>
      <c r="E53" s="30"/>
      <c r="F53" s="29">
        <f>SUMIFS(F54:F286,K54:K286,"0",B54:B286,"1 1 2 4 4 12 31111 6 M78*")</f>
        <v>15988.04</v>
      </c>
      <c r="G53" s="29">
        <f>SUMIFS(G54:G286,K54:K286,"0",B54:B286,"1 1 2 4 4 12 31111 6 M78*")</f>
        <v>15988.04</v>
      </c>
      <c r="H53" s="29">
        <f t="shared" si="1"/>
        <v>0</v>
      </c>
      <c r="I53" s="29"/>
      <c r="J53" s="31"/>
      <c r="K53" t="s">
        <v>15</v>
      </c>
    </row>
    <row r="54" spans="2:11" ht="13" x14ac:dyDescent="0.15">
      <c r="B54" s="28" t="s">
        <v>79</v>
      </c>
      <c r="C54" s="28" t="s">
        <v>34</v>
      </c>
      <c r="D54" s="29">
        <f>SUMIFS(D55:D286,K55:K286,"0",B55:B286,"1 1 2 4 4 12 31111 6 M78 00005*")-SUMIFS(E55:E286,K55:K286,"0",B55:B286,"1 1 2 4 4 12 31111 6 M78 00005*")</f>
        <v>0</v>
      </c>
      <c r="E54" s="30"/>
      <c r="F54" s="29">
        <f>SUMIFS(F55:F286,K55:K286,"0",B55:B286,"1 1 2 4 4 12 31111 6 M78 00005*")</f>
        <v>15988.04</v>
      </c>
      <c r="G54" s="29">
        <f>SUMIFS(G55:G286,K55:K286,"0",B55:B286,"1 1 2 4 4 12 31111 6 M78 00005*")</f>
        <v>15988.04</v>
      </c>
      <c r="H54" s="29">
        <f t="shared" si="1"/>
        <v>0</v>
      </c>
      <c r="I54" s="29"/>
      <c r="J54" s="31"/>
      <c r="K54" t="s">
        <v>15</v>
      </c>
    </row>
    <row r="55" spans="2:11" ht="22" x14ac:dyDescent="0.15">
      <c r="B55" s="32" t="s">
        <v>80</v>
      </c>
      <c r="C55" s="32" t="s">
        <v>74</v>
      </c>
      <c r="D55" s="33">
        <v>0</v>
      </c>
      <c r="E55" s="33"/>
      <c r="F55" s="33">
        <v>15988.04</v>
      </c>
      <c r="G55" s="33">
        <v>15988.04</v>
      </c>
      <c r="H55" s="33">
        <f t="shared" si="1"/>
        <v>0</v>
      </c>
      <c r="I55" s="33"/>
      <c r="J55" s="31"/>
      <c r="K55" t="s">
        <v>37</v>
      </c>
    </row>
    <row r="56" spans="2:11" ht="13" x14ac:dyDescent="0.15">
      <c r="B56" s="28" t="s">
        <v>81</v>
      </c>
      <c r="C56" s="28" t="s">
        <v>82</v>
      </c>
      <c r="D56" s="29">
        <f>SUMIFS(D57:D286,K57:K286,"0",B57:B286,"1 2*")-SUMIFS(E57:E286,K57:K286,"0",B57:B286,"1 2*")</f>
        <v>66499</v>
      </c>
      <c r="E56" s="30"/>
      <c r="F56" s="29">
        <f>SUMIFS(F57:F286,K57:K286,"0",B57:B286,"1 2*")</f>
        <v>0</v>
      </c>
      <c r="G56" s="29">
        <f>SUMIFS(G57:G286,K57:K286,"0",B57:B286,"1 2*")</f>
        <v>0</v>
      </c>
      <c r="H56" s="29">
        <f t="shared" si="1"/>
        <v>66499</v>
      </c>
      <c r="I56" s="29"/>
      <c r="J56" s="31"/>
      <c r="K56" t="s">
        <v>15</v>
      </c>
    </row>
    <row r="57" spans="2:11" ht="13" x14ac:dyDescent="0.15">
      <c r="B57" s="28" t="s">
        <v>83</v>
      </c>
      <c r="C57" s="28" t="s">
        <v>84</v>
      </c>
      <c r="D57" s="29">
        <f>SUMIFS(D58:D286,K58:K286,"0",B58:B286,"1 2 4*")-SUMIFS(E58:E286,K58:K286,"0",B58:B286,"1 2 4*")</f>
        <v>66499</v>
      </c>
      <c r="E57" s="30"/>
      <c r="F57" s="29">
        <f>SUMIFS(F58:F286,K58:K286,"0",B58:B286,"1 2 4*")</f>
        <v>0</v>
      </c>
      <c r="G57" s="29">
        <f>SUMIFS(G58:G286,K58:K286,"0",B58:B286,"1 2 4*")</f>
        <v>0</v>
      </c>
      <c r="H57" s="29">
        <f t="shared" si="1"/>
        <v>66499</v>
      </c>
      <c r="I57" s="29"/>
      <c r="J57" s="31"/>
      <c r="K57" t="s">
        <v>15</v>
      </c>
    </row>
    <row r="58" spans="2:11" ht="13" x14ac:dyDescent="0.15">
      <c r="B58" s="28" t="s">
        <v>85</v>
      </c>
      <c r="C58" s="28" t="s">
        <v>86</v>
      </c>
      <c r="D58" s="29">
        <f>SUMIFS(D59:D286,K59:K286,"0",B59:B286,"1 2 4 1*")-SUMIFS(E59:E286,K59:K286,"0",B59:B286,"1 2 4 1*")</f>
        <v>62199</v>
      </c>
      <c r="E58" s="30"/>
      <c r="F58" s="29">
        <f>SUMIFS(F59:F286,K59:K286,"0",B59:B286,"1 2 4 1*")</f>
        <v>0</v>
      </c>
      <c r="G58" s="29">
        <f>SUMIFS(G59:G286,K59:K286,"0",B59:B286,"1 2 4 1*")</f>
        <v>0</v>
      </c>
      <c r="H58" s="29">
        <f t="shared" si="1"/>
        <v>62199</v>
      </c>
      <c r="I58" s="29"/>
      <c r="J58" s="31"/>
      <c r="K58" t="s">
        <v>15</v>
      </c>
    </row>
    <row r="59" spans="2:11" ht="13" x14ac:dyDescent="0.15">
      <c r="B59" s="28" t="s">
        <v>87</v>
      </c>
      <c r="C59" s="28" t="s">
        <v>88</v>
      </c>
      <c r="D59" s="29">
        <f>SUMIFS(D60:D286,K60:K286,"0",B60:B286,"1 2 4 1 3*")-SUMIFS(E60:E286,K60:K286,"0",B60:B286,"1 2 4 1 3*")</f>
        <v>62199</v>
      </c>
      <c r="E59" s="30"/>
      <c r="F59" s="29">
        <f>SUMIFS(F60:F286,K60:K286,"0",B60:B286,"1 2 4 1 3*")</f>
        <v>0</v>
      </c>
      <c r="G59" s="29">
        <f>SUMIFS(G60:G286,K60:K286,"0",B60:B286,"1 2 4 1 3*")</f>
        <v>0</v>
      </c>
      <c r="H59" s="29">
        <f t="shared" si="1"/>
        <v>62199</v>
      </c>
      <c r="I59" s="29"/>
      <c r="J59" s="31"/>
      <c r="K59" t="s">
        <v>15</v>
      </c>
    </row>
    <row r="60" spans="2:11" ht="13" x14ac:dyDescent="0.15">
      <c r="B60" s="28" t="s">
        <v>89</v>
      </c>
      <c r="C60" s="28" t="s">
        <v>26</v>
      </c>
      <c r="D60" s="29">
        <f>SUMIFS(D61:D286,K61:K286,"0",B61:B286,"1 2 4 1 3 12*")-SUMIFS(E61:E286,K61:K286,"0",B61:B286,"1 2 4 1 3 12*")</f>
        <v>62199</v>
      </c>
      <c r="E60" s="30"/>
      <c r="F60" s="29">
        <f>SUMIFS(F61:F286,K61:K286,"0",B61:B286,"1 2 4 1 3 12*")</f>
        <v>0</v>
      </c>
      <c r="G60" s="29">
        <f>SUMIFS(G61:G286,K61:K286,"0",B61:B286,"1 2 4 1 3 12*")</f>
        <v>0</v>
      </c>
      <c r="H60" s="29">
        <f t="shared" si="1"/>
        <v>62199</v>
      </c>
      <c r="I60" s="29"/>
      <c r="J60" s="31"/>
      <c r="K60" t="s">
        <v>15</v>
      </c>
    </row>
    <row r="61" spans="2:11" ht="13" x14ac:dyDescent="0.15">
      <c r="B61" s="28" t="s">
        <v>90</v>
      </c>
      <c r="C61" s="28" t="s">
        <v>28</v>
      </c>
      <c r="D61" s="29">
        <f>SUMIFS(D62:D286,K62:K286,"0",B62:B286,"1 2 4 1 3 12 31111*")-SUMIFS(E62:E286,K62:K286,"0",B62:B286,"1 2 4 1 3 12 31111*")</f>
        <v>62199</v>
      </c>
      <c r="E61" s="30"/>
      <c r="F61" s="29">
        <f>SUMIFS(F62:F286,K62:K286,"0",B62:B286,"1 2 4 1 3 12 31111*")</f>
        <v>0</v>
      </c>
      <c r="G61" s="29">
        <f>SUMIFS(G62:G286,K62:K286,"0",B62:B286,"1 2 4 1 3 12 31111*")</f>
        <v>0</v>
      </c>
      <c r="H61" s="29">
        <f t="shared" si="1"/>
        <v>62199</v>
      </c>
      <c r="I61" s="29"/>
      <c r="J61" s="31"/>
      <c r="K61" t="s">
        <v>15</v>
      </c>
    </row>
    <row r="62" spans="2:11" ht="13" x14ac:dyDescent="0.15">
      <c r="B62" s="28" t="s">
        <v>91</v>
      </c>
      <c r="C62" s="28" t="s">
        <v>30</v>
      </c>
      <c r="D62" s="29">
        <f>SUMIFS(D63:D286,K63:K286,"0",B63:B286,"1 2 4 1 3 12 31111 6*")-SUMIFS(E63:E286,K63:K286,"0",B63:B286,"1 2 4 1 3 12 31111 6*")</f>
        <v>62199</v>
      </c>
      <c r="E62" s="30"/>
      <c r="F62" s="29">
        <f>SUMIFS(F63:F286,K63:K286,"0",B63:B286,"1 2 4 1 3 12 31111 6*")</f>
        <v>0</v>
      </c>
      <c r="G62" s="29">
        <f>SUMIFS(G63:G286,K63:K286,"0",B63:B286,"1 2 4 1 3 12 31111 6*")</f>
        <v>0</v>
      </c>
      <c r="H62" s="29">
        <f t="shared" si="1"/>
        <v>62199</v>
      </c>
      <c r="I62" s="29"/>
      <c r="J62" s="31"/>
      <c r="K62" t="s">
        <v>15</v>
      </c>
    </row>
    <row r="63" spans="2:11" ht="13" x14ac:dyDescent="0.15">
      <c r="B63" s="28" t="s">
        <v>92</v>
      </c>
      <c r="C63" s="28" t="s">
        <v>32</v>
      </c>
      <c r="D63" s="29" t="e">
        <f>SUMIFS(D64:D286,K64:K286,"0",B64:B286,"1 2 4 1 3 12 31111 6 M78*")-SUMIFS(E63:E286,K64:K286,"0",B64:B286,"1 2 4 1 3 12 31111 6 M78*")</f>
        <v>#VALUE!</v>
      </c>
      <c r="E63" s="30"/>
      <c r="F63" s="29">
        <f>SUMIFS(F64:F286,K64:K286,"0",B64:B286,"1 2 4 1 3 12 31111 6 M78*")</f>
        <v>0</v>
      </c>
      <c r="G63" s="29">
        <f>SUMIFS(G64:G286,K64:K286,"0",B64:B286,"1 2 4 1 3 12 31111 6 M78*")</f>
        <v>0</v>
      </c>
      <c r="H63" s="29" t="e">
        <f t="shared" si="1"/>
        <v>#VALUE!</v>
      </c>
      <c r="I63" s="29"/>
      <c r="J63" s="31"/>
      <c r="K63" t="s">
        <v>15</v>
      </c>
    </row>
    <row r="64" spans="2:11" ht="13" x14ac:dyDescent="0.15">
      <c r="B64" s="28" t="s">
        <v>93</v>
      </c>
      <c r="C64" s="28" t="s">
        <v>94</v>
      </c>
      <c r="D64" s="29">
        <f>SUMIFS(D65:D286,K65:K286,"0",B65:B286,"1 2 4 1 3 12 31111 6 M78 07000*")-SUMIFS(E65:E286,K65:K286,"0",B65:B286,"1 2 4 1 3 12 31111 6 M78 07000*")</f>
        <v>62199</v>
      </c>
      <c r="F64" s="29">
        <f>SUMIFS(F65:F286,K65:K286,"0",B65:B286,"1 2 4 1 3 12 31111 6 M78 07000*")</f>
        <v>0</v>
      </c>
      <c r="G64" s="29">
        <f>SUMIFS(G65:G286,K65:K286,"0",B65:B286,"1 2 4 1 3 12 31111 6 M78 07000*")</f>
        <v>0</v>
      </c>
      <c r="H64" s="29">
        <f t="shared" si="1"/>
        <v>62199</v>
      </c>
      <c r="I64" s="29"/>
      <c r="J64" s="31"/>
      <c r="K64" t="s">
        <v>15</v>
      </c>
    </row>
    <row r="65" spans="2:11" ht="22" x14ac:dyDescent="0.15">
      <c r="B65" s="28" t="s">
        <v>95</v>
      </c>
      <c r="C65" s="28" t="s">
        <v>96</v>
      </c>
      <c r="D65" s="29">
        <f>SUMIFS(D66:D286,K66:K286,"0",B66:B286,"1 2 4 1 3 12 31111 6 M78 07000 151*")-SUMIFS(E66:E286,K66:K286,"0",B66:B286,"1 2 4 1 3 12 31111 6 M78 07000 151*")</f>
        <v>62199</v>
      </c>
      <c r="E65" s="30"/>
      <c r="F65" s="29">
        <f>SUMIFS(F66:F286,K66:K286,"0",B66:B286,"1 2 4 1 3 12 31111 6 M78 07000 151*")</f>
        <v>0</v>
      </c>
      <c r="G65" s="29">
        <f>SUMIFS(G66:G286,K66:K286,"0",B66:B286,"1 2 4 1 3 12 31111 6 M78 07000 151*")</f>
        <v>0</v>
      </c>
      <c r="H65" s="29">
        <f t="shared" si="1"/>
        <v>62199</v>
      </c>
      <c r="I65" s="29"/>
      <c r="J65" s="31"/>
      <c r="K65" t="s">
        <v>15</v>
      </c>
    </row>
    <row r="66" spans="2:11" ht="22" x14ac:dyDescent="0.15">
      <c r="B66" s="28" t="s">
        <v>97</v>
      </c>
      <c r="C66" s="28" t="s">
        <v>98</v>
      </c>
      <c r="D66" s="29">
        <f>SUMIFS(D67:D286,K67:K286,"0",B67:B286,"1 2 4 1 3 12 31111 6 M78 07000 151 00E*")-SUMIFS(E67:E286,K67:K286,"0",B67:B286,"1 2 4 1 3 12 31111 6 M78 07000 151 00E*")</f>
        <v>62199</v>
      </c>
      <c r="E66" s="30"/>
      <c r="F66" s="29">
        <f>SUMIFS(F67:F286,K67:K286,"0",B67:B286,"1 2 4 1 3 12 31111 6 M78 07000 151 00E*")</f>
        <v>0</v>
      </c>
      <c r="G66" s="29">
        <f>SUMIFS(G67:G286,K67:K286,"0",B67:B286,"1 2 4 1 3 12 31111 6 M78 07000 151 00E*")</f>
        <v>0</v>
      </c>
      <c r="H66" s="29">
        <f t="shared" si="1"/>
        <v>62199</v>
      </c>
      <c r="I66" s="29"/>
      <c r="J66" s="31"/>
      <c r="K66" t="s">
        <v>15</v>
      </c>
    </row>
    <row r="67" spans="2:11" ht="22" x14ac:dyDescent="0.15">
      <c r="B67" s="28" t="s">
        <v>99</v>
      </c>
      <c r="C67" s="28" t="s">
        <v>100</v>
      </c>
      <c r="D67" s="29">
        <f>SUMIFS(D68:D286,K68:K286,"0",B68:B286,"1 2 4 1 3 12 31111 6 M78 07000 151 00E 002*")-SUMIFS(E68:E286,K68:K286,"0",B68:B286,"1 2 4 1 3 12 31111 6 M78 07000 151 00E 002*")</f>
        <v>62199</v>
      </c>
      <c r="E67" s="30"/>
      <c r="F67" s="29">
        <f>SUMIFS(F68:F286,K68:K286,"0",B68:B286,"1 2 4 1 3 12 31111 6 M78 07000 151 00E 002*")</f>
        <v>0</v>
      </c>
      <c r="G67" s="29">
        <f>SUMIFS(G68:G286,K68:K286,"0",B68:B286,"1 2 4 1 3 12 31111 6 M78 07000 151 00E 002*")</f>
        <v>0</v>
      </c>
      <c r="H67" s="29">
        <f t="shared" si="1"/>
        <v>62199</v>
      </c>
      <c r="I67" s="29"/>
      <c r="J67" s="31"/>
      <c r="K67" t="s">
        <v>15</v>
      </c>
    </row>
    <row r="68" spans="2:11" ht="22" x14ac:dyDescent="0.15">
      <c r="B68" s="28" t="s">
        <v>101</v>
      </c>
      <c r="C68" s="28" t="s">
        <v>102</v>
      </c>
      <c r="D68" s="29">
        <f>SUMIFS(D69:D286,K69:K286,"0",B69:B286,"1 2 4 1 3 12 31111 6 M78 07000 151 00E 002 51501*")-SUMIFS(E69:E286,K69:K286,"0",B69:B286,"1 2 4 1 3 12 31111 6 M78 07000 151 00E 002 51501*")</f>
        <v>62199</v>
      </c>
      <c r="E68" s="30"/>
      <c r="F68" s="29">
        <f>SUMIFS(F69:F286,K69:K286,"0",B69:B286,"1 2 4 1 3 12 31111 6 M78 07000 151 00E 002 51501*")</f>
        <v>0</v>
      </c>
      <c r="G68" s="29">
        <f>SUMIFS(G69:G286,K69:K286,"0",B69:B286,"1 2 4 1 3 12 31111 6 M78 07000 151 00E 002 51501*")</f>
        <v>0</v>
      </c>
      <c r="H68" s="29">
        <f t="shared" si="1"/>
        <v>62199</v>
      </c>
      <c r="I68" s="29"/>
      <c r="J68" s="31"/>
      <c r="K68" t="s">
        <v>15</v>
      </c>
    </row>
    <row r="69" spans="2:11" ht="22" x14ac:dyDescent="0.15">
      <c r="B69" s="28" t="s">
        <v>103</v>
      </c>
      <c r="C69" s="28" t="s">
        <v>104</v>
      </c>
      <c r="D69" s="29">
        <f>SUMIFS(D70:D286,K70:K286,"0",B70:B286,"1 2 4 1 3 12 31111 6 M78 07000 151 00E 002 51501 011*")-SUMIFS(E70:E286,K70:K286,"0",B70:B286,"1 2 4 1 3 12 31111 6 M78 07000 151 00E 002 51501 011*")</f>
        <v>62199</v>
      </c>
      <c r="E69" s="30"/>
      <c r="F69" s="29">
        <f>SUMIFS(F70:F286,K70:K286,"0",B70:B286,"1 2 4 1 3 12 31111 6 M78 07000 151 00E 002 51501 011*")</f>
        <v>0</v>
      </c>
      <c r="G69" s="29">
        <f>SUMIFS(G70:G286,K70:K286,"0",B70:B286,"1 2 4 1 3 12 31111 6 M78 07000 151 00E 002 51501 011*")</f>
        <v>0</v>
      </c>
      <c r="H69" s="29">
        <f t="shared" si="1"/>
        <v>62199</v>
      </c>
      <c r="I69" s="29"/>
      <c r="J69" s="31"/>
      <c r="K69" t="s">
        <v>15</v>
      </c>
    </row>
    <row r="70" spans="2:11" ht="22" x14ac:dyDescent="0.15">
      <c r="B70" s="28" t="s">
        <v>105</v>
      </c>
      <c r="C70" s="28" t="s">
        <v>106</v>
      </c>
      <c r="D70" s="29">
        <f>SUMIFS(D71:D286,K71:K286,"0",B71:B286,"1 2 4 1 3 12 31111 6 M78 07000 151 00E 002 51501 011 2112000*")-SUMIFS(E71:E286,K71:K286,"0",B71:B286,"1 2 4 1 3 12 31111 6 M78 07000 151 00E 002 51501 011 2112000*")</f>
        <v>62199</v>
      </c>
      <c r="E70" s="30"/>
      <c r="F70" s="29">
        <f>SUMIFS(F71:F286,K71:K286,"0",B71:B286,"1 2 4 1 3 12 31111 6 M78 07000 151 00E 002 51501 011 2112000*")</f>
        <v>0</v>
      </c>
      <c r="G70" s="29">
        <f>SUMIFS(G71:G286,K71:K286,"0",B71:B286,"1 2 4 1 3 12 31111 6 M78 07000 151 00E 002 51501 011 2112000*")</f>
        <v>0</v>
      </c>
      <c r="H70" s="29">
        <f t="shared" si="1"/>
        <v>62199</v>
      </c>
      <c r="I70" s="29"/>
      <c r="J70" s="31"/>
      <c r="K70" t="s">
        <v>15</v>
      </c>
    </row>
    <row r="71" spans="2:11" ht="33" x14ac:dyDescent="0.15">
      <c r="B71" s="28" t="s">
        <v>107</v>
      </c>
      <c r="C71" s="28" t="s">
        <v>108</v>
      </c>
      <c r="D71" s="29">
        <f>SUMIFS(D72:D286,K72:K286,"0",B72:B286,"1 2 4 1 3 12 31111 6 M78 07000 151 00E 002 51501 011 2112000 2019*")-SUMIFS(E72:E286,K72:K286,"0",B72:B286,"1 2 4 1 3 12 31111 6 M78 07000 151 00E 002 51501 011 2112000 2019*")</f>
        <v>4199</v>
      </c>
      <c r="E71" s="30"/>
      <c r="F71" s="29">
        <f>SUMIFS(F72:F286,K72:K286,"0",B72:B286,"1 2 4 1 3 12 31111 6 M78 07000 151 00E 002 51501 011 2112000 2019*")</f>
        <v>0</v>
      </c>
      <c r="G71" s="29">
        <f>SUMIFS(G72:G286,K72:K286,"0",B72:B286,"1 2 4 1 3 12 31111 6 M78 07000 151 00E 002 51501 011 2112000 2019*")</f>
        <v>0</v>
      </c>
      <c r="H71" s="29">
        <f t="shared" si="1"/>
        <v>4199</v>
      </c>
      <c r="I71" s="29"/>
      <c r="J71" s="31"/>
      <c r="K71" t="s">
        <v>15</v>
      </c>
    </row>
    <row r="72" spans="2:11" ht="33" x14ac:dyDescent="0.15">
      <c r="B72" s="28" t="s">
        <v>109</v>
      </c>
      <c r="C72" s="28" t="s">
        <v>110</v>
      </c>
      <c r="D72" s="29">
        <f>SUMIFS(D73:D286,K73:K286,"0",B73:B286,"1 2 4 1 3 12 31111 6 M78 07000 151 00E 002 51501 011 2112000 2019 00000000*")-SUMIFS(E73:E286,K73:K286,"0",B73:B286,"1 2 4 1 3 12 31111 6 M78 07000 151 00E 002 51501 011 2112000 2019 00000000*")</f>
        <v>4199</v>
      </c>
      <c r="E72" s="30"/>
      <c r="F72" s="29">
        <f>SUMIFS(F73:F286,K73:K286,"0",B73:B286,"1 2 4 1 3 12 31111 6 M78 07000 151 00E 002 51501 011 2112000 2019 00000000*")</f>
        <v>0</v>
      </c>
      <c r="G72" s="29">
        <f>SUMIFS(G73:G286,K73:K286,"0",B73:B286,"1 2 4 1 3 12 31111 6 M78 07000 151 00E 002 51501 011 2112000 2019 00000000*")</f>
        <v>0</v>
      </c>
      <c r="H72" s="29">
        <f t="shared" si="1"/>
        <v>4199</v>
      </c>
      <c r="I72" s="29"/>
      <c r="J72" s="31"/>
      <c r="K72" t="s">
        <v>15</v>
      </c>
    </row>
    <row r="73" spans="2:11" ht="33" x14ac:dyDescent="0.15">
      <c r="B73" s="28" t="s">
        <v>111</v>
      </c>
      <c r="C73" s="28" t="s">
        <v>34</v>
      </c>
      <c r="D73" s="29">
        <f>SUMIFS(D74:D286,K74:K286,"0",B74:B286,"1 2 4 1 3 12 31111 6 M78 07000 151 00E 002 51501 011 2112000 2019 00000000 005*")-SUMIFS(E74:E286,K74:K286,"0",B74:B286,"1 2 4 1 3 12 31111 6 M78 07000 151 00E 002 51501 011 2112000 2019 00000000 005*")</f>
        <v>4199</v>
      </c>
      <c r="E73" s="30"/>
      <c r="F73" s="29">
        <f>SUMIFS(F74:F286,K74:K286,"0",B74:B286,"1 2 4 1 3 12 31111 6 M78 07000 151 00E 002 51501 011 2112000 2019 00000000 005*")</f>
        <v>0</v>
      </c>
      <c r="G73" s="29">
        <f>SUMIFS(G74:G286,K74:K286,"0",B74:B286,"1 2 4 1 3 12 31111 6 M78 07000 151 00E 002 51501 011 2112000 2019 00000000 005*")</f>
        <v>0</v>
      </c>
      <c r="H73" s="29">
        <f t="shared" si="1"/>
        <v>4199</v>
      </c>
      <c r="I73" s="29"/>
      <c r="J73" s="31"/>
      <c r="K73" t="s">
        <v>15</v>
      </c>
    </row>
    <row r="74" spans="2:11" ht="33" x14ac:dyDescent="0.15">
      <c r="B74" s="28" t="s">
        <v>112</v>
      </c>
      <c r="C74" s="28" t="s">
        <v>113</v>
      </c>
      <c r="D74" s="29">
        <f>SUMIFS(D75:D286,K75:K286,"0",B75:B286,"1 2 4 1 3 12 31111 6 M78 07000 151 00E 002 51501 011 2112000 2019 00000000 005 022*")-SUMIFS(E75:E286,K75:K286,"0",B75:B286,"1 2 4 1 3 12 31111 6 M78 07000 151 00E 002 51501 011 2112000 2019 00000000 005 022*")</f>
        <v>4199</v>
      </c>
      <c r="E74" s="30"/>
      <c r="F74" s="29">
        <f>SUMIFS(F75:F286,K75:K286,"0",B75:B286,"1 2 4 1 3 12 31111 6 M78 07000 151 00E 002 51501 011 2112000 2019 00000000 005 022*")</f>
        <v>0</v>
      </c>
      <c r="G74" s="29">
        <f>SUMIFS(G75:G286,K75:K286,"0",B75:B286,"1 2 4 1 3 12 31111 6 M78 07000 151 00E 002 51501 011 2112000 2019 00000000 005 022*")</f>
        <v>0</v>
      </c>
      <c r="H74" s="29">
        <f t="shared" si="1"/>
        <v>4199</v>
      </c>
      <c r="I74" s="29"/>
      <c r="J74" s="31"/>
      <c r="K74" t="s">
        <v>15</v>
      </c>
    </row>
    <row r="75" spans="2:11" ht="33" x14ac:dyDescent="0.15">
      <c r="B75" s="32" t="s">
        <v>114</v>
      </c>
      <c r="C75" s="32" t="s">
        <v>115</v>
      </c>
      <c r="D75" s="33">
        <v>4199</v>
      </c>
      <c r="E75" s="33"/>
      <c r="F75" s="33">
        <v>0</v>
      </c>
      <c r="G75" s="33">
        <v>0</v>
      </c>
      <c r="H75" s="33">
        <f t="shared" si="1"/>
        <v>4199</v>
      </c>
      <c r="I75" s="33"/>
      <c r="J75" s="31"/>
      <c r="K75" t="s">
        <v>37</v>
      </c>
    </row>
    <row r="76" spans="2:11" ht="33" x14ac:dyDescent="0.15">
      <c r="B76" s="28" t="s">
        <v>116</v>
      </c>
      <c r="C76" s="28" t="s">
        <v>117</v>
      </c>
      <c r="D76" s="29">
        <f>SUMIFS(D77:D286,K77:K286,"0",B77:B286,"1 2 4 1 3 12 31111 6 M78 07000 151 00E 002 51501 011 2112000 2022*")-SUMIFS(E77:E286,K77:K286,"0",B77:B286,"1 2 4 1 3 12 31111 6 M78 07000 151 00E 002 51501 011 2112000 2022*")</f>
        <v>58000</v>
      </c>
      <c r="E76" s="30"/>
      <c r="F76" s="29">
        <f>SUMIFS(F77:F286,K77:K286,"0",B77:B286,"1 2 4 1 3 12 31111 6 M78 07000 151 00E 002 51501 011 2112000 2022*")</f>
        <v>0</v>
      </c>
      <c r="G76" s="29">
        <f>SUMIFS(G77:G286,K77:K286,"0",B77:B286,"1 2 4 1 3 12 31111 6 M78 07000 151 00E 002 51501 011 2112000 2022*")</f>
        <v>0</v>
      </c>
      <c r="H76" s="29">
        <f t="shared" ref="H76:H98" si="2">D76 + F76 - G76</f>
        <v>58000</v>
      </c>
      <c r="I76" s="29"/>
      <c r="J76" s="31"/>
      <c r="K76" t="s">
        <v>15</v>
      </c>
    </row>
    <row r="77" spans="2:11" ht="33" x14ac:dyDescent="0.15">
      <c r="B77" s="28" t="s">
        <v>118</v>
      </c>
      <c r="C77" s="28" t="s">
        <v>110</v>
      </c>
      <c r="D77" s="29">
        <f>SUMIFS(D78:D286,K78:K286,"0",B78:B286,"1 2 4 1 3 12 31111 6 M78 07000 151 00E 002 51501 011 2112000 2022 00000000*")-SUMIFS(E78:E286,K78:K286,"0",B78:B286,"1 2 4 1 3 12 31111 6 M78 07000 151 00E 002 51501 011 2112000 2022 00000000*")</f>
        <v>58000</v>
      </c>
      <c r="E77" s="30"/>
      <c r="F77" s="29">
        <f>SUMIFS(F78:F286,K78:K286,"0",B78:B286,"1 2 4 1 3 12 31111 6 M78 07000 151 00E 002 51501 011 2112000 2022 00000000*")</f>
        <v>0</v>
      </c>
      <c r="G77" s="29">
        <f>SUMIFS(G78:G286,K78:K286,"0",B78:B286,"1 2 4 1 3 12 31111 6 M78 07000 151 00E 002 51501 011 2112000 2022 00000000*")</f>
        <v>0</v>
      </c>
      <c r="H77" s="29">
        <f t="shared" si="2"/>
        <v>58000</v>
      </c>
      <c r="I77" s="29"/>
      <c r="J77" s="31"/>
      <c r="K77" t="s">
        <v>15</v>
      </c>
    </row>
    <row r="78" spans="2:11" ht="33" x14ac:dyDescent="0.15">
      <c r="B78" s="28" t="s">
        <v>119</v>
      </c>
      <c r="C78" s="28" t="s">
        <v>34</v>
      </c>
      <c r="D78" s="29">
        <f>SUMIFS(D79:D286,K79:K286,"0",B79:B286,"1 2 4 1 3 12 31111 6 M78 07000 151 00E 002 51501 011 2112000 2022 00000000 005*")-SUMIFS(E79:E286,K79:K286,"0",B79:B286,"1 2 4 1 3 12 31111 6 M78 07000 151 00E 002 51501 011 2112000 2022 00000000 005*")</f>
        <v>58000</v>
      </c>
      <c r="E78" s="30"/>
      <c r="F78" s="29">
        <f>SUMIFS(F79:F286,K79:K286,"0",B79:B286,"1 2 4 1 3 12 31111 6 M78 07000 151 00E 002 51501 011 2112000 2022 00000000 005*")</f>
        <v>0</v>
      </c>
      <c r="G78" s="29">
        <f>SUMIFS(G79:G286,K79:K286,"0",B79:B286,"1 2 4 1 3 12 31111 6 M78 07000 151 00E 002 51501 011 2112000 2022 00000000 005*")</f>
        <v>0</v>
      </c>
      <c r="H78" s="29">
        <f t="shared" si="2"/>
        <v>58000</v>
      </c>
      <c r="I78" s="29"/>
      <c r="J78" s="31"/>
      <c r="K78" t="s">
        <v>15</v>
      </c>
    </row>
    <row r="79" spans="2:11" ht="33" x14ac:dyDescent="0.15">
      <c r="B79" s="28" t="s">
        <v>120</v>
      </c>
      <c r="C79" s="28" t="s">
        <v>113</v>
      </c>
      <c r="D79" s="29">
        <f>SUMIFS(D80:D286,K80:K286,"0",B80:B286,"1 2 4 1 3 12 31111 6 M78 07000 151 00E 002 51501 011 2112000 2022 00000000 005 022*")-SUMIFS(E80:E286,K80:K286,"0",B80:B286,"1 2 4 1 3 12 31111 6 M78 07000 151 00E 002 51501 011 2112000 2022 00000000 005 022*")</f>
        <v>58000</v>
      </c>
      <c r="E79" s="30"/>
      <c r="F79" s="29">
        <f>SUMIFS(F80:F286,K80:K286,"0",B80:B286,"1 2 4 1 3 12 31111 6 M78 07000 151 00E 002 51501 011 2112000 2022 00000000 005 022*")</f>
        <v>0</v>
      </c>
      <c r="G79" s="29">
        <f>SUMIFS(G80:G286,K80:K286,"0",B80:B286,"1 2 4 1 3 12 31111 6 M78 07000 151 00E 002 51501 011 2112000 2022 00000000 005 022*")</f>
        <v>0</v>
      </c>
      <c r="H79" s="29">
        <f t="shared" si="2"/>
        <v>58000</v>
      </c>
      <c r="I79" s="29"/>
      <c r="J79" s="31"/>
      <c r="K79" t="s">
        <v>15</v>
      </c>
    </row>
    <row r="80" spans="2:11" ht="33" x14ac:dyDescent="0.15">
      <c r="B80" s="32" t="s">
        <v>121</v>
      </c>
      <c r="C80" s="32" t="s">
        <v>122</v>
      </c>
      <c r="D80" s="33">
        <v>58000</v>
      </c>
      <c r="E80" s="33"/>
      <c r="F80" s="33">
        <v>0</v>
      </c>
      <c r="G80" s="33">
        <v>0</v>
      </c>
      <c r="H80" s="33">
        <f t="shared" si="2"/>
        <v>58000</v>
      </c>
      <c r="I80" s="33"/>
      <c r="J80" s="31"/>
      <c r="K80" t="s">
        <v>37</v>
      </c>
    </row>
    <row r="81" spans="2:11" ht="13" x14ac:dyDescent="0.15">
      <c r="B81" s="28" t="s">
        <v>123</v>
      </c>
      <c r="C81" s="28" t="s">
        <v>124</v>
      </c>
      <c r="D81" s="29">
        <f>SUMIFS(D82:D286,K82:K286,"0",B82:B286,"1 2 4 2*")-SUMIFS(E82:E286,K82:K286,"0",B82:B286,"1 2 4 2*")</f>
        <v>4300</v>
      </c>
      <c r="E81" s="30"/>
      <c r="F81" s="29">
        <f>SUMIFS(F82:F286,K82:K286,"0",B82:B286,"1 2 4 2*")</f>
        <v>0</v>
      </c>
      <c r="G81" s="29">
        <f>SUMIFS(G82:G286,K82:K286,"0",B82:B286,"1 2 4 2*")</f>
        <v>0</v>
      </c>
      <c r="H81" s="29">
        <f t="shared" si="2"/>
        <v>4300</v>
      </c>
      <c r="I81" s="29"/>
      <c r="J81" s="31"/>
      <c r="K81" t="s">
        <v>15</v>
      </c>
    </row>
    <row r="82" spans="2:11" ht="13" x14ac:dyDescent="0.15">
      <c r="B82" s="28" t="s">
        <v>125</v>
      </c>
      <c r="C82" s="28" t="s">
        <v>126</v>
      </c>
      <c r="D82" s="29">
        <f>SUMIFS(D83:D286,K83:K286,"0",B83:B286,"1 2 4 2 1*")-SUMIFS(E83:E286,K83:K286,"0",B83:B286,"1 2 4 2 1*")</f>
        <v>4300</v>
      </c>
      <c r="E82" s="30"/>
      <c r="F82" s="29">
        <f>SUMIFS(F83:F286,K83:K286,"0",B83:B286,"1 2 4 2 1*")</f>
        <v>0</v>
      </c>
      <c r="G82" s="29">
        <f>SUMIFS(G83:G286,K83:K286,"0",B83:B286,"1 2 4 2 1*")</f>
        <v>0</v>
      </c>
      <c r="H82" s="29">
        <f t="shared" si="2"/>
        <v>4300</v>
      </c>
      <c r="I82" s="29"/>
      <c r="J82" s="31"/>
      <c r="K82" t="s">
        <v>15</v>
      </c>
    </row>
    <row r="83" spans="2:11" ht="13" x14ac:dyDescent="0.15">
      <c r="B83" s="28" t="s">
        <v>127</v>
      </c>
      <c r="C83" s="28" t="s">
        <v>26</v>
      </c>
      <c r="D83" s="29">
        <f>SUMIFS(D84:D286,K84:K286,"0",B84:B286,"1 2 4 2 1 12*")-SUMIFS(E84:E286,K84:K286,"0",B84:B286,"1 2 4 2 1 12*")</f>
        <v>4300</v>
      </c>
      <c r="E83" s="30"/>
      <c r="F83" s="29">
        <f>SUMIFS(F84:F286,K84:K286,"0",B84:B286,"1 2 4 2 1 12*")</f>
        <v>0</v>
      </c>
      <c r="G83" s="29">
        <f>SUMIFS(G84:G286,K84:K286,"0",B84:B286,"1 2 4 2 1 12*")</f>
        <v>0</v>
      </c>
      <c r="H83" s="29">
        <f t="shared" si="2"/>
        <v>4300</v>
      </c>
      <c r="I83" s="29"/>
      <c r="J83" s="31"/>
      <c r="K83" t="s">
        <v>15</v>
      </c>
    </row>
    <row r="84" spans="2:11" ht="13" x14ac:dyDescent="0.15">
      <c r="B84" s="28" t="s">
        <v>128</v>
      </c>
      <c r="C84" s="28" t="s">
        <v>28</v>
      </c>
      <c r="D84" s="29">
        <f>SUMIFS(D85:D286,K85:K286,"0",B85:B286,"1 2 4 2 1 12 31111*")-SUMIFS(E85:E286,K85:K286,"0",B85:B286,"1 2 4 2 1 12 31111*")</f>
        <v>4300</v>
      </c>
      <c r="E84" s="30"/>
      <c r="F84" s="29">
        <f>SUMIFS(F85:F286,K85:K286,"0",B85:B286,"1 2 4 2 1 12 31111*")</f>
        <v>0</v>
      </c>
      <c r="G84" s="29">
        <f>SUMIFS(G85:G286,K85:K286,"0",B85:B286,"1 2 4 2 1 12 31111*")</f>
        <v>0</v>
      </c>
      <c r="H84" s="29">
        <f t="shared" si="2"/>
        <v>4300</v>
      </c>
      <c r="I84" s="29"/>
      <c r="J84" s="31"/>
      <c r="K84" t="s">
        <v>15</v>
      </c>
    </row>
    <row r="85" spans="2:11" ht="13" x14ac:dyDescent="0.15">
      <c r="B85" s="28" t="s">
        <v>129</v>
      </c>
      <c r="C85" s="28" t="s">
        <v>30</v>
      </c>
      <c r="D85" s="29">
        <f>SUMIFS(D86:D286,K86:K286,"0",B86:B286,"1 2 4 2 1 12 31111 6*")-SUMIFS(E86:E286,K86:K286,"0",B86:B286,"1 2 4 2 1 12 31111 6*")</f>
        <v>4300</v>
      </c>
      <c r="E85" s="30"/>
      <c r="F85" s="29">
        <f>SUMIFS(F86:F286,K86:K286,"0",B86:B286,"1 2 4 2 1 12 31111 6*")</f>
        <v>0</v>
      </c>
      <c r="G85" s="29">
        <f>SUMIFS(G86:G286,K86:K286,"0",B86:B286,"1 2 4 2 1 12 31111 6*")</f>
        <v>0</v>
      </c>
      <c r="H85" s="29">
        <f t="shared" si="2"/>
        <v>4300</v>
      </c>
      <c r="I85" s="29"/>
      <c r="J85" s="31"/>
      <c r="K85" t="s">
        <v>15</v>
      </c>
    </row>
    <row r="86" spans="2:11" ht="13" x14ac:dyDescent="0.15">
      <c r="B86" s="28" t="s">
        <v>130</v>
      </c>
      <c r="C86" s="28" t="s">
        <v>131</v>
      </c>
      <c r="D86" s="29">
        <f>SUMIFS(D87:D286,K87:K286,"0",B87:B286,"1 2 4 2 1 12 31111 6 M78*")-SUMIFS(E87:E286,K87:K286,"0",B87:B286,"1 2 4 2 1 12 31111 6 M78*")</f>
        <v>4300</v>
      </c>
      <c r="E86" s="30"/>
      <c r="F86" s="29">
        <f>SUMIFS(F87:F286,K87:K286,"0",B87:B286,"1 2 4 2 1 12 31111 6 M78*")</f>
        <v>0</v>
      </c>
      <c r="G86" s="29">
        <f>SUMIFS(G87:G286,K87:K286,"0",B87:B286,"1 2 4 2 1 12 31111 6 M78*")</f>
        <v>0</v>
      </c>
      <c r="H86" s="29">
        <f t="shared" si="2"/>
        <v>4300</v>
      </c>
      <c r="I86" s="29"/>
      <c r="J86" s="31"/>
      <c r="K86" t="s">
        <v>15</v>
      </c>
    </row>
    <row r="87" spans="2:11" ht="13" x14ac:dyDescent="0.15">
      <c r="B87" s="28" t="s">
        <v>132</v>
      </c>
      <c r="C87" s="28" t="s">
        <v>94</v>
      </c>
      <c r="D87" s="29">
        <f>SUMIFS(D88:D286,K88:K286,"0",B88:B286,"1 2 4 2 1 12 31111 6 M78 07000*")-SUMIFS(E88:E286,K88:K286,"0",B88:B286,"1 2 4 2 1 12 31111 6 M78 07000*")</f>
        <v>4300</v>
      </c>
      <c r="E87" s="30"/>
      <c r="F87" s="29">
        <f>SUMIFS(F88:F286,K88:K286,"0",B88:B286,"1 2 4 2 1 12 31111 6 M78 07000*")</f>
        <v>0</v>
      </c>
      <c r="G87" s="29">
        <f>SUMIFS(G88:G286,K88:K286,"0",B88:B286,"1 2 4 2 1 12 31111 6 M78 07000*")</f>
        <v>0</v>
      </c>
      <c r="H87" s="29">
        <f t="shared" si="2"/>
        <v>4300</v>
      </c>
      <c r="I87" s="29"/>
      <c r="J87" s="31"/>
      <c r="K87" t="s">
        <v>15</v>
      </c>
    </row>
    <row r="88" spans="2:11" ht="22" x14ac:dyDescent="0.15">
      <c r="B88" s="28" t="s">
        <v>133</v>
      </c>
      <c r="C88" s="28" t="s">
        <v>96</v>
      </c>
      <c r="D88" s="29">
        <f>SUMIFS(D89:D286,K89:K286,"0",B89:B286,"1 2 4 2 1 12 31111 6 M78 07000 151*")-SUMIFS(E89:E286,K89:K286,"0",B89:B286,"1 2 4 2 1 12 31111 6 M78 07000 151*")</f>
        <v>4300</v>
      </c>
      <c r="E88" s="30"/>
      <c r="F88" s="29">
        <f>SUMIFS(F89:F286,K89:K286,"0",B89:B286,"1 2 4 2 1 12 31111 6 M78 07000 151*")</f>
        <v>0</v>
      </c>
      <c r="G88" s="29">
        <f>SUMIFS(G89:G286,K89:K286,"0",B89:B286,"1 2 4 2 1 12 31111 6 M78 07000 151*")</f>
        <v>0</v>
      </c>
      <c r="H88" s="29">
        <f t="shared" si="2"/>
        <v>4300</v>
      </c>
      <c r="I88" s="29"/>
      <c r="J88" s="31"/>
      <c r="K88" t="s">
        <v>15</v>
      </c>
    </row>
    <row r="89" spans="2:11" ht="22" x14ac:dyDescent="0.15">
      <c r="B89" s="28" t="s">
        <v>134</v>
      </c>
      <c r="C89" s="28" t="s">
        <v>98</v>
      </c>
      <c r="D89" s="29">
        <f>SUMIFS(D90:D286,K90:K286,"0",B90:B286,"1 2 4 2 1 12 31111 6 M78 07000 151 00E*")-SUMIFS(E90:E286,K90:K286,"0",B90:B286,"1 2 4 2 1 12 31111 6 M78 07000 151 00E*")</f>
        <v>4300</v>
      </c>
      <c r="E89" s="30"/>
      <c r="F89" s="29">
        <f>SUMIFS(F90:F286,K90:K286,"0",B90:B286,"1 2 4 2 1 12 31111 6 M78 07000 151 00E*")</f>
        <v>0</v>
      </c>
      <c r="G89" s="29">
        <f>SUMIFS(G90:G286,K90:K286,"0",B90:B286,"1 2 4 2 1 12 31111 6 M78 07000 151 00E*")</f>
        <v>0</v>
      </c>
      <c r="H89" s="29">
        <f t="shared" si="2"/>
        <v>4300</v>
      </c>
      <c r="I89" s="29"/>
      <c r="J89" s="31"/>
      <c r="K89" t="s">
        <v>15</v>
      </c>
    </row>
    <row r="90" spans="2:11" ht="22" x14ac:dyDescent="0.15">
      <c r="B90" s="28" t="s">
        <v>135</v>
      </c>
      <c r="C90" s="28" t="s">
        <v>100</v>
      </c>
      <c r="D90" s="29">
        <f>SUMIFS(D91:D286,K91:K286,"0",B91:B286,"1 2 4 2 1 12 31111 6 M78 07000 151 00E 002*")-SUMIFS(E91:E286,K91:K286,"0",B91:B286,"1 2 4 2 1 12 31111 6 M78 07000 151 00E 002*")</f>
        <v>4300</v>
      </c>
      <c r="E90" s="30"/>
      <c r="F90" s="29">
        <f>SUMIFS(F91:F286,K91:K286,"0",B91:B286,"1 2 4 2 1 12 31111 6 M78 07000 151 00E 002*")</f>
        <v>0</v>
      </c>
      <c r="G90" s="29">
        <f>SUMIFS(G91:G286,K91:K286,"0",B91:B286,"1 2 4 2 1 12 31111 6 M78 07000 151 00E 002*")</f>
        <v>0</v>
      </c>
      <c r="H90" s="29">
        <f t="shared" si="2"/>
        <v>4300</v>
      </c>
      <c r="I90" s="29"/>
      <c r="J90" s="31"/>
      <c r="K90" t="s">
        <v>15</v>
      </c>
    </row>
    <row r="91" spans="2:11" ht="22" x14ac:dyDescent="0.15">
      <c r="B91" s="28" t="s">
        <v>136</v>
      </c>
      <c r="C91" s="28" t="s">
        <v>137</v>
      </c>
      <c r="D91" s="29">
        <f>SUMIFS(D92:D286,K92:K286,"0",B92:B286,"1 2 4 2 1 12 31111 6 M78 07000 151 00E 002 52101*")-SUMIFS(E92:E286,K92:K286,"0",B92:B286,"1 2 4 2 1 12 31111 6 M78 07000 151 00E 002 52101*")</f>
        <v>4300</v>
      </c>
      <c r="E91" s="30"/>
      <c r="F91" s="29">
        <f>SUMIFS(F92:F286,K92:K286,"0",B92:B286,"1 2 4 2 1 12 31111 6 M78 07000 151 00E 002 52101*")</f>
        <v>0</v>
      </c>
      <c r="G91" s="29">
        <f>SUMIFS(G92:G286,K92:K286,"0",B92:B286,"1 2 4 2 1 12 31111 6 M78 07000 151 00E 002 52101*")</f>
        <v>0</v>
      </c>
      <c r="H91" s="29">
        <f t="shared" si="2"/>
        <v>4300</v>
      </c>
      <c r="I91" s="29"/>
      <c r="J91" s="31"/>
      <c r="K91" t="s">
        <v>15</v>
      </c>
    </row>
    <row r="92" spans="2:11" ht="22" x14ac:dyDescent="0.15">
      <c r="B92" s="28" t="s">
        <v>138</v>
      </c>
      <c r="C92" s="28" t="s">
        <v>104</v>
      </c>
      <c r="D92" s="29">
        <f>SUMIFS(D93:D286,K93:K286,"0",B93:B286,"1 2 4 2 1 12 31111 6 M78 07000 151 00E 002 52101 011*")-SUMIFS(E93:E286,K93:K286,"0",B93:B286,"1 2 4 2 1 12 31111 6 M78 07000 151 00E 002 52101 011*")</f>
        <v>4300</v>
      </c>
      <c r="E92" s="30"/>
      <c r="F92" s="29">
        <f>SUMIFS(F93:F286,K93:K286,"0",B93:B286,"1 2 4 2 1 12 31111 6 M78 07000 151 00E 002 52101 011*")</f>
        <v>0</v>
      </c>
      <c r="G92" s="29">
        <f>SUMIFS(G93:G286,K93:K286,"0",B93:B286,"1 2 4 2 1 12 31111 6 M78 07000 151 00E 002 52101 011*")</f>
        <v>0</v>
      </c>
      <c r="H92" s="29">
        <f t="shared" si="2"/>
        <v>4300</v>
      </c>
      <c r="I92" s="29"/>
      <c r="J92" s="31"/>
      <c r="K92" t="s">
        <v>15</v>
      </c>
    </row>
    <row r="93" spans="2:11" ht="22" x14ac:dyDescent="0.15">
      <c r="B93" s="28" t="s">
        <v>139</v>
      </c>
      <c r="C93" s="28" t="s">
        <v>106</v>
      </c>
      <c r="D93" s="29">
        <f>SUMIFS(D94:D286,K94:K286,"0",B94:B286,"1 2 4 2 1 12 31111 6 M78 07000 151 00E 002 52101 011 2112000*")-SUMIFS(E94:E286,K94:K286,"0",B94:B286,"1 2 4 2 1 12 31111 6 M78 07000 151 00E 002 52101 011 2112000*")</f>
        <v>4300</v>
      </c>
      <c r="E93" s="30"/>
      <c r="F93" s="29">
        <f>SUMIFS(F94:F286,K94:K286,"0",B94:B286,"1 2 4 2 1 12 31111 6 M78 07000 151 00E 002 52101 011 2112000*")</f>
        <v>0</v>
      </c>
      <c r="G93" s="29">
        <f>SUMIFS(G94:G286,K94:K286,"0",B94:B286,"1 2 4 2 1 12 31111 6 M78 07000 151 00E 002 52101 011 2112000*")</f>
        <v>0</v>
      </c>
      <c r="H93" s="29">
        <f t="shared" si="2"/>
        <v>4300</v>
      </c>
      <c r="I93" s="29"/>
      <c r="J93" s="31"/>
      <c r="K93" t="s">
        <v>15</v>
      </c>
    </row>
    <row r="94" spans="2:11" ht="33" x14ac:dyDescent="0.15">
      <c r="B94" s="28" t="s">
        <v>140</v>
      </c>
      <c r="C94" s="28" t="s">
        <v>108</v>
      </c>
      <c r="D94" s="29">
        <f>SUMIFS(D95:D286,K95:K286,"0",B95:B286,"1 2 4 2 1 12 31111 6 M78 07000 151 00E 002 52101 011 2112000 2019*")-SUMIFS(E95:E286,K95:K286,"0",B95:B286,"1 2 4 2 1 12 31111 6 M78 07000 151 00E 002 52101 011 2112000 2019*")</f>
        <v>4300</v>
      </c>
      <c r="E94" s="30"/>
      <c r="F94" s="29">
        <f>SUMIFS(F95:F286,K95:K286,"0",B95:B286,"1 2 4 2 1 12 31111 6 M78 07000 151 00E 002 52101 011 2112000 2019*")</f>
        <v>0</v>
      </c>
      <c r="G94" s="29">
        <f>SUMIFS(G95:G286,K95:K286,"0",B95:B286,"1 2 4 2 1 12 31111 6 M78 07000 151 00E 002 52101 011 2112000 2019*")</f>
        <v>0</v>
      </c>
      <c r="H94" s="29">
        <f t="shared" si="2"/>
        <v>4300</v>
      </c>
      <c r="I94" s="29"/>
      <c r="J94" s="31"/>
      <c r="K94" t="s">
        <v>15</v>
      </c>
    </row>
    <row r="95" spans="2:11" ht="33" x14ac:dyDescent="0.15">
      <c r="B95" s="28" t="s">
        <v>141</v>
      </c>
      <c r="C95" s="28" t="s">
        <v>142</v>
      </c>
      <c r="D95" s="29">
        <f>SUMIFS(D96:D286,K96:K286,"0",B96:B286,"1 2 4 2 1 12 31111 6 M78 07000 151 00E 002 52101 011 2112000 2019 00000000*")-SUMIFS(E96:E286,K96:K286,"0",B96:B286,"1 2 4 2 1 12 31111 6 M78 07000 151 00E 002 52101 011 2112000 2019 00000000*")</f>
        <v>4300</v>
      </c>
      <c r="E95" s="30"/>
      <c r="F95" s="29">
        <f>SUMIFS(F96:F286,K96:K286,"0",B96:B286,"1 2 4 2 1 12 31111 6 M78 07000 151 00E 002 52101 011 2112000 2019 00000000*")</f>
        <v>0</v>
      </c>
      <c r="G95" s="29">
        <f>SUMIFS(G96:G286,K96:K286,"0",B96:B286,"1 2 4 2 1 12 31111 6 M78 07000 151 00E 002 52101 011 2112000 2019 00000000*")</f>
        <v>0</v>
      </c>
      <c r="H95" s="29">
        <f t="shared" si="2"/>
        <v>4300</v>
      </c>
      <c r="I95" s="29"/>
      <c r="J95" s="31"/>
      <c r="K95" t="s">
        <v>15</v>
      </c>
    </row>
    <row r="96" spans="2:11" ht="33" x14ac:dyDescent="0.15">
      <c r="B96" s="28" t="s">
        <v>143</v>
      </c>
      <c r="C96" s="28" t="s">
        <v>34</v>
      </c>
      <c r="D96" s="29">
        <f>SUMIFS(D97:D286,K97:K286,"0",B97:B286,"1 2 4 2 1 12 31111 6 M78 07000 151 00E 002 52101 011 2112000 2019 00000000 005*")-SUMIFS(E97:E286,K97:K286,"0",B97:B286,"1 2 4 2 1 12 31111 6 M78 07000 151 00E 002 52101 011 2112000 2019 00000000 005*")</f>
        <v>4300</v>
      </c>
      <c r="E96" s="30"/>
      <c r="F96" s="29">
        <f>SUMIFS(F97:F286,K97:K286,"0",B97:B286,"1 2 4 2 1 12 31111 6 M78 07000 151 00E 002 52101 011 2112000 2019 00000000 005*")</f>
        <v>0</v>
      </c>
      <c r="G96" s="29">
        <f>SUMIFS(G97:G286,K97:K286,"0",B97:B286,"1 2 4 2 1 12 31111 6 M78 07000 151 00E 002 52101 011 2112000 2019 00000000 005*")</f>
        <v>0</v>
      </c>
      <c r="H96" s="29">
        <f t="shared" si="2"/>
        <v>4300</v>
      </c>
      <c r="I96" s="29"/>
      <c r="J96" s="31"/>
      <c r="K96" t="s">
        <v>15</v>
      </c>
    </row>
    <row r="97" spans="2:11" ht="33" x14ac:dyDescent="0.15">
      <c r="B97" s="28" t="s">
        <v>144</v>
      </c>
      <c r="C97" s="28" t="s">
        <v>145</v>
      </c>
      <c r="D97" s="29">
        <f>SUMIFS(D98:D286,K98:K286,"0",B98:B286,"1 2 4 2 1 12 31111 6 M78 07000 151 00E 002 52101 011 2112000 2019 00000000 005 007*")-SUMIFS(E98:E286,K98:K286,"0",B98:B286,"1 2 4 2 1 12 31111 6 M78 07000 151 00E 002 52101 011 2112000 2019 00000000 005 007*")</f>
        <v>4300</v>
      </c>
      <c r="E97" s="30"/>
      <c r="F97" s="29">
        <f>SUMIFS(F98:F286,K98:K286,"0",B98:B286,"1 2 4 2 1 12 31111 6 M78 07000 151 00E 002 52101 011 2112000 2019 00000000 005 007*")</f>
        <v>0</v>
      </c>
      <c r="G97" s="29">
        <f>SUMIFS(G98:G286,K98:K286,"0",B98:B286,"1 2 4 2 1 12 31111 6 M78 07000 151 00E 002 52101 011 2112000 2019 00000000 005 007*")</f>
        <v>0</v>
      </c>
      <c r="H97" s="29">
        <f t="shared" si="2"/>
        <v>4300</v>
      </c>
      <c r="I97" s="29"/>
      <c r="J97" s="31"/>
      <c r="K97" t="s">
        <v>15</v>
      </c>
    </row>
    <row r="98" spans="2:11" ht="33" x14ac:dyDescent="0.15">
      <c r="B98" s="32" t="s">
        <v>146</v>
      </c>
      <c r="C98" s="32" t="s">
        <v>147</v>
      </c>
      <c r="D98" s="33">
        <v>4300</v>
      </c>
      <c r="E98" s="33"/>
      <c r="F98" s="33">
        <v>0</v>
      </c>
      <c r="G98" s="33">
        <v>0</v>
      </c>
      <c r="H98" s="33">
        <f t="shared" si="2"/>
        <v>4300</v>
      </c>
      <c r="I98" s="33"/>
      <c r="J98" s="31"/>
      <c r="K98" t="s">
        <v>37</v>
      </c>
    </row>
    <row r="99" spans="2:11" ht="13" x14ac:dyDescent="0.15">
      <c r="B99" s="28" t="s">
        <v>148</v>
      </c>
      <c r="C99" s="28" t="s">
        <v>149</v>
      </c>
      <c r="D99" s="30"/>
      <c r="E99" s="29">
        <f>SUMIFS(E100:E286,K100:K286,"0",B100:B286,"2*")-SUMIFS(D100:D286,K100:K286,"0",B100:B286,"2*")</f>
        <v>59014.01</v>
      </c>
      <c r="F99" s="29">
        <f>SUMIFS(F100:F286,K100:K286,"0",B100:B286,"2*")</f>
        <v>42797.81</v>
      </c>
      <c r="G99" s="29">
        <f>SUMIFS(G100:G286,K100:K286,"0",B100:B286,"2*")</f>
        <v>45413.99</v>
      </c>
      <c r="H99" s="29"/>
      <c r="I99" s="29">
        <f t="shared" ref="I99:I130" si="3">E99 - F99 + G99</f>
        <v>61630.19</v>
      </c>
      <c r="J99" s="31"/>
      <c r="K99" t="s">
        <v>15</v>
      </c>
    </row>
    <row r="100" spans="2:11" ht="13" x14ac:dyDescent="0.15">
      <c r="B100" s="28" t="s">
        <v>150</v>
      </c>
      <c r="C100" s="28" t="s">
        <v>151</v>
      </c>
      <c r="D100" s="30"/>
      <c r="E100" s="29">
        <f>SUMIFS(E101:E286,K101:K286,"0",B101:B286,"2 1*")-SUMIFS(D101:D286,K101:K286,"0",B101:B286,"2 1*")</f>
        <v>59014.01</v>
      </c>
      <c r="F100" s="29">
        <f>SUMIFS(F101:F286,K101:K286,"0",B101:B286,"2 1*")</f>
        <v>42797.81</v>
      </c>
      <c r="G100" s="29">
        <f>SUMIFS(G101:G286,K101:K286,"0",B101:B286,"2 1*")</f>
        <v>45413.99</v>
      </c>
      <c r="H100" s="29"/>
      <c r="I100" s="29">
        <f t="shared" si="3"/>
        <v>61630.19</v>
      </c>
      <c r="J100" s="31"/>
      <c r="K100" t="s">
        <v>15</v>
      </c>
    </row>
    <row r="101" spans="2:11" ht="13" x14ac:dyDescent="0.15">
      <c r="B101" s="28" t="s">
        <v>152</v>
      </c>
      <c r="C101" s="28" t="s">
        <v>153</v>
      </c>
      <c r="D101" s="30"/>
      <c r="E101" s="29">
        <f>SUMIFS(E102:E286,K102:K286,"0",B102:B286,"2 1 1*")-SUMIFS(D102:D286,K102:K286,"0",B102:B286,"2 1 1*")</f>
        <v>59014.01</v>
      </c>
      <c r="F101" s="29">
        <f>SUMIFS(F102:F286,K102:K286,"0",B102:B286,"2 1 1*")</f>
        <v>42797.81</v>
      </c>
      <c r="G101" s="29">
        <f>SUMIFS(G102:G286,K102:K286,"0",B102:B286,"2 1 1*")</f>
        <v>45413.99</v>
      </c>
      <c r="H101" s="29"/>
      <c r="I101" s="29">
        <f t="shared" si="3"/>
        <v>61630.19</v>
      </c>
      <c r="J101" s="31"/>
      <c r="K101" t="s">
        <v>15</v>
      </c>
    </row>
    <row r="102" spans="2:11" ht="13" x14ac:dyDescent="0.15">
      <c r="B102" s="28" t="s">
        <v>154</v>
      </c>
      <c r="C102" s="28" t="s">
        <v>155</v>
      </c>
      <c r="D102" s="30"/>
      <c r="E102" s="29">
        <f>SUMIFS(E103:E286,K103:K286,"0",B103:B286,"2 1 1 2*")-SUMIFS(D103:D286,K103:K286,"0",B103:B286,"2 1 1 2*")</f>
        <v>0</v>
      </c>
      <c r="F102" s="29">
        <f>SUMIFS(F103:F286,K103:K286,"0",B103:B286,"2 1 1 2*")</f>
        <v>42797.81</v>
      </c>
      <c r="G102" s="29">
        <f>SUMIFS(G103:G286,K103:K286,"0",B103:B286,"2 1 1 2*")</f>
        <v>42797.81</v>
      </c>
      <c r="H102" s="29"/>
      <c r="I102" s="29">
        <f t="shared" si="3"/>
        <v>0</v>
      </c>
      <c r="J102" s="31"/>
      <c r="K102" t="s">
        <v>15</v>
      </c>
    </row>
    <row r="103" spans="2:11" ht="22" x14ac:dyDescent="0.15">
      <c r="B103" s="28" t="s">
        <v>156</v>
      </c>
      <c r="C103" s="28" t="s">
        <v>157</v>
      </c>
      <c r="D103" s="30"/>
      <c r="E103" s="29">
        <f>SUMIFS(E104:E286,K104:K286,"0",B104:B286,"2 1 1 2 1*")-SUMIFS(D104:D286,K104:K286,"0",B104:B286,"2 1 1 2 1*")</f>
        <v>0</v>
      </c>
      <c r="F103" s="29">
        <f>SUMIFS(F104:F286,K104:K286,"0",B104:B286,"2 1 1 2 1*")</f>
        <v>42797.81</v>
      </c>
      <c r="G103" s="29">
        <f>SUMIFS(G104:G286,K104:K286,"0",B104:B286,"2 1 1 2 1*")</f>
        <v>42797.81</v>
      </c>
      <c r="H103" s="29"/>
      <c r="I103" s="29">
        <f t="shared" si="3"/>
        <v>0</v>
      </c>
      <c r="J103" s="31"/>
      <c r="K103" t="s">
        <v>15</v>
      </c>
    </row>
    <row r="104" spans="2:11" ht="13" x14ac:dyDescent="0.15">
      <c r="B104" s="28" t="s">
        <v>158</v>
      </c>
      <c r="C104" s="28" t="s">
        <v>26</v>
      </c>
      <c r="D104" s="30"/>
      <c r="E104" s="29">
        <f>SUMIFS(E105:E286,K105:K286,"0",B105:B286,"2 1 1 2 1 12*")-SUMIFS(D105:D286,K105:K286,"0",B105:B286,"2 1 1 2 1 12*")</f>
        <v>0</v>
      </c>
      <c r="F104" s="29">
        <f>SUMIFS(F105:F286,K105:K286,"0",B105:B286,"2 1 1 2 1 12*")</f>
        <v>42797.81</v>
      </c>
      <c r="G104" s="29">
        <f>SUMIFS(G105:G286,K105:K286,"0",B105:B286,"2 1 1 2 1 12*")</f>
        <v>42797.81</v>
      </c>
      <c r="H104" s="29"/>
      <c r="I104" s="29">
        <f t="shared" si="3"/>
        <v>0</v>
      </c>
      <c r="J104" s="31"/>
      <c r="K104" t="s">
        <v>15</v>
      </c>
    </row>
    <row r="105" spans="2:11" ht="13" x14ac:dyDescent="0.15">
      <c r="B105" s="28" t="s">
        <v>159</v>
      </c>
      <c r="C105" s="28" t="s">
        <v>28</v>
      </c>
      <c r="D105" s="30"/>
      <c r="E105" s="29">
        <f>SUMIFS(E106:E286,K106:K286,"0",B106:B286,"2 1 1 2 1 12 31111*")-SUMIFS(D106:D286,K106:K286,"0",B106:B286,"2 1 1 2 1 12 31111*")</f>
        <v>0</v>
      </c>
      <c r="F105" s="29">
        <f>SUMIFS(F106:F286,K106:K286,"0",B106:B286,"2 1 1 2 1 12 31111*")</f>
        <v>42797.81</v>
      </c>
      <c r="G105" s="29">
        <f>SUMIFS(G106:G286,K106:K286,"0",B106:B286,"2 1 1 2 1 12 31111*")</f>
        <v>42797.81</v>
      </c>
      <c r="H105" s="29"/>
      <c r="I105" s="29">
        <f t="shared" si="3"/>
        <v>0</v>
      </c>
      <c r="J105" s="31"/>
      <c r="K105" t="s">
        <v>15</v>
      </c>
    </row>
    <row r="106" spans="2:11" ht="13" x14ac:dyDescent="0.15">
      <c r="B106" s="28" t="s">
        <v>160</v>
      </c>
      <c r="C106" s="28" t="s">
        <v>30</v>
      </c>
      <c r="D106" s="30"/>
      <c r="E106" s="29">
        <f>SUMIFS(E107:E286,K107:K286,"0",B107:B286,"2 1 1 2 1 12 31111 6*")-SUMIFS(D107:D286,K107:K286,"0",B107:B286,"2 1 1 2 1 12 31111 6*")</f>
        <v>0</v>
      </c>
      <c r="F106" s="29">
        <f>SUMIFS(F107:F286,K107:K286,"0",B107:B286,"2 1 1 2 1 12 31111 6*")</f>
        <v>42797.81</v>
      </c>
      <c r="G106" s="29">
        <f>SUMIFS(G107:G286,K107:K286,"0",B107:B286,"2 1 1 2 1 12 31111 6*")</f>
        <v>42797.81</v>
      </c>
      <c r="H106" s="29"/>
      <c r="I106" s="29">
        <f t="shared" si="3"/>
        <v>0</v>
      </c>
      <c r="J106" s="31"/>
      <c r="K106" t="s">
        <v>15</v>
      </c>
    </row>
    <row r="107" spans="2:11" ht="13" x14ac:dyDescent="0.15">
      <c r="B107" s="28" t="s">
        <v>161</v>
      </c>
      <c r="C107" s="28" t="s">
        <v>32</v>
      </c>
      <c r="D107" s="30"/>
      <c r="E107" s="29">
        <f>SUMIFS(E108:E286,K108:K286,"0",B108:B286,"2 1 1 2 1 12 31111 6 M78*")-SUMIFS(D108:D286,K108:K286,"0",B108:B286,"2 1 1 2 1 12 31111 6 M78*")</f>
        <v>0</v>
      </c>
      <c r="F107" s="29">
        <f>SUMIFS(F108:F286,K108:K286,"0",B108:B286,"2 1 1 2 1 12 31111 6 M78*")</f>
        <v>42797.81</v>
      </c>
      <c r="G107" s="29">
        <f>SUMIFS(G108:G286,K108:K286,"0",B108:B286,"2 1 1 2 1 12 31111 6 M78*")</f>
        <v>42797.81</v>
      </c>
      <c r="H107" s="29"/>
      <c r="I107" s="29">
        <f t="shared" si="3"/>
        <v>0</v>
      </c>
      <c r="J107" s="31"/>
      <c r="K107" t="s">
        <v>15</v>
      </c>
    </row>
    <row r="108" spans="2:11" ht="13" x14ac:dyDescent="0.15">
      <c r="B108" s="28" t="s">
        <v>162</v>
      </c>
      <c r="C108" s="28" t="s">
        <v>163</v>
      </c>
      <c r="D108" s="30"/>
      <c r="E108" s="29">
        <f>SUMIFS(E109:E286,K109:K286,"0",B109:B286,"2 1 1 2 1 12 31111 6 M78 00005*")-SUMIFS(D109:D286,K109:K286,"0",B109:B286,"2 1 1 2 1 12 31111 6 M78 00005*")</f>
        <v>0</v>
      </c>
      <c r="F108" s="29">
        <f>SUMIFS(F109:F286,K109:K286,"0",B109:B286,"2 1 1 2 1 12 31111 6 M78 00005*")</f>
        <v>42797.81</v>
      </c>
      <c r="G108" s="29">
        <f>SUMIFS(G109:G286,K109:K286,"0",B109:B286,"2 1 1 2 1 12 31111 6 M78 00005*")</f>
        <v>42797.81</v>
      </c>
      <c r="H108" s="29"/>
      <c r="I108" s="29">
        <f t="shared" si="3"/>
        <v>0</v>
      </c>
      <c r="J108" s="31"/>
      <c r="K108" t="s">
        <v>15</v>
      </c>
    </row>
    <row r="109" spans="2:11" ht="22" x14ac:dyDescent="0.15">
      <c r="B109" s="32" t="s">
        <v>164</v>
      </c>
      <c r="C109" s="32" t="s">
        <v>50</v>
      </c>
      <c r="D109" s="33"/>
      <c r="E109" s="33">
        <v>0</v>
      </c>
      <c r="F109" s="33">
        <v>11693.4</v>
      </c>
      <c r="G109" s="33">
        <v>11693.4</v>
      </c>
      <c r="H109" s="33"/>
      <c r="I109" s="33">
        <f t="shared" si="3"/>
        <v>0</v>
      </c>
      <c r="J109" s="31"/>
      <c r="K109" t="s">
        <v>37</v>
      </c>
    </row>
    <row r="110" spans="2:11" ht="22" x14ac:dyDescent="0.15">
      <c r="B110" s="32" t="s">
        <v>165</v>
      </c>
      <c r="C110" s="32" t="s">
        <v>166</v>
      </c>
      <c r="D110" s="33"/>
      <c r="E110" s="33">
        <v>0</v>
      </c>
      <c r="F110" s="33">
        <v>10236</v>
      </c>
      <c r="G110" s="33">
        <v>10236</v>
      </c>
      <c r="H110" s="33"/>
      <c r="I110" s="33">
        <f t="shared" si="3"/>
        <v>0</v>
      </c>
      <c r="J110" s="31"/>
      <c r="K110" t="s">
        <v>37</v>
      </c>
    </row>
    <row r="111" spans="2:11" ht="22" x14ac:dyDescent="0.15">
      <c r="B111" s="32" t="s">
        <v>167</v>
      </c>
      <c r="C111" s="32" t="s">
        <v>168</v>
      </c>
      <c r="D111" s="33"/>
      <c r="E111" s="33">
        <v>0</v>
      </c>
      <c r="F111" s="33">
        <v>20868.41</v>
      </c>
      <c r="G111" s="33">
        <v>20868.41</v>
      </c>
      <c r="H111" s="33"/>
      <c r="I111" s="33">
        <f t="shared" si="3"/>
        <v>0</v>
      </c>
      <c r="J111" s="31"/>
      <c r="K111" t="s">
        <v>37</v>
      </c>
    </row>
    <row r="112" spans="2:11" ht="13" x14ac:dyDescent="0.15">
      <c r="B112" s="28" t="s">
        <v>169</v>
      </c>
      <c r="C112" s="28" t="s">
        <v>170</v>
      </c>
      <c r="D112" s="30"/>
      <c r="E112" s="29">
        <f>SUMIFS(E113:E286,K113:K286,"0",B113:B286,"2 1 1 7*")-SUMIFS(D113:D286,K113:K286,"0",B113:B286,"2 1 1 7*")</f>
        <v>39014.01</v>
      </c>
      <c r="F112" s="29">
        <f>SUMIFS(F113:F286,K113:K286,"0",B113:B286,"2 1 1 7*")</f>
        <v>0</v>
      </c>
      <c r="G112" s="29">
        <f>SUMIFS(G113:G286,K113:K286,"0",B113:B286,"2 1 1 7*")</f>
        <v>2616.1799999999998</v>
      </c>
      <c r="H112" s="29"/>
      <c r="I112" s="29">
        <f t="shared" si="3"/>
        <v>41630.19</v>
      </c>
      <c r="J112" s="31"/>
      <c r="K112" t="s">
        <v>15</v>
      </c>
    </row>
    <row r="113" spans="2:11" ht="13" x14ac:dyDescent="0.15">
      <c r="B113" s="28" t="s">
        <v>171</v>
      </c>
      <c r="C113" s="28" t="s">
        <v>172</v>
      </c>
      <c r="D113" s="30"/>
      <c r="E113" s="29">
        <f>SUMIFS(E114:E286,K114:K286,"0",B114:B286,"2 1 1 7 3*")-SUMIFS(D114:D286,K114:K286,"0",B114:B286,"2 1 1 7 3*")</f>
        <v>39014.01</v>
      </c>
      <c r="F113" s="29">
        <f>SUMIFS(F114:F286,K114:K286,"0",B114:B286,"2 1 1 7 3*")</f>
        <v>0</v>
      </c>
      <c r="G113" s="29">
        <f>SUMIFS(G114:G286,K114:K286,"0",B114:B286,"2 1 1 7 3*")</f>
        <v>2616.1799999999998</v>
      </c>
      <c r="H113" s="29"/>
      <c r="I113" s="29">
        <f t="shared" si="3"/>
        <v>41630.19</v>
      </c>
      <c r="J113" s="31"/>
      <c r="K113" t="s">
        <v>15</v>
      </c>
    </row>
    <row r="114" spans="2:11" ht="13" x14ac:dyDescent="0.15">
      <c r="B114" s="28" t="s">
        <v>173</v>
      </c>
      <c r="C114" s="28" t="s">
        <v>26</v>
      </c>
      <c r="D114" s="30"/>
      <c r="E114" s="29">
        <f>SUMIFS(E115:E286,K115:K286,"0",B115:B286,"2 1 1 7 3 12*")-SUMIFS(D115:D286,K115:K286,"0",B115:B286,"2 1 1 7 3 12*")</f>
        <v>39014.01</v>
      </c>
      <c r="F114" s="29">
        <f>SUMIFS(F115:F286,K115:K286,"0",B115:B286,"2 1 1 7 3 12*")</f>
        <v>0</v>
      </c>
      <c r="G114" s="29">
        <f>SUMIFS(G115:G286,K115:K286,"0",B115:B286,"2 1 1 7 3 12*")</f>
        <v>2616.1799999999998</v>
      </c>
      <c r="H114" s="29"/>
      <c r="I114" s="29">
        <f t="shared" si="3"/>
        <v>41630.19</v>
      </c>
      <c r="J114" s="31"/>
      <c r="K114" t="s">
        <v>15</v>
      </c>
    </row>
    <row r="115" spans="2:11" ht="13" x14ac:dyDescent="0.15">
      <c r="B115" s="28" t="s">
        <v>174</v>
      </c>
      <c r="C115" s="28" t="s">
        <v>28</v>
      </c>
      <c r="D115" s="30"/>
      <c r="E115" s="29">
        <f>SUMIFS(E116:E286,K116:K286,"0",B116:B286,"2 1 1 7 3 12 31111*")-SUMIFS(D116:D286,K116:K286,"0",B116:B286,"2 1 1 7 3 12 31111*")</f>
        <v>39014.01</v>
      </c>
      <c r="F115" s="29">
        <f>SUMIFS(F116:F286,K116:K286,"0",B116:B286,"2 1 1 7 3 12 31111*")</f>
        <v>0</v>
      </c>
      <c r="G115" s="29">
        <f>SUMIFS(G116:G286,K116:K286,"0",B116:B286,"2 1 1 7 3 12 31111*")</f>
        <v>2616.1799999999998</v>
      </c>
      <c r="H115" s="29"/>
      <c r="I115" s="29">
        <f t="shared" si="3"/>
        <v>41630.19</v>
      </c>
      <c r="J115" s="31"/>
      <c r="K115" t="s">
        <v>15</v>
      </c>
    </row>
    <row r="116" spans="2:11" ht="13" x14ac:dyDescent="0.15">
      <c r="B116" s="28" t="s">
        <v>175</v>
      </c>
      <c r="C116" s="28" t="s">
        <v>30</v>
      </c>
      <c r="D116" s="30"/>
      <c r="E116" s="29">
        <f>SUMIFS(E117:E286,K117:K286,"0",B117:B286,"2 1 1 7 3 12 31111 6*")-SUMIFS(D117:D286,K117:K286,"0",B117:B286,"2 1 1 7 3 12 31111 6*")</f>
        <v>39014.01</v>
      </c>
      <c r="F116" s="29">
        <f>SUMIFS(F117:F286,K117:K286,"0",B117:B286,"2 1 1 7 3 12 31111 6*")</f>
        <v>0</v>
      </c>
      <c r="G116" s="29">
        <f>SUMIFS(G117:G286,K117:K286,"0",B117:B286,"2 1 1 7 3 12 31111 6*")</f>
        <v>2616.1799999999998</v>
      </c>
      <c r="H116" s="29"/>
      <c r="I116" s="29">
        <f t="shared" si="3"/>
        <v>41630.19</v>
      </c>
      <c r="J116" s="31"/>
      <c r="K116" t="s">
        <v>15</v>
      </c>
    </row>
    <row r="117" spans="2:11" ht="13" x14ac:dyDescent="0.15">
      <c r="B117" s="28" t="s">
        <v>176</v>
      </c>
      <c r="C117" s="28" t="s">
        <v>32</v>
      </c>
      <c r="D117" s="30"/>
      <c r="E117" s="29">
        <f>SUMIFS(E118:E286,K118:K286,"0",B118:B286,"2 1 1 7 3 12 31111 6 M78*")-SUMIFS(D118:D286,K118:K286,"0",B118:B286,"2 1 1 7 3 12 31111 6 M78*")</f>
        <v>39014.01</v>
      </c>
      <c r="F117" s="29">
        <f>SUMIFS(F118:F286,K118:K286,"0",B118:B286,"2 1 1 7 3 12 31111 6 M78*")</f>
        <v>0</v>
      </c>
      <c r="G117" s="29">
        <f>SUMIFS(G118:G286,K118:K286,"0",B118:B286,"2 1 1 7 3 12 31111 6 M78*")</f>
        <v>2616.1799999999998</v>
      </c>
      <c r="H117" s="29"/>
      <c r="I117" s="29">
        <f t="shared" si="3"/>
        <v>41630.19</v>
      </c>
      <c r="J117" s="31"/>
      <c r="K117" t="s">
        <v>15</v>
      </c>
    </row>
    <row r="118" spans="2:11" ht="13" x14ac:dyDescent="0.15">
      <c r="B118" s="28" t="s">
        <v>177</v>
      </c>
      <c r="C118" s="28" t="s">
        <v>34</v>
      </c>
      <c r="D118" s="30"/>
      <c r="E118" s="29">
        <f>SUMIFS(E119:E286,K119:K286,"0",B119:B286,"2 1 1 7 3 12 31111 6 M78 00005*")-SUMIFS(D119:D286,K119:K286,"0",B119:B286,"2 1 1 7 3 12 31111 6 M78 00005*")</f>
        <v>39014.01</v>
      </c>
      <c r="F118" s="29">
        <f>SUMIFS(F119:F286,K119:K286,"0",B119:B286,"2 1 1 7 3 12 31111 6 M78 00005*")</f>
        <v>0</v>
      </c>
      <c r="G118" s="29">
        <f>SUMIFS(G119:G286,K119:K286,"0",B119:B286,"2 1 1 7 3 12 31111 6 M78 00005*")</f>
        <v>2616.1799999999998</v>
      </c>
      <c r="H118" s="29"/>
      <c r="I118" s="29">
        <f t="shared" si="3"/>
        <v>41630.19</v>
      </c>
      <c r="J118" s="31"/>
      <c r="K118" t="s">
        <v>15</v>
      </c>
    </row>
    <row r="119" spans="2:11" ht="22" x14ac:dyDescent="0.15">
      <c r="B119" s="32" t="s">
        <v>178</v>
      </c>
      <c r="C119" s="32" t="s">
        <v>179</v>
      </c>
      <c r="D119" s="33"/>
      <c r="E119" s="33">
        <v>25889.75</v>
      </c>
      <c r="F119" s="33">
        <v>0</v>
      </c>
      <c r="G119" s="33">
        <v>2616.1799999999998</v>
      </c>
      <c r="H119" s="33"/>
      <c r="I119" s="33">
        <f t="shared" si="3"/>
        <v>28505.93</v>
      </c>
      <c r="J119" s="31"/>
      <c r="K119" t="s">
        <v>37</v>
      </c>
    </row>
    <row r="120" spans="2:11" ht="22" x14ac:dyDescent="0.15">
      <c r="B120" s="32" t="s">
        <v>180</v>
      </c>
      <c r="C120" s="32" t="s">
        <v>181</v>
      </c>
      <c r="D120" s="33"/>
      <c r="E120" s="33">
        <v>13124.26</v>
      </c>
      <c r="F120" s="33">
        <v>0</v>
      </c>
      <c r="G120" s="33">
        <v>0</v>
      </c>
      <c r="H120" s="33"/>
      <c r="I120" s="33">
        <f t="shared" si="3"/>
        <v>13124.26</v>
      </c>
      <c r="J120" s="31"/>
      <c r="K120" t="s">
        <v>37</v>
      </c>
    </row>
    <row r="121" spans="2:11" ht="13" x14ac:dyDescent="0.15">
      <c r="B121" s="28" t="s">
        <v>182</v>
      </c>
      <c r="C121" s="28" t="s">
        <v>183</v>
      </c>
      <c r="D121" s="30"/>
      <c r="E121" s="29">
        <f>SUMIFS(E122:E286,K122:K286,"0",B122:B286,"2 1 1 9*")-SUMIFS(D122:D286,K122:K286,"0",B122:B286,"2 1 1 9*")</f>
        <v>20000</v>
      </c>
      <c r="F121" s="29">
        <f>SUMIFS(F122:F286,K122:K286,"0",B122:B286,"2 1 1 9*")</f>
        <v>0</v>
      </c>
      <c r="G121" s="29">
        <f>SUMIFS(G122:G286,K122:K286,"0",B122:B286,"2 1 1 9*")</f>
        <v>0</v>
      </c>
      <c r="H121" s="29"/>
      <c r="I121" s="29">
        <f t="shared" si="3"/>
        <v>20000</v>
      </c>
      <c r="J121" s="31"/>
      <c r="K121" t="s">
        <v>15</v>
      </c>
    </row>
    <row r="122" spans="2:11" ht="13" x14ac:dyDescent="0.15">
      <c r="B122" s="28" t="s">
        <v>184</v>
      </c>
      <c r="C122" s="28" t="s">
        <v>185</v>
      </c>
      <c r="D122" s="30"/>
      <c r="E122" s="29">
        <f>SUMIFS(E123:E286,K123:K286,"0",B123:B286,"2 1 1 9 5*")-SUMIFS(D123:D286,K123:K286,"0",B123:B286,"2 1 1 9 5*")</f>
        <v>20000</v>
      </c>
      <c r="F122" s="29">
        <f>SUMIFS(F123:F286,K123:K286,"0",B123:B286,"2 1 1 9 5*")</f>
        <v>0</v>
      </c>
      <c r="G122" s="29">
        <f>SUMIFS(G123:G286,K123:K286,"0",B123:B286,"2 1 1 9 5*")</f>
        <v>0</v>
      </c>
      <c r="H122" s="29"/>
      <c r="I122" s="29">
        <f t="shared" si="3"/>
        <v>20000</v>
      </c>
      <c r="J122" s="31"/>
      <c r="K122" t="s">
        <v>15</v>
      </c>
    </row>
    <row r="123" spans="2:11" ht="13" x14ac:dyDescent="0.15">
      <c r="B123" s="28" t="s">
        <v>186</v>
      </c>
      <c r="C123" s="28" t="s">
        <v>26</v>
      </c>
      <c r="D123" s="30"/>
      <c r="E123" s="29">
        <f>SUMIFS(E124:E286,K124:K286,"0",B124:B286,"2 1 1 9 5 12*")-SUMIFS(D124:D286,K124:K286,"0",B124:B286,"2 1 1 9 5 12*")</f>
        <v>20000</v>
      </c>
      <c r="F123" s="29">
        <f>SUMIFS(F124:F286,K124:K286,"0",B124:B286,"2 1 1 9 5 12*")</f>
        <v>0</v>
      </c>
      <c r="G123" s="29">
        <f>SUMIFS(G124:G286,K124:K286,"0",B124:B286,"2 1 1 9 5 12*")</f>
        <v>0</v>
      </c>
      <c r="H123" s="29"/>
      <c r="I123" s="29">
        <f t="shared" si="3"/>
        <v>20000</v>
      </c>
      <c r="J123" s="31"/>
      <c r="K123" t="s">
        <v>15</v>
      </c>
    </row>
    <row r="124" spans="2:11" ht="13" x14ac:dyDescent="0.15">
      <c r="B124" s="28" t="s">
        <v>187</v>
      </c>
      <c r="C124" s="28" t="s">
        <v>28</v>
      </c>
      <c r="D124" s="30"/>
      <c r="E124" s="29">
        <f>SUMIFS(E125:E286,K125:K286,"0",B125:B286,"2 1 1 9 5 12 31111*")-SUMIFS(D125:D286,K125:K286,"0",B125:B286,"2 1 1 9 5 12 31111*")</f>
        <v>20000</v>
      </c>
      <c r="F124" s="29">
        <f>SUMIFS(F125:F286,K125:K286,"0",B125:B286,"2 1 1 9 5 12 31111*")</f>
        <v>0</v>
      </c>
      <c r="G124" s="29">
        <f>SUMIFS(G125:G286,K125:K286,"0",B125:B286,"2 1 1 9 5 12 31111*")</f>
        <v>0</v>
      </c>
      <c r="H124" s="29"/>
      <c r="I124" s="29">
        <f t="shared" si="3"/>
        <v>20000</v>
      </c>
      <c r="J124" s="31"/>
      <c r="K124" t="s">
        <v>15</v>
      </c>
    </row>
    <row r="125" spans="2:11" ht="13" x14ac:dyDescent="0.15">
      <c r="B125" s="28" t="s">
        <v>188</v>
      </c>
      <c r="C125" s="28" t="s">
        <v>30</v>
      </c>
      <c r="D125" s="30"/>
      <c r="E125" s="29">
        <f>SUMIFS(E126:E286,K126:K286,"0",B126:B286,"2 1 1 9 5 12 31111 6*")-SUMIFS(D126:D286,K126:K286,"0",B126:B286,"2 1 1 9 5 12 31111 6*")</f>
        <v>20000</v>
      </c>
      <c r="F125" s="29">
        <f>SUMIFS(F126:F286,K126:K286,"0",B126:B286,"2 1 1 9 5 12 31111 6*")</f>
        <v>0</v>
      </c>
      <c r="G125" s="29">
        <f>SUMIFS(G126:G286,K126:K286,"0",B126:B286,"2 1 1 9 5 12 31111 6*")</f>
        <v>0</v>
      </c>
      <c r="H125" s="29"/>
      <c r="I125" s="29">
        <f t="shared" si="3"/>
        <v>20000</v>
      </c>
      <c r="J125" s="31"/>
      <c r="K125" t="s">
        <v>15</v>
      </c>
    </row>
    <row r="126" spans="2:11" ht="13" x14ac:dyDescent="0.15">
      <c r="B126" s="28" t="s">
        <v>189</v>
      </c>
      <c r="C126" s="28" t="s">
        <v>32</v>
      </c>
      <c r="D126" s="30"/>
      <c r="E126" s="29">
        <f>SUMIFS(E127:E286,K127:K286,"0",B127:B286,"2 1 1 9 5 12 31111 6 M78*")-SUMIFS(D127:D286,K127:K286,"0",B127:B286,"2 1 1 9 5 12 31111 6 M78*")</f>
        <v>20000</v>
      </c>
      <c r="F126" s="29">
        <f>SUMIFS(F127:F286,K127:K286,"0",B127:B286,"2 1 1 9 5 12 31111 6 M78*")</f>
        <v>0</v>
      </c>
      <c r="G126" s="29">
        <f>SUMIFS(G127:G286,K127:K286,"0",B127:B286,"2 1 1 9 5 12 31111 6 M78*")</f>
        <v>0</v>
      </c>
      <c r="H126" s="29"/>
      <c r="I126" s="29">
        <f t="shared" si="3"/>
        <v>20000</v>
      </c>
      <c r="J126" s="31"/>
      <c r="K126" t="s">
        <v>15</v>
      </c>
    </row>
    <row r="127" spans="2:11" ht="22" x14ac:dyDescent="0.15">
      <c r="B127" s="32" t="s">
        <v>190</v>
      </c>
      <c r="C127" s="32" t="s">
        <v>191</v>
      </c>
      <c r="D127" s="33"/>
      <c r="E127" s="33">
        <v>20000</v>
      </c>
      <c r="F127" s="33">
        <v>0</v>
      </c>
      <c r="G127" s="33">
        <v>0</v>
      </c>
      <c r="H127" s="33"/>
      <c r="I127" s="33">
        <f t="shared" si="3"/>
        <v>20000</v>
      </c>
      <c r="J127" s="31"/>
      <c r="K127" t="s">
        <v>37</v>
      </c>
    </row>
    <row r="128" spans="2:11" ht="13" x14ac:dyDescent="0.15">
      <c r="B128" s="28" t="s">
        <v>192</v>
      </c>
      <c r="C128" s="28" t="s">
        <v>193</v>
      </c>
      <c r="D128" s="30"/>
      <c r="E128" s="29">
        <f>SUMIFS(E129:E286,K129:K286,"0",B129:B286,"3*")-SUMIFS(D129:D286,K129:K286,"0",B129:B286,"3*")</f>
        <v>17670.439999999999</v>
      </c>
      <c r="F128" s="29">
        <f>SUMIFS(F129:F286,K129:K286,"0",B129:B286,"3*")</f>
        <v>0</v>
      </c>
      <c r="G128" s="29">
        <f>SUMIFS(G129:G286,K129:K286,"0",B129:B286,"3*")</f>
        <v>0</v>
      </c>
      <c r="H128" s="29"/>
      <c r="I128" s="29">
        <f t="shared" si="3"/>
        <v>17670.439999999999</v>
      </c>
      <c r="J128" s="31"/>
      <c r="K128" t="s">
        <v>15</v>
      </c>
    </row>
    <row r="129" spans="2:11" ht="13" x14ac:dyDescent="0.15">
      <c r="B129" s="28" t="s">
        <v>194</v>
      </c>
      <c r="C129" s="28" t="s">
        <v>195</v>
      </c>
      <c r="D129" s="30"/>
      <c r="E129" s="29">
        <f>SUMIFS(E130:E286,K130:K286,"0",B130:B286,"3 2*")-SUMIFS(D130:D286,K130:K286,"0",B130:B286,"3 2*")</f>
        <v>17670.439999999999</v>
      </c>
      <c r="F129" s="29">
        <f>SUMIFS(F130:F286,K130:K286,"0",B130:B286,"3 2*")</f>
        <v>0</v>
      </c>
      <c r="G129" s="29">
        <f>SUMIFS(G130:G286,K130:K286,"0",B130:B286,"3 2*")</f>
        <v>0</v>
      </c>
      <c r="H129" s="29"/>
      <c r="I129" s="29">
        <f t="shared" si="3"/>
        <v>17670.439999999999</v>
      </c>
      <c r="J129" s="31"/>
      <c r="K129" t="s">
        <v>15</v>
      </c>
    </row>
    <row r="130" spans="2:11" ht="13" x14ac:dyDescent="0.15">
      <c r="B130" s="28" t="s">
        <v>196</v>
      </c>
      <c r="C130" s="28" t="s">
        <v>197</v>
      </c>
      <c r="D130" s="30"/>
      <c r="E130" s="29">
        <f>SUMIFS(E131:E286,K131:K286,"0",B131:B286,"3 2 2*")-SUMIFS(D131:D286,K131:K286,"0",B131:B286,"3 2 2*")</f>
        <v>17670.439999999999</v>
      </c>
      <c r="F130" s="29">
        <f>SUMIFS(F131:F286,K131:K286,"0",B131:B286,"3 2 2*")</f>
        <v>0</v>
      </c>
      <c r="G130" s="29">
        <f>SUMIFS(G131:G286,K131:K286,"0",B131:B286,"3 2 2*")</f>
        <v>0</v>
      </c>
      <c r="H130" s="29"/>
      <c r="I130" s="29">
        <f t="shared" si="3"/>
        <v>17670.439999999999</v>
      </c>
      <c r="J130" s="31"/>
      <c r="K130" t="s">
        <v>15</v>
      </c>
    </row>
    <row r="131" spans="2:11" ht="13" x14ac:dyDescent="0.15">
      <c r="B131" s="28" t="s">
        <v>198</v>
      </c>
      <c r="C131" s="28" t="s">
        <v>197</v>
      </c>
      <c r="D131" s="30"/>
      <c r="E131" s="29">
        <f>SUMIFS(E132:E286,K132:K286,"0",B132:B286,"3 2 2 1*")-SUMIFS(D132:D286,K132:K286,"0",B132:B286,"3 2 2 1*")</f>
        <v>17670.439999999999</v>
      </c>
      <c r="F131" s="29">
        <f>SUMIFS(F132:F286,K132:K286,"0",B132:B286,"3 2 2 1*")</f>
        <v>0</v>
      </c>
      <c r="G131" s="29">
        <f>SUMIFS(G132:G286,K132:K286,"0",B132:B286,"3 2 2 1*")</f>
        <v>0</v>
      </c>
      <c r="H131" s="29"/>
      <c r="I131" s="29">
        <f t="shared" ref="I131:I162" si="4">E131 - F131 + G131</f>
        <v>17670.439999999999</v>
      </c>
      <c r="J131" s="31"/>
      <c r="K131" t="s">
        <v>15</v>
      </c>
    </row>
    <row r="132" spans="2:11" ht="13" x14ac:dyDescent="0.15">
      <c r="B132" s="28" t="s">
        <v>199</v>
      </c>
      <c r="C132" s="28" t="s">
        <v>200</v>
      </c>
      <c r="D132" s="30"/>
      <c r="E132" s="29">
        <f>SUMIFS(E133:E286,K133:K286,"0",B133:B286,"3 2 2 1 1*")-SUMIFS(D133:D286,K133:K286,"0",B133:B286,"3 2 2 1 1*")</f>
        <v>17670.439999999999</v>
      </c>
      <c r="F132" s="29">
        <f>SUMIFS(F133:F286,K133:K286,"0",B133:B286,"3 2 2 1 1*")</f>
        <v>0</v>
      </c>
      <c r="G132" s="29">
        <f>SUMIFS(G133:G286,K133:K286,"0",B133:B286,"3 2 2 1 1*")</f>
        <v>0</v>
      </c>
      <c r="H132" s="29"/>
      <c r="I132" s="29">
        <f t="shared" si="4"/>
        <v>17670.439999999999</v>
      </c>
      <c r="J132" s="31"/>
      <c r="K132" t="s">
        <v>15</v>
      </c>
    </row>
    <row r="133" spans="2:11" ht="13" x14ac:dyDescent="0.15">
      <c r="B133" s="28" t="s">
        <v>201</v>
      </c>
      <c r="C133" s="28" t="s">
        <v>26</v>
      </c>
      <c r="D133" s="30"/>
      <c r="E133" s="29">
        <f>SUMIFS(E134:E286,K134:K286,"0",B134:B286,"3 2 2 1 1 12*")-SUMIFS(D134:D286,K134:K286,"0",B134:B286,"3 2 2 1 1 12*")</f>
        <v>17670.439999999999</v>
      </c>
      <c r="F133" s="29">
        <f>SUMIFS(F134:F286,K134:K286,"0",B134:B286,"3 2 2 1 1 12*")</f>
        <v>0</v>
      </c>
      <c r="G133" s="29">
        <f>SUMIFS(G134:G286,K134:K286,"0",B134:B286,"3 2 2 1 1 12*")</f>
        <v>0</v>
      </c>
      <c r="H133" s="29"/>
      <c r="I133" s="29">
        <f t="shared" si="4"/>
        <v>17670.439999999999</v>
      </c>
      <c r="J133" s="31"/>
      <c r="K133" t="s">
        <v>15</v>
      </c>
    </row>
    <row r="134" spans="2:11" ht="13" x14ac:dyDescent="0.15">
      <c r="B134" s="28" t="s">
        <v>202</v>
      </c>
      <c r="C134" s="28" t="s">
        <v>28</v>
      </c>
      <c r="D134" s="30"/>
      <c r="E134" s="29">
        <f>SUMIFS(E135:E286,K135:K286,"0",B135:B286,"3 2 2 1 1 12 31111*")-SUMIFS(D135:D286,K135:K286,"0",B135:B286,"3 2 2 1 1 12 31111*")</f>
        <v>17670.439999999999</v>
      </c>
      <c r="F134" s="29">
        <f>SUMIFS(F135:F286,K135:K286,"0",B135:B286,"3 2 2 1 1 12 31111*")</f>
        <v>0</v>
      </c>
      <c r="G134" s="29">
        <f>SUMIFS(G135:G286,K135:K286,"0",B135:B286,"3 2 2 1 1 12 31111*")</f>
        <v>0</v>
      </c>
      <c r="H134" s="29"/>
      <c r="I134" s="29">
        <f t="shared" si="4"/>
        <v>17670.439999999999</v>
      </c>
      <c r="J134" s="31"/>
      <c r="K134" t="s">
        <v>15</v>
      </c>
    </row>
    <row r="135" spans="2:11" ht="13" x14ac:dyDescent="0.15">
      <c r="B135" s="28" t="s">
        <v>203</v>
      </c>
      <c r="C135" s="28" t="s">
        <v>30</v>
      </c>
      <c r="D135" s="30"/>
      <c r="E135" s="29">
        <f>SUMIFS(E136:E286,K136:K286,"0",B136:B286,"3 2 2 1 1 12 31111 6*")-SUMIFS(D136:D286,K136:K286,"0",B136:B286,"3 2 2 1 1 12 31111 6*")</f>
        <v>17670.439999999999</v>
      </c>
      <c r="F135" s="29">
        <f>SUMIFS(F136:F286,K136:K286,"0",B136:B286,"3 2 2 1 1 12 31111 6*")</f>
        <v>0</v>
      </c>
      <c r="G135" s="29">
        <f>SUMIFS(G136:G286,K136:K286,"0",B136:B286,"3 2 2 1 1 12 31111 6*")</f>
        <v>0</v>
      </c>
      <c r="H135" s="29"/>
      <c r="I135" s="29">
        <f t="shared" si="4"/>
        <v>17670.439999999999</v>
      </c>
      <c r="J135" s="31"/>
      <c r="K135" t="s">
        <v>15</v>
      </c>
    </row>
    <row r="136" spans="2:11" ht="13" x14ac:dyDescent="0.15">
      <c r="B136" s="28" t="s">
        <v>204</v>
      </c>
      <c r="C136" s="28" t="s">
        <v>32</v>
      </c>
      <c r="D136" s="30"/>
      <c r="E136" s="29">
        <f>SUMIFS(E137:E286,K137:K286,"0",B137:B286,"3 2 2 1 1 12 31111 6 M78*")-SUMIFS(D137:D286,K137:K286,"0",B137:B286,"3 2 2 1 1 12 31111 6 M78*")</f>
        <v>17670.439999999999</v>
      </c>
      <c r="F136" s="29">
        <f>SUMIFS(F137:F286,K137:K286,"0",B137:B286,"3 2 2 1 1 12 31111 6 M78*")</f>
        <v>0</v>
      </c>
      <c r="G136" s="29">
        <f>SUMIFS(G137:G286,K137:K286,"0",B137:B286,"3 2 2 1 1 12 31111 6 M78*")</f>
        <v>0</v>
      </c>
      <c r="H136" s="29"/>
      <c r="I136" s="29">
        <f t="shared" si="4"/>
        <v>17670.439999999999</v>
      </c>
      <c r="J136" s="31"/>
      <c r="K136" t="s">
        <v>15</v>
      </c>
    </row>
    <row r="137" spans="2:11" ht="13" x14ac:dyDescent="0.15">
      <c r="B137" s="28" t="s">
        <v>205</v>
      </c>
      <c r="C137" s="28" t="s">
        <v>110</v>
      </c>
      <c r="D137" s="30"/>
      <c r="E137" s="29">
        <f>SUMIFS(E138:E286,K138:K286,"0",B138:B286,"3 2 2 1 1 12 31111 6 M78 00000*")-SUMIFS(D138:D286,K138:K286,"0",B138:B286,"3 2 2 1 1 12 31111 6 M78 00000*")</f>
        <v>17670.439999999999</v>
      </c>
      <c r="F137" s="29">
        <f>SUMIFS(F138:F286,K138:K286,"0",B138:B286,"3 2 2 1 1 12 31111 6 M78 00000*")</f>
        <v>0</v>
      </c>
      <c r="G137" s="29">
        <f>SUMIFS(G138:G286,K138:K286,"0",B138:B286,"3 2 2 1 1 12 31111 6 M78 00000*")</f>
        <v>0</v>
      </c>
      <c r="H137" s="29"/>
      <c r="I137" s="29">
        <f t="shared" si="4"/>
        <v>17670.439999999999</v>
      </c>
      <c r="J137" s="31"/>
      <c r="K137" t="s">
        <v>15</v>
      </c>
    </row>
    <row r="138" spans="2:11" ht="22" x14ac:dyDescent="0.15">
      <c r="B138" s="32" t="s">
        <v>206</v>
      </c>
      <c r="C138" s="32" t="s">
        <v>34</v>
      </c>
      <c r="D138" s="33"/>
      <c r="E138" s="33">
        <v>17670.439999999999</v>
      </c>
      <c r="F138" s="33">
        <v>0</v>
      </c>
      <c r="G138" s="33">
        <v>0</v>
      </c>
      <c r="H138" s="33"/>
      <c r="I138" s="33">
        <f t="shared" si="4"/>
        <v>17670.439999999999</v>
      </c>
      <c r="J138" s="31"/>
      <c r="K138" t="s">
        <v>37</v>
      </c>
    </row>
    <row r="139" spans="2:11" ht="13" x14ac:dyDescent="0.15">
      <c r="B139" s="28" t="s">
        <v>207</v>
      </c>
      <c r="C139" s="28" t="s">
        <v>208</v>
      </c>
      <c r="D139" s="30"/>
      <c r="E139" s="29">
        <f>SUMIFS(E140:E286,K140:K286,"0",B140:B286,"4*")-SUMIFS(D140:D286,K140:K286,"0",B140:B286,"4*")</f>
        <v>0</v>
      </c>
      <c r="F139" s="29">
        <f>SUMIFS(F140:F286,K140:K286,"0",B140:B286,"4*")</f>
        <v>0</v>
      </c>
      <c r="G139" s="29">
        <f>SUMIFS(G140:G286,K140:K286,"0",B140:B286,"4*")</f>
        <v>87286.75</v>
      </c>
      <c r="H139" s="29"/>
      <c r="I139" s="29">
        <f t="shared" si="4"/>
        <v>87286.75</v>
      </c>
      <c r="J139" s="31"/>
      <c r="K139" t="s">
        <v>15</v>
      </c>
    </row>
    <row r="140" spans="2:11" ht="13" x14ac:dyDescent="0.15">
      <c r="B140" s="28" t="s">
        <v>209</v>
      </c>
      <c r="C140" s="28" t="s">
        <v>210</v>
      </c>
      <c r="D140" s="30"/>
      <c r="E140" s="29">
        <f>SUMIFS(E141:E286,K141:K286,"0",B141:B286,"4 1*")-SUMIFS(D141:D286,K141:K286,"0",B141:B286,"4 1*")</f>
        <v>0</v>
      </c>
      <c r="F140" s="29">
        <f>SUMIFS(F141:F286,K141:K286,"0",B141:B286,"4 1*")</f>
        <v>0</v>
      </c>
      <c r="G140" s="29">
        <f>SUMIFS(G141:G286,K141:K286,"0",B141:B286,"4 1*")</f>
        <v>87286.75</v>
      </c>
      <c r="H140" s="29"/>
      <c r="I140" s="29">
        <f t="shared" si="4"/>
        <v>87286.75</v>
      </c>
      <c r="J140" s="31"/>
      <c r="K140" t="s">
        <v>15</v>
      </c>
    </row>
    <row r="141" spans="2:11" ht="13" x14ac:dyDescent="0.15">
      <c r="B141" s="28" t="s">
        <v>211</v>
      </c>
      <c r="C141" s="28" t="s">
        <v>212</v>
      </c>
      <c r="D141" s="30"/>
      <c r="E141" s="29">
        <f>SUMIFS(E142:E286,K142:K286,"0",B142:B286,"4 1 4*")-SUMIFS(D142:D286,K142:K286,"0",B142:B286,"4 1 4*")</f>
        <v>0</v>
      </c>
      <c r="F141" s="29">
        <f>SUMIFS(F142:F286,K142:K286,"0",B142:B286,"4 1 4*")</f>
        <v>0</v>
      </c>
      <c r="G141" s="29">
        <f>SUMIFS(G142:G286,K142:K286,"0",B142:B286,"4 1 4*")</f>
        <v>71230.78</v>
      </c>
      <c r="H141" s="29"/>
      <c r="I141" s="29">
        <f t="shared" si="4"/>
        <v>71230.78</v>
      </c>
      <c r="J141" s="31"/>
      <c r="K141" t="s">
        <v>15</v>
      </c>
    </row>
    <row r="142" spans="2:11" ht="13" x14ac:dyDescent="0.15">
      <c r="B142" s="28" t="s">
        <v>213</v>
      </c>
      <c r="C142" s="28" t="s">
        <v>214</v>
      </c>
      <c r="D142" s="30"/>
      <c r="E142" s="29">
        <f>SUMIFS(E143:E286,K143:K286,"0",B143:B286,"4 1 4 3*")-SUMIFS(D143:D286,K143:K286,"0",B143:B286,"4 1 4 3*")</f>
        <v>0</v>
      </c>
      <c r="F142" s="29">
        <f>SUMIFS(F143:F286,K143:K286,"0",B143:B286,"4 1 4 3*")</f>
        <v>0</v>
      </c>
      <c r="G142" s="29">
        <f>SUMIFS(G143:G286,K143:K286,"0",B143:B286,"4 1 4 3*")</f>
        <v>71230.78</v>
      </c>
      <c r="H142" s="29"/>
      <c r="I142" s="29">
        <f t="shared" si="4"/>
        <v>71230.78</v>
      </c>
      <c r="J142" s="31"/>
      <c r="K142" t="s">
        <v>15</v>
      </c>
    </row>
    <row r="143" spans="2:11" ht="13" x14ac:dyDescent="0.15">
      <c r="B143" s="28" t="s">
        <v>215</v>
      </c>
      <c r="C143" s="28" t="s">
        <v>216</v>
      </c>
      <c r="D143" s="30"/>
      <c r="E143" s="29">
        <f>SUMIFS(E144:E286,K144:K286,"0",B144:B286,"4 1 4 3 1*")-SUMIFS(D144:D286,K144:K286,"0",B144:B286,"4 1 4 3 1*")</f>
        <v>0</v>
      </c>
      <c r="F143" s="29">
        <f>SUMIFS(F144:F286,K144:K286,"0",B144:B286,"4 1 4 3 1*")</f>
        <v>0</v>
      </c>
      <c r="G143" s="29">
        <f>SUMIFS(G144:G286,K144:K286,"0",B144:B286,"4 1 4 3 1*")</f>
        <v>71230.78</v>
      </c>
      <c r="H143" s="29"/>
      <c r="I143" s="29">
        <f t="shared" si="4"/>
        <v>71230.78</v>
      </c>
      <c r="J143" s="31"/>
      <c r="K143" t="s">
        <v>15</v>
      </c>
    </row>
    <row r="144" spans="2:11" ht="13" x14ac:dyDescent="0.15">
      <c r="B144" s="28" t="s">
        <v>217</v>
      </c>
      <c r="C144" s="28" t="s">
        <v>26</v>
      </c>
      <c r="D144" s="30"/>
      <c r="E144" s="29">
        <f>SUMIFS(E145:E286,K145:K286,"0",B145:B286,"4 1 4 3 1 12*")-SUMIFS(D145:D286,K145:K286,"0",B145:B286,"4 1 4 3 1 12*")</f>
        <v>0</v>
      </c>
      <c r="F144" s="29">
        <f>SUMIFS(F145:F286,K145:K286,"0",B145:B286,"4 1 4 3 1 12*")</f>
        <v>0</v>
      </c>
      <c r="G144" s="29">
        <f>SUMIFS(G145:G286,K145:K286,"0",B145:B286,"4 1 4 3 1 12*")</f>
        <v>71230.78</v>
      </c>
      <c r="H144" s="29"/>
      <c r="I144" s="29">
        <f t="shared" si="4"/>
        <v>71230.78</v>
      </c>
      <c r="J144" s="31"/>
      <c r="K144" t="s">
        <v>15</v>
      </c>
    </row>
    <row r="145" spans="2:11" ht="13" x14ac:dyDescent="0.15">
      <c r="B145" s="28" t="s">
        <v>218</v>
      </c>
      <c r="C145" s="28" t="s">
        <v>28</v>
      </c>
      <c r="D145" s="30"/>
      <c r="E145" s="29">
        <f>SUMIFS(E146:E286,K146:K286,"0",B146:B286,"4 1 4 3 1 12 31111*")-SUMIFS(D146:D286,K146:K286,"0",B146:B286,"4 1 4 3 1 12 31111*")</f>
        <v>0</v>
      </c>
      <c r="F145" s="29">
        <f>SUMIFS(F146:F286,K146:K286,"0",B146:B286,"4 1 4 3 1 12 31111*")</f>
        <v>0</v>
      </c>
      <c r="G145" s="29">
        <f>SUMIFS(G146:G286,K146:K286,"0",B146:B286,"4 1 4 3 1 12 31111*")</f>
        <v>71230.78</v>
      </c>
      <c r="H145" s="29"/>
      <c r="I145" s="29">
        <f t="shared" si="4"/>
        <v>71230.78</v>
      </c>
      <c r="J145" s="31"/>
      <c r="K145" t="s">
        <v>15</v>
      </c>
    </row>
    <row r="146" spans="2:11" ht="13" x14ac:dyDescent="0.15">
      <c r="B146" s="28" t="s">
        <v>219</v>
      </c>
      <c r="C146" s="28" t="s">
        <v>30</v>
      </c>
      <c r="D146" s="30"/>
      <c r="E146" s="29">
        <f>SUMIFS(E147:E286,K147:K286,"0",B147:B286,"4 1 4 3 1 12 31111 6*")-SUMIFS(D147:D286,K147:K286,"0",B147:B286,"4 1 4 3 1 12 31111 6*")</f>
        <v>0</v>
      </c>
      <c r="F146" s="29">
        <f>SUMIFS(F147:F286,K147:K286,"0",B147:B286,"4 1 4 3 1 12 31111 6*")</f>
        <v>0</v>
      </c>
      <c r="G146" s="29">
        <f>SUMIFS(G147:G286,K147:K286,"0",B147:B286,"4 1 4 3 1 12 31111 6*")</f>
        <v>71230.78</v>
      </c>
      <c r="H146" s="29"/>
      <c r="I146" s="29">
        <f t="shared" si="4"/>
        <v>71230.78</v>
      </c>
      <c r="J146" s="31"/>
      <c r="K146" t="s">
        <v>15</v>
      </c>
    </row>
    <row r="147" spans="2:11" ht="13" x14ac:dyDescent="0.15">
      <c r="B147" s="28" t="s">
        <v>220</v>
      </c>
      <c r="C147" s="28" t="s">
        <v>221</v>
      </c>
      <c r="D147" s="30"/>
      <c r="E147" s="29">
        <f>SUMIFS(E148:E286,K148:K286,"0",B148:B286,"4 1 4 3 1 12 31111 6 M78*")-SUMIFS(D148:D286,K148:K286,"0",B148:B286,"4 1 4 3 1 12 31111 6 M78*")</f>
        <v>0</v>
      </c>
      <c r="F147" s="29">
        <f>SUMIFS(F148:F286,K148:K286,"0",B148:B286,"4 1 4 3 1 12 31111 6 M78*")</f>
        <v>0</v>
      </c>
      <c r="G147" s="29">
        <f>SUMIFS(G148:G286,K148:K286,"0",B148:B286,"4 1 4 3 1 12 31111 6 M78*")</f>
        <v>71230.78</v>
      </c>
      <c r="H147" s="29"/>
      <c r="I147" s="29">
        <f t="shared" si="4"/>
        <v>71230.78</v>
      </c>
      <c r="J147" s="31"/>
      <c r="K147" t="s">
        <v>15</v>
      </c>
    </row>
    <row r="148" spans="2:11" ht="13" x14ac:dyDescent="0.15">
      <c r="B148" s="28" t="s">
        <v>222</v>
      </c>
      <c r="C148" s="28" t="s">
        <v>94</v>
      </c>
      <c r="D148" s="30"/>
      <c r="E148" s="29">
        <f>SUMIFS(E149:E286,K149:K286,"0",B149:B286,"4 1 4 3 1 12 31111 6 M78 07000*")-SUMIFS(D149:D286,K149:K286,"0",B149:B286,"4 1 4 3 1 12 31111 6 M78 07000*")</f>
        <v>0</v>
      </c>
      <c r="F148" s="29">
        <f>SUMIFS(F149:F286,K149:K286,"0",B149:B286,"4 1 4 3 1 12 31111 6 M78 07000*")</f>
        <v>0</v>
      </c>
      <c r="G148" s="29">
        <f>SUMIFS(G149:G286,K149:K286,"0",B149:B286,"4 1 4 3 1 12 31111 6 M78 07000*")</f>
        <v>71230.78</v>
      </c>
      <c r="H148" s="29"/>
      <c r="I148" s="29">
        <f t="shared" si="4"/>
        <v>71230.78</v>
      </c>
      <c r="J148" s="31"/>
      <c r="K148" t="s">
        <v>15</v>
      </c>
    </row>
    <row r="149" spans="2:11" ht="22" x14ac:dyDescent="0.15">
      <c r="B149" s="28" t="s">
        <v>223</v>
      </c>
      <c r="C149" s="28" t="s">
        <v>96</v>
      </c>
      <c r="D149" s="30"/>
      <c r="E149" s="29">
        <f>SUMIFS(E150:E286,K150:K286,"0",B150:B286,"4 1 4 3 1 12 31111 6 M78 07000 151*")-SUMIFS(D150:D286,K150:K286,"0",B150:B286,"4 1 4 3 1 12 31111 6 M78 07000 151*")</f>
        <v>0</v>
      </c>
      <c r="F149" s="29">
        <f>SUMIFS(F150:F286,K150:K286,"0",B150:B286,"4 1 4 3 1 12 31111 6 M78 07000 151*")</f>
        <v>0</v>
      </c>
      <c r="G149" s="29">
        <f>SUMIFS(G150:G286,K150:K286,"0",B150:B286,"4 1 4 3 1 12 31111 6 M78 07000 151*")</f>
        <v>71230.78</v>
      </c>
      <c r="H149" s="29"/>
      <c r="I149" s="29">
        <f t="shared" si="4"/>
        <v>71230.78</v>
      </c>
      <c r="J149" s="31"/>
      <c r="K149" t="s">
        <v>15</v>
      </c>
    </row>
    <row r="150" spans="2:11" ht="22" x14ac:dyDescent="0.15">
      <c r="B150" s="28" t="s">
        <v>224</v>
      </c>
      <c r="C150" s="28" t="s">
        <v>98</v>
      </c>
      <c r="D150" s="30"/>
      <c r="E150" s="29">
        <f>SUMIFS(E151:E286,K151:K286,"0",B151:B286,"4 1 4 3 1 12 31111 6 M78 07000 151 00E*")-SUMIFS(D151:D286,K151:K286,"0",B151:B286,"4 1 4 3 1 12 31111 6 M78 07000 151 00E*")</f>
        <v>0</v>
      </c>
      <c r="F150" s="29">
        <f>SUMIFS(F151:F286,K151:K286,"0",B151:B286,"4 1 4 3 1 12 31111 6 M78 07000 151 00E*")</f>
        <v>0</v>
      </c>
      <c r="G150" s="29">
        <f>SUMIFS(G151:G286,K151:K286,"0",B151:B286,"4 1 4 3 1 12 31111 6 M78 07000 151 00E*")</f>
        <v>71230.78</v>
      </c>
      <c r="H150" s="29"/>
      <c r="I150" s="29">
        <f t="shared" si="4"/>
        <v>71230.78</v>
      </c>
      <c r="J150" s="31"/>
      <c r="K150" t="s">
        <v>15</v>
      </c>
    </row>
    <row r="151" spans="2:11" ht="22" x14ac:dyDescent="0.15">
      <c r="B151" s="28" t="s">
        <v>225</v>
      </c>
      <c r="C151" s="28" t="s">
        <v>226</v>
      </c>
      <c r="D151" s="30"/>
      <c r="E151" s="29">
        <f>SUMIFS(E152:E286,K152:K286,"0",B152:B286,"4 1 4 3 1 12 31111 6 M78 07000 151 00E 001*")-SUMIFS(D152:D286,K152:K286,"0",B152:B286,"4 1 4 3 1 12 31111 6 M78 07000 151 00E 001*")</f>
        <v>0</v>
      </c>
      <c r="F151" s="29">
        <f>SUMIFS(F152:F286,K152:K286,"0",B152:B286,"4 1 4 3 1 12 31111 6 M78 07000 151 00E 001*")</f>
        <v>0</v>
      </c>
      <c r="G151" s="29">
        <f>SUMIFS(G152:G286,K152:K286,"0",B152:B286,"4 1 4 3 1 12 31111 6 M78 07000 151 00E 001*")</f>
        <v>71230.78</v>
      </c>
      <c r="H151" s="29"/>
      <c r="I151" s="29">
        <f t="shared" si="4"/>
        <v>71230.78</v>
      </c>
      <c r="J151" s="31"/>
      <c r="K151" t="s">
        <v>15</v>
      </c>
    </row>
    <row r="152" spans="2:11" ht="22" x14ac:dyDescent="0.15">
      <c r="B152" s="28" t="s">
        <v>227</v>
      </c>
      <c r="C152" s="28" t="s">
        <v>214</v>
      </c>
      <c r="D152" s="30"/>
      <c r="E152" s="29">
        <f>SUMIFS(E153:E286,K153:K286,"0",B153:B286,"4 1 4 3 1 12 31111 6 M78 07000 151 00E 001 00043*")-SUMIFS(D153:D286,K153:K286,"0",B153:B286,"4 1 4 3 1 12 31111 6 M78 07000 151 00E 001 00043*")</f>
        <v>0</v>
      </c>
      <c r="F152" s="29">
        <f>SUMIFS(F153:F286,K153:K286,"0",B153:B286,"4 1 4 3 1 12 31111 6 M78 07000 151 00E 001 00043*")</f>
        <v>0</v>
      </c>
      <c r="G152" s="29">
        <f>SUMIFS(G153:G286,K153:K286,"0",B153:B286,"4 1 4 3 1 12 31111 6 M78 07000 151 00E 001 00043*")</f>
        <v>71230.78</v>
      </c>
      <c r="H152" s="29"/>
      <c r="I152" s="29">
        <f t="shared" si="4"/>
        <v>71230.78</v>
      </c>
      <c r="J152" s="31"/>
      <c r="K152" t="s">
        <v>15</v>
      </c>
    </row>
    <row r="153" spans="2:11" ht="22" x14ac:dyDescent="0.15">
      <c r="B153" s="28" t="s">
        <v>228</v>
      </c>
      <c r="C153" s="28" t="s">
        <v>104</v>
      </c>
      <c r="D153" s="30"/>
      <c r="E153" s="29">
        <f>SUMIFS(E154:E286,K154:K286,"0",B154:B286,"4 1 4 3 1 12 31111 6 M78 07000 151 00E 001 00043 011*")-SUMIFS(D154:D286,K154:K286,"0",B154:B286,"4 1 4 3 1 12 31111 6 M78 07000 151 00E 001 00043 011*")</f>
        <v>0</v>
      </c>
      <c r="F153" s="29">
        <f>SUMIFS(F154:F286,K154:K286,"0",B154:B286,"4 1 4 3 1 12 31111 6 M78 07000 151 00E 001 00043 011*")</f>
        <v>0</v>
      </c>
      <c r="G153" s="29">
        <f>SUMIFS(G154:G286,K154:K286,"0",B154:B286,"4 1 4 3 1 12 31111 6 M78 07000 151 00E 001 00043 011*")</f>
        <v>71230.78</v>
      </c>
      <c r="H153" s="29"/>
      <c r="I153" s="29">
        <f t="shared" si="4"/>
        <v>71230.78</v>
      </c>
      <c r="J153" s="31"/>
      <c r="K153" t="s">
        <v>15</v>
      </c>
    </row>
    <row r="154" spans="2:11" ht="22" x14ac:dyDescent="0.15">
      <c r="B154" s="28" t="s">
        <v>229</v>
      </c>
      <c r="C154" s="28" t="s">
        <v>230</v>
      </c>
      <c r="D154" s="30"/>
      <c r="E154" s="29">
        <f>SUMIFS(E155:E286,K155:K286,"0",B155:B286,"4 1 4 3 1 12 31111 6 M78 07000 151 00E 001 00043 011 1141000*")-SUMIFS(D155:D286,K155:K286,"0",B155:B286,"4 1 4 3 1 12 31111 6 M78 07000 151 00E 001 00043 011 1141000*")</f>
        <v>0</v>
      </c>
      <c r="F154" s="29">
        <f>SUMIFS(F155:F286,K155:K286,"0",B155:B286,"4 1 4 3 1 12 31111 6 M78 07000 151 00E 001 00043 011 1141000*")</f>
        <v>0</v>
      </c>
      <c r="G154" s="29">
        <f>SUMIFS(G155:G286,K155:K286,"0",B155:B286,"4 1 4 3 1 12 31111 6 M78 07000 151 00E 001 00043 011 1141000*")</f>
        <v>71230.78</v>
      </c>
      <c r="H154" s="29"/>
      <c r="I154" s="29">
        <f t="shared" si="4"/>
        <v>71230.78</v>
      </c>
      <c r="J154" s="31"/>
      <c r="K154" t="s">
        <v>15</v>
      </c>
    </row>
    <row r="155" spans="2:11" ht="33" x14ac:dyDescent="0.15">
      <c r="B155" s="28" t="s">
        <v>231</v>
      </c>
      <c r="C155" s="28" t="s">
        <v>232</v>
      </c>
      <c r="D155" s="30"/>
      <c r="E155" s="29">
        <f>SUMIFS(E156:E286,K156:K286,"0",B156:B286,"4 1 4 3 1 12 31111 6 M78 07000 151 00E 001 00043 011 1141000 2024*")-SUMIFS(D156:D286,K156:K286,"0",B156:B286,"4 1 4 3 1 12 31111 6 M78 07000 151 00E 001 00043 011 1141000 2024*")</f>
        <v>0</v>
      </c>
      <c r="F155" s="29">
        <f>SUMIFS(F156:F286,K156:K286,"0",B156:B286,"4 1 4 3 1 12 31111 6 M78 07000 151 00E 001 00043 011 1141000 2024*")</f>
        <v>0</v>
      </c>
      <c r="G155" s="29">
        <f>SUMIFS(G156:G286,K156:K286,"0",B156:B286,"4 1 4 3 1 12 31111 6 M78 07000 151 00E 001 00043 011 1141000 2024*")</f>
        <v>71230.78</v>
      </c>
      <c r="H155" s="29"/>
      <c r="I155" s="29">
        <f t="shared" si="4"/>
        <v>71230.78</v>
      </c>
      <c r="J155" s="31"/>
      <c r="K155" t="s">
        <v>15</v>
      </c>
    </row>
    <row r="156" spans="2:11" ht="33" x14ac:dyDescent="0.15">
      <c r="B156" s="28" t="s">
        <v>233</v>
      </c>
      <c r="C156" s="28" t="s">
        <v>142</v>
      </c>
      <c r="D156" s="30"/>
      <c r="E156" s="29">
        <f>SUMIFS(E157:E286,K157:K286,"0",B157:B286,"4 1 4 3 1 12 31111 6 M78 07000 151 00E 001 00043 011 1141000 2024 00000000*")-SUMIFS(D157:D286,K157:K286,"0",B157:B286,"4 1 4 3 1 12 31111 6 M78 07000 151 00E 001 00043 011 1141000 2024 00000000*")</f>
        <v>0</v>
      </c>
      <c r="F156" s="29">
        <f>SUMIFS(F157:F286,K157:K286,"0",B157:B286,"4 1 4 3 1 12 31111 6 M78 07000 151 00E 001 00043 011 1141000 2024 00000000*")</f>
        <v>0</v>
      </c>
      <c r="G156" s="29">
        <f>SUMIFS(G157:G286,K157:K286,"0",B157:B286,"4 1 4 3 1 12 31111 6 M78 07000 151 00E 001 00043 011 1141000 2024 00000000*")</f>
        <v>71230.78</v>
      </c>
      <c r="H156" s="29"/>
      <c r="I156" s="29">
        <f t="shared" si="4"/>
        <v>71230.78</v>
      </c>
      <c r="J156" s="31"/>
      <c r="K156" t="s">
        <v>15</v>
      </c>
    </row>
    <row r="157" spans="2:11" ht="33" x14ac:dyDescent="0.15">
      <c r="B157" s="28" t="s">
        <v>234</v>
      </c>
      <c r="C157" s="28" t="s">
        <v>9</v>
      </c>
      <c r="D157" s="30"/>
      <c r="E157" s="29">
        <f>SUMIFS(E158:E286,K158:K286,"0",B158:B286,"4 1 4 3 1 12 31111 6 M78 07000 151 00E 001 00043 011 1141000 2024 00000000 005*")-SUMIFS(D158:D286,K158:K286,"0",B158:B286,"4 1 4 3 1 12 31111 6 M78 07000 151 00E 001 00043 011 1141000 2024 00000000 005*")</f>
        <v>0</v>
      </c>
      <c r="F157" s="29">
        <f>SUMIFS(F158:F286,K158:K286,"0",B158:B286,"4 1 4 3 1 12 31111 6 M78 07000 151 00E 001 00043 011 1141000 2024 00000000 005*")</f>
        <v>0</v>
      </c>
      <c r="G157" s="29">
        <f>SUMIFS(G158:G286,K158:K286,"0",B158:B286,"4 1 4 3 1 12 31111 6 M78 07000 151 00E 001 00043 011 1141000 2024 00000000 005*")</f>
        <v>71230.78</v>
      </c>
      <c r="H157" s="29"/>
      <c r="I157" s="29">
        <f t="shared" si="4"/>
        <v>71230.78</v>
      </c>
      <c r="J157" s="31"/>
      <c r="K157" t="s">
        <v>15</v>
      </c>
    </row>
    <row r="158" spans="2:11" ht="33" x14ac:dyDescent="0.15">
      <c r="B158" s="32" t="s">
        <v>235</v>
      </c>
      <c r="C158" s="32" t="s">
        <v>236</v>
      </c>
      <c r="D158" s="33"/>
      <c r="E158" s="33">
        <v>0</v>
      </c>
      <c r="F158" s="33">
        <v>0</v>
      </c>
      <c r="G158" s="33">
        <v>500</v>
      </c>
      <c r="H158" s="33"/>
      <c r="I158" s="33">
        <f t="shared" si="4"/>
        <v>500</v>
      </c>
      <c r="J158" s="31"/>
      <c r="K158" t="s">
        <v>37</v>
      </c>
    </row>
    <row r="159" spans="2:11" ht="33" x14ac:dyDescent="0.15">
      <c r="B159" s="32" t="s">
        <v>237</v>
      </c>
      <c r="C159" s="32" t="s">
        <v>238</v>
      </c>
      <c r="D159" s="33"/>
      <c r="E159" s="33">
        <v>0</v>
      </c>
      <c r="F159" s="33">
        <v>0</v>
      </c>
      <c r="G159" s="33">
        <v>2500</v>
      </c>
      <c r="H159" s="33"/>
      <c r="I159" s="33">
        <f t="shared" si="4"/>
        <v>2500</v>
      </c>
      <c r="J159" s="31"/>
      <c r="K159" t="s">
        <v>37</v>
      </c>
    </row>
    <row r="160" spans="2:11" ht="33" x14ac:dyDescent="0.15">
      <c r="B160" s="32" t="s">
        <v>239</v>
      </c>
      <c r="C160" s="32" t="s">
        <v>240</v>
      </c>
      <c r="D160" s="33"/>
      <c r="E160" s="33">
        <v>0</v>
      </c>
      <c r="F160" s="33">
        <v>0</v>
      </c>
      <c r="G160" s="33">
        <v>5750</v>
      </c>
      <c r="H160" s="33"/>
      <c r="I160" s="33">
        <f t="shared" si="4"/>
        <v>5750</v>
      </c>
      <c r="J160" s="31"/>
      <c r="K160" t="s">
        <v>37</v>
      </c>
    </row>
    <row r="161" spans="2:11" ht="33" x14ac:dyDescent="0.15">
      <c r="B161" s="32" t="s">
        <v>241</v>
      </c>
      <c r="C161" s="32" t="s">
        <v>242</v>
      </c>
      <c r="D161" s="33"/>
      <c r="E161" s="33">
        <v>0</v>
      </c>
      <c r="F161" s="33">
        <v>0</v>
      </c>
      <c r="G161" s="33">
        <v>2750</v>
      </c>
      <c r="H161" s="33"/>
      <c r="I161" s="33">
        <f t="shared" si="4"/>
        <v>2750</v>
      </c>
      <c r="J161" s="31"/>
      <c r="K161" t="s">
        <v>37</v>
      </c>
    </row>
    <row r="162" spans="2:11" ht="33" x14ac:dyDescent="0.15">
      <c r="B162" s="32" t="s">
        <v>243</v>
      </c>
      <c r="C162" s="32" t="s">
        <v>244</v>
      </c>
      <c r="D162" s="33"/>
      <c r="E162" s="33">
        <v>0</v>
      </c>
      <c r="F162" s="33">
        <v>0</v>
      </c>
      <c r="G162" s="33">
        <v>2000</v>
      </c>
      <c r="H162" s="33"/>
      <c r="I162" s="33">
        <f t="shared" si="4"/>
        <v>2000</v>
      </c>
      <c r="J162" s="31"/>
      <c r="K162" t="s">
        <v>37</v>
      </c>
    </row>
    <row r="163" spans="2:11" ht="33" x14ac:dyDescent="0.15">
      <c r="B163" s="32" t="s">
        <v>245</v>
      </c>
      <c r="C163" s="32" t="s">
        <v>246</v>
      </c>
      <c r="D163" s="33"/>
      <c r="E163" s="33">
        <v>0</v>
      </c>
      <c r="F163" s="33">
        <v>0</v>
      </c>
      <c r="G163" s="33">
        <v>57730.78</v>
      </c>
      <c r="H163" s="33"/>
      <c r="I163" s="33">
        <f t="shared" ref="I163:I199" si="5">E163 - F163 + G163</f>
        <v>57730.78</v>
      </c>
      <c r="J163" s="31"/>
      <c r="K163" t="s">
        <v>37</v>
      </c>
    </row>
    <row r="164" spans="2:11" ht="13" x14ac:dyDescent="0.15">
      <c r="B164" s="28" t="s">
        <v>247</v>
      </c>
      <c r="C164" s="28" t="s">
        <v>248</v>
      </c>
      <c r="D164" s="30"/>
      <c r="E164" s="29">
        <f>SUMIFS(E165:E286,K165:K286,"0",B165:B286,"4 1 5*")-SUMIFS(D165:D286,K165:K286,"0",B165:B286,"4 1 5*")</f>
        <v>0</v>
      </c>
      <c r="F164" s="29">
        <f>SUMIFS(F165:F286,K165:K286,"0",B165:B286,"4 1 5*")</f>
        <v>0</v>
      </c>
      <c r="G164" s="29">
        <f>SUMIFS(G165:G286,K165:K286,"0",B165:B286,"4 1 5*")</f>
        <v>15988.04</v>
      </c>
      <c r="H164" s="29"/>
      <c r="I164" s="29">
        <f t="shared" si="5"/>
        <v>15988.04</v>
      </c>
      <c r="J164" s="31"/>
      <c r="K164" t="s">
        <v>15</v>
      </c>
    </row>
    <row r="165" spans="2:11" ht="13" x14ac:dyDescent="0.15">
      <c r="B165" s="28" t="s">
        <v>249</v>
      </c>
      <c r="C165" s="28" t="s">
        <v>248</v>
      </c>
      <c r="D165" s="30"/>
      <c r="E165" s="29">
        <f>SUMIFS(E166:E286,K166:K286,"0",B166:B286,"4 1 5 1*")-SUMIFS(D166:D286,K166:K286,"0",B166:B286,"4 1 5 1*")</f>
        <v>0</v>
      </c>
      <c r="F165" s="29">
        <f>SUMIFS(F166:F286,K166:K286,"0",B166:B286,"4 1 5 1*")</f>
        <v>0</v>
      </c>
      <c r="G165" s="29">
        <f>SUMIFS(G166:G286,K166:K286,"0",B166:B286,"4 1 5 1*")</f>
        <v>15988.04</v>
      </c>
      <c r="H165" s="29"/>
      <c r="I165" s="29">
        <f t="shared" si="5"/>
        <v>15988.04</v>
      </c>
      <c r="J165" s="31"/>
      <c r="K165" t="s">
        <v>15</v>
      </c>
    </row>
    <row r="166" spans="2:11" ht="22" x14ac:dyDescent="0.15">
      <c r="B166" s="28" t="s">
        <v>250</v>
      </c>
      <c r="C166" s="28" t="s">
        <v>251</v>
      </c>
      <c r="D166" s="30"/>
      <c r="E166" s="29">
        <f>SUMIFS(E167:E286,K167:K286,"0",B167:B286,"4 1 5 1 1*")-SUMIFS(D167:D286,K167:K286,"0",B167:B286,"4 1 5 1 1*")</f>
        <v>0</v>
      </c>
      <c r="F166" s="29">
        <f>SUMIFS(F167:F286,K167:K286,"0",B167:B286,"4 1 5 1 1*")</f>
        <v>0</v>
      </c>
      <c r="G166" s="29">
        <f>SUMIFS(G167:G286,K167:K286,"0",B167:B286,"4 1 5 1 1*")</f>
        <v>15988.04</v>
      </c>
      <c r="H166" s="29"/>
      <c r="I166" s="29">
        <f t="shared" si="5"/>
        <v>15988.04</v>
      </c>
      <c r="J166" s="31"/>
      <c r="K166" t="s">
        <v>15</v>
      </c>
    </row>
    <row r="167" spans="2:11" ht="13" x14ac:dyDescent="0.15">
      <c r="B167" s="28" t="s">
        <v>252</v>
      </c>
      <c r="C167" s="28" t="s">
        <v>26</v>
      </c>
      <c r="D167" s="30"/>
      <c r="E167" s="29">
        <f>SUMIFS(E168:E286,K168:K286,"0",B168:B286,"4 1 5 1 1 12*")-SUMIFS(D168:D286,K168:K286,"0",B168:B286,"4 1 5 1 1 12*")</f>
        <v>0</v>
      </c>
      <c r="F167" s="29">
        <f>SUMIFS(F168:F286,K168:K286,"0",B168:B286,"4 1 5 1 1 12*")</f>
        <v>0</v>
      </c>
      <c r="G167" s="29">
        <f>SUMIFS(G168:G286,K168:K286,"0",B168:B286,"4 1 5 1 1 12*")</f>
        <v>15988.04</v>
      </c>
      <c r="H167" s="29"/>
      <c r="I167" s="29">
        <f t="shared" si="5"/>
        <v>15988.04</v>
      </c>
      <c r="J167" s="31"/>
      <c r="K167" t="s">
        <v>15</v>
      </c>
    </row>
    <row r="168" spans="2:11" ht="13" x14ac:dyDescent="0.15">
      <c r="B168" s="28" t="s">
        <v>253</v>
      </c>
      <c r="C168" s="28" t="s">
        <v>28</v>
      </c>
      <c r="D168" s="30"/>
      <c r="E168" s="29">
        <f>SUMIFS(E169:E286,K169:K286,"0",B169:B286,"4 1 5 1 1 12 31111*")-SUMIFS(D169:D286,K169:K286,"0",B169:B286,"4 1 5 1 1 12 31111*")</f>
        <v>0</v>
      </c>
      <c r="F168" s="29">
        <f>SUMIFS(F169:F286,K169:K286,"0",B169:B286,"4 1 5 1 1 12 31111*")</f>
        <v>0</v>
      </c>
      <c r="G168" s="29">
        <f>SUMIFS(G169:G286,K169:K286,"0",B169:B286,"4 1 5 1 1 12 31111*")</f>
        <v>15988.04</v>
      </c>
      <c r="H168" s="29"/>
      <c r="I168" s="29">
        <f t="shared" si="5"/>
        <v>15988.04</v>
      </c>
      <c r="J168" s="31"/>
      <c r="K168" t="s">
        <v>15</v>
      </c>
    </row>
    <row r="169" spans="2:11" ht="13" x14ac:dyDescent="0.15">
      <c r="B169" s="28" t="s">
        <v>254</v>
      </c>
      <c r="C169" s="28" t="s">
        <v>30</v>
      </c>
      <c r="D169" s="30"/>
      <c r="E169" s="29">
        <f>SUMIFS(E170:E286,K170:K286,"0",B170:B286,"4 1 5 1 1 12 31111 6*")-SUMIFS(D170:D286,K170:K286,"0",B170:B286,"4 1 5 1 1 12 31111 6*")</f>
        <v>0</v>
      </c>
      <c r="F169" s="29">
        <f>SUMIFS(F170:F286,K170:K286,"0",B170:B286,"4 1 5 1 1 12 31111 6*")</f>
        <v>0</v>
      </c>
      <c r="G169" s="29">
        <f>SUMIFS(G170:G286,K170:K286,"0",B170:B286,"4 1 5 1 1 12 31111 6*")</f>
        <v>15988.04</v>
      </c>
      <c r="H169" s="29"/>
      <c r="I169" s="29">
        <f t="shared" si="5"/>
        <v>15988.04</v>
      </c>
      <c r="J169" s="31"/>
      <c r="K169" t="s">
        <v>15</v>
      </c>
    </row>
    <row r="170" spans="2:11" ht="13" x14ac:dyDescent="0.15">
      <c r="B170" s="28" t="s">
        <v>255</v>
      </c>
      <c r="C170" s="28" t="s">
        <v>221</v>
      </c>
      <c r="D170" s="30"/>
      <c r="E170" s="29">
        <f>SUMIFS(E171:E286,K171:K286,"0",B171:B286,"4 1 5 1 1 12 31111 6 M78*")-SUMIFS(D171:D286,K171:K286,"0",B171:B286,"4 1 5 1 1 12 31111 6 M78*")</f>
        <v>0</v>
      </c>
      <c r="F170" s="29">
        <f>SUMIFS(F171:F286,K171:K286,"0",B171:B286,"4 1 5 1 1 12 31111 6 M78*")</f>
        <v>0</v>
      </c>
      <c r="G170" s="29">
        <f>SUMIFS(G171:G286,K171:K286,"0",B171:B286,"4 1 5 1 1 12 31111 6 M78*")</f>
        <v>15988.04</v>
      </c>
      <c r="H170" s="29"/>
      <c r="I170" s="29">
        <f t="shared" si="5"/>
        <v>15988.04</v>
      </c>
      <c r="J170" s="31"/>
      <c r="K170" t="s">
        <v>15</v>
      </c>
    </row>
    <row r="171" spans="2:11" ht="13" x14ac:dyDescent="0.15">
      <c r="B171" s="28" t="s">
        <v>256</v>
      </c>
      <c r="C171" s="28" t="s">
        <v>94</v>
      </c>
      <c r="D171" s="30"/>
      <c r="E171" s="29">
        <f>SUMIFS(E172:E286,K172:K286,"0",B172:B286,"4 1 5 1 1 12 31111 6 M78 07000*")-SUMIFS(D172:D286,K172:K286,"0",B172:B286,"4 1 5 1 1 12 31111 6 M78 07000*")</f>
        <v>0</v>
      </c>
      <c r="F171" s="29">
        <f>SUMIFS(F172:F286,K172:K286,"0",B172:B286,"4 1 5 1 1 12 31111 6 M78 07000*")</f>
        <v>0</v>
      </c>
      <c r="G171" s="29">
        <f>SUMIFS(G172:G286,K172:K286,"0",B172:B286,"4 1 5 1 1 12 31111 6 M78 07000*")</f>
        <v>15988.04</v>
      </c>
      <c r="H171" s="29"/>
      <c r="I171" s="29">
        <f t="shared" si="5"/>
        <v>15988.04</v>
      </c>
      <c r="J171" s="31"/>
      <c r="K171" t="s">
        <v>15</v>
      </c>
    </row>
    <row r="172" spans="2:11" ht="22" x14ac:dyDescent="0.15">
      <c r="B172" s="28" t="s">
        <v>257</v>
      </c>
      <c r="C172" s="28" t="s">
        <v>96</v>
      </c>
      <c r="D172" s="30"/>
      <c r="E172" s="29">
        <f>SUMIFS(E173:E286,K173:K286,"0",B173:B286,"4 1 5 1 1 12 31111 6 M78 07000 151*")-SUMIFS(D173:D286,K173:K286,"0",B173:B286,"4 1 5 1 1 12 31111 6 M78 07000 151*")</f>
        <v>0</v>
      </c>
      <c r="F172" s="29">
        <f>SUMIFS(F173:F286,K173:K286,"0",B173:B286,"4 1 5 1 1 12 31111 6 M78 07000 151*")</f>
        <v>0</v>
      </c>
      <c r="G172" s="29">
        <f>SUMIFS(G173:G286,K173:K286,"0",B173:B286,"4 1 5 1 1 12 31111 6 M78 07000 151*")</f>
        <v>15988.04</v>
      </c>
      <c r="H172" s="29"/>
      <c r="I172" s="29">
        <f t="shared" si="5"/>
        <v>15988.04</v>
      </c>
      <c r="J172" s="31"/>
      <c r="K172" t="s">
        <v>15</v>
      </c>
    </row>
    <row r="173" spans="2:11" ht="22" x14ac:dyDescent="0.15">
      <c r="B173" s="28" t="s">
        <v>258</v>
      </c>
      <c r="C173" s="28" t="s">
        <v>98</v>
      </c>
      <c r="D173" s="30"/>
      <c r="E173" s="29">
        <f>SUMIFS(E174:E286,K174:K286,"0",B174:B286,"4 1 5 1 1 12 31111 6 M78 07000 151 00E*")-SUMIFS(D174:D286,K174:K286,"0",B174:B286,"4 1 5 1 1 12 31111 6 M78 07000 151 00E*")</f>
        <v>0</v>
      </c>
      <c r="F173" s="29">
        <f>SUMIFS(F174:F286,K174:K286,"0",B174:B286,"4 1 5 1 1 12 31111 6 M78 07000 151 00E*")</f>
        <v>0</v>
      </c>
      <c r="G173" s="29">
        <f>SUMIFS(G174:G286,K174:K286,"0",B174:B286,"4 1 5 1 1 12 31111 6 M78 07000 151 00E*")</f>
        <v>15988.04</v>
      </c>
      <c r="H173" s="29"/>
      <c r="I173" s="29">
        <f t="shared" si="5"/>
        <v>15988.04</v>
      </c>
      <c r="J173" s="31"/>
      <c r="K173" t="s">
        <v>15</v>
      </c>
    </row>
    <row r="174" spans="2:11" ht="22" x14ac:dyDescent="0.15">
      <c r="B174" s="28" t="s">
        <v>259</v>
      </c>
      <c r="C174" s="28" t="s">
        <v>226</v>
      </c>
      <c r="D174" s="30"/>
      <c r="E174" s="29">
        <f>SUMIFS(E175:E286,K175:K286,"0",B175:B286,"4 1 5 1 1 12 31111 6 M78 07000 151 00E 001*")-SUMIFS(D175:D286,K175:K286,"0",B175:B286,"4 1 5 1 1 12 31111 6 M78 07000 151 00E 001*")</f>
        <v>0</v>
      </c>
      <c r="F174" s="29">
        <f>SUMIFS(F175:F286,K175:K286,"0",B175:B286,"4 1 5 1 1 12 31111 6 M78 07000 151 00E 001*")</f>
        <v>0</v>
      </c>
      <c r="G174" s="29">
        <f>SUMIFS(G175:G286,K175:K286,"0",B175:B286,"4 1 5 1 1 12 31111 6 M78 07000 151 00E 001*")</f>
        <v>15988.04</v>
      </c>
      <c r="H174" s="29"/>
      <c r="I174" s="29">
        <f t="shared" si="5"/>
        <v>15988.04</v>
      </c>
      <c r="J174" s="31"/>
      <c r="K174" t="s">
        <v>15</v>
      </c>
    </row>
    <row r="175" spans="2:11" ht="22" x14ac:dyDescent="0.15">
      <c r="B175" s="28" t="s">
        <v>260</v>
      </c>
      <c r="C175" s="28" t="s">
        <v>248</v>
      </c>
      <c r="D175" s="30"/>
      <c r="E175" s="29">
        <f>SUMIFS(E176:E286,K176:K286,"0",B176:B286,"4 1 5 1 1 12 31111 6 M78 07000 151 00E 001 00051*")-SUMIFS(D176:D286,K176:K286,"0",B176:B286,"4 1 5 1 1 12 31111 6 M78 07000 151 00E 001 00051*")</f>
        <v>0</v>
      </c>
      <c r="F175" s="29">
        <f>SUMIFS(F176:F286,K176:K286,"0",B176:B286,"4 1 5 1 1 12 31111 6 M78 07000 151 00E 001 00051*")</f>
        <v>0</v>
      </c>
      <c r="G175" s="29">
        <f>SUMIFS(G176:G286,K176:K286,"0",B176:B286,"4 1 5 1 1 12 31111 6 M78 07000 151 00E 001 00051*")</f>
        <v>15988.04</v>
      </c>
      <c r="H175" s="29"/>
      <c r="I175" s="29">
        <f t="shared" si="5"/>
        <v>15988.04</v>
      </c>
      <c r="J175" s="31"/>
      <c r="K175" t="s">
        <v>15</v>
      </c>
    </row>
    <row r="176" spans="2:11" ht="22" x14ac:dyDescent="0.15">
      <c r="B176" s="28" t="s">
        <v>261</v>
      </c>
      <c r="C176" s="28" t="s">
        <v>104</v>
      </c>
      <c r="D176" s="30"/>
      <c r="E176" s="29">
        <f>SUMIFS(E177:E286,K177:K286,"0",B177:B286,"4 1 5 1 1 12 31111 6 M78 07000 151 00E 001 00051 011*")-SUMIFS(D177:D286,K177:K286,"0",B177:B286,"4 1 5 1 1 12 31111 6 M78 07000 151 00E 001 00051 011*")</f>
        <v>0</v>
      </c>
      <c r="F176" s="29">
        <f>SUMIFS(F177:F286,K177:K286,"0",B177:B286,"4 1 5 1 1 12 31111 6 M78 07000 151 00E 001 00051 011*")</f>
        <v>0</v>
      </c>
      <c r="G176" s="29">
        <f>SUMIFS(G177:G286,K177:K286,"0",B177:B286,"4 1 5 1 1 12 31111 6 M78 07000 151 00E 001 00051 011*")</f>
        <v>15988.04</v>
      </c>
      <c r="H176" s="29"/>
      <c r="I176" s="29">
        <f t="shared" si="5"/>
        <v>15988.04</v>
      </c>
      <c r="J176" s="31"/>
      <c r="K176" t="s">
        <v>15</v>
      </c>
    </row>
    <row r="177" spans="2:11" ht="22" x14ac:dyDescent="0.15">
      <c r="B177" s="28" t="s">
        <v>262</v>
      </c>
      <c r="C177" s="28" t="s">
        <v>263</v>
      </c>
      <c r="D177" s="30"/>
      <c r="E177" s="29">
        <f>SUMIFS(E178:E286,K178:K286,"0",B178:B286,"4 1 5 1 1 12 31111 6 M78 07000 151 00E 001 00051 011 1142000*")-SUMIFS(D178:D286,K178:K286,"0",B178:B286,"4 1 5 1 1 12 31111 6 M78 07000 151 00E 001 00051 011 1142000*")</f>
        <v>0</v>
      </c>
      <c r="F177" s="29">
        <f>SUMIFS(F178:F286,K178:K286,"0",B178:B286,"4 1 5 1 1 12 31111 6 M78 07000 151 00E 001 00051 011 1142000*")</f>
        <v>0</v>
      </c>
      <c r="G177" s="29">
        <f>SUMIFS(G178:G286,K178:K286,"0",B178:B286,"4 1 5 1 1 12 31111 6 M78 07000 151 00E 001 00051 011 1142000*")</f>
        <v>15988.04</v>
      </c>
      <c r="H177" s="29"/>
      <c r="I177" s="29">
        <f t="shared" si="5"/>
        <v>15988.04</v>
      </c>
      <c r="J177" s="31"/>
      <c r="K177" t="s">
        <v>15</v>
      </c>
    </row>
    <row r="178" spans="2:11" ht="33" x14ac:dyDescent="0.15">
      <c r="B178" s="28" t="s">
        <v>264</v>
      </c>
      <c r="C178" s="28" t="s">
        <v>232</v>
      </c>
      <c r="D178" s="30"/>
      <c r="E178" s="29">
        <f>SUMIFS(E179:E286,K179:K286,"0",B179:B286,"4 1 5 1 1 12 31111 6 M78 07000 151 00E 001 00051 011 1142000 2024*")-SUMIFS(D179:D286,K179:K286,"0",B179:B286,"4 1 5 1 1 12 31111 6 M78 07000 151 00E 001 00051 011 1142000 2024*")</f>
        <v>0</v>
      </c>
      <c r="F178" s="29">
        <f>SUMIFS(F179:F286,K179:K286,"0",B179:B286,"4 1 5 1 1 12 31111 6 M78 07000 151 00E 001 00051 011 1142000 2024*")</f>
        <v>0</v>
      </c>
      <c r="G178" s="29">
        <f>SUMIFS(G179:G286,K179:K286,"0",B179:B286,"4 1 5 1 1 12 31111 6 M78 07000 151 00E 001 00051 011 1142000 2024*")</f>
        <v>15988.04</v>
      </c>
      <c r="H178" s="29"/>
      <c r="I178" s="29">
        <f t="shared" si="5"/>
        <v>15988.04</v>
      </c>
      <c r="J178" s="31"/>
      <c r="K178" t="s">
        <v>15</v>
      </c>
    </row>
    <row r="179" spans="2:11" ht="33" x14ac:dyDescent="0.15">
      <c r="B179" s="28" t="s">
        <v>265</v>
      </c>
      <c r="C179" s="28" t="s">
        <v>142</v>
      </c>
      <c r="D179" s="30"/>
      <c r="E179" s="29">
        <f>SUMIFS(E180:E286,K180:K286,"0",B180:B286,"4 1 5 1 1 12 31111 6 M78 07000 151 00E 001 00051 011 1142000 2024 00000000*")-SUMIFS(D180:D286,K180:K286,"0",B180:B286,"4 1 5 1 1 12 31111 6 M78 07000 151 00E 001 00051 011 1142000 2024 00000000*")</f>
        <v>0</v>
      </c>
      <c r="F179" s="29">
        <f>SUMIFS(F180:F286,K180:K286,"0",B180:B286,"4 1 5 1 1 12 31111 6 M78 07000 151 00E 001 00051 011 1142000 2024 00000000*")</f>
        <v>0</v>
      </c>
      <c r="G179" s="29">
        <f>SUMIFS(G180:G286,K180:K286,"0",B180:B286,"4 1 5 1 1 12 31111 6 M78 07000 151 00E 001 00051 011 1142000 2024 00000000*")</f>
        <v>15988.04</v>
      </c>
      <c r="H179" s="29"/>
      <c r="I179" s="29">
        <f t="shared" si="5"/>
        <v>15988.04</v>
      </c>
      <c r="J179" s="31"/>
      <c r="K179" t="s">
        <v>15</v>
      </c>
    </row>
    <row r="180" spans="2:11" ht="33" x14ac:dyDescent="0.15">
      <c r="B180" s="28" t="s">
        <v>266</v>
      </c>
      <c r="C180" s="28" t="s">
        <v>9</v>
      </c>
      <c r="D180" s="30"/>
      <c r="E180" s="29">
        <f>SUMIFS(E181:E286,K181:K286,"0",B181:B286,"4 1 5 1 1 12 31111 6 M78 07000 151 00E 001 00051 011 1142000 2024 00000000 005*")-SUMIFS(D181:D286,K181:K286,"0",B181:B286,"4 1 5 1 1 12 31111 6 M78 07000 151 00E 001 00051 011 1142000 2024 00000000 005*")</f>
        <v>0</v>
      </c>
      <c r="F180" s="29">
        <f>SUMIFS(F181:F286,K181:K286,"0",B181:B286,"4 1 5 1 1 12 31111 6 M78 07000 151 00E 001 00051 011 1142000 2024 00000000 005*")</f>
        <v>0</v>
      </c>
      <c r="G180" s="29">
        <f>SUMIFS(G181:G286,K181:K286,"0",B181:B286,"4 1 5 1 1 12 31111 6 M78 07000 151 00E 001 00051 011 1142000 2024 00000000 005*")</f>
        <v>15988.04</v>
      </c>
      <c r="H180" s="29"/>
      <c r="I180" s="29">
        <f t="shared" si="5"/>
        <v>15988.04</v>
      </c>
      <c r="J180" s="31"/>
      <c r="K180" t="s">
        <v>15</v>
      </c>
    </row>
    <row r="181" spans="2:11" ht="33" x14ac:dyDescent="0.15">
      <c r="B181" s="32" t="s">
        <v>267</v>
      </c>
      <c r="C181" s="32" t="s">
        <v>268</v>
      </c>
      <c r="D181" s="33"/>
      <c r="E181" s="33">
        <v>0</v>
      </c>
      <c r="F181" s="33">
        <v>0</v>
      </c>
      <c r="G181" s="33">
        <v>15988.04</v>
      </c>
      <c r="H181" s="33"/>
      <c r="I181" s="33">
        <f t="shared" si="5"/>
        <v>15988.04</v>
      </c>
      <c r="J181" s="31"/>
      <c r="K181" t="s">
        <v>37</v>
      </c>
    </row>
    <row r="182" spans="2:11" ht="13" x14ac:dyDescent="0.15">
      <c r="B182" s="28" t="s">
        <v>269</v>
      </c>
      <c r="C182" s="28" t="s">
        <v>270</v>
      </c>
      <c r="D182" s="30"/>
      <c r="E182" s="29">
        <f>SUMIFS(E183:E286,K183:K286,"0",B183:B286,"4 1 6*")-SUMIFS(D183:D286,K183:K286,"0",B183:B286,"4 1 6*")</f>
        <v>0</v>
      </c>
      <c r="F182" s="29">
        <f>SUMIFS(F183:F286,K183:K286,"0",B183:B286,"4 1 6*")</f>
        <v>0</v>
      </c>
      <c r="G182" s="29">
        <f>SUMIFS(G183:G286,K183:K286,"0",B183:B286,"4 1 6*")</f>
        <v>67.930000000000007</v>
      </c>
      <c r="H182" s="29"/>
      <c r="I182" s="29">
        <f t="shared" si="5"/>
        <v>67.930000000000007</v>
      </c>
      <c r="J182" s="31"/>
      <c r="K182" t="s">
        <v>15</v>
      </c>
    </row>
    <row r="183" spans="2:11" ht="13" x14ac:dyDescent="0.15">
      <c r="B183" s="28" t="s">
        <v>271</v>
      </c>
      <c r="C183" s="28" t="s">
        <v>272</v>
      </c>
      <c r="D183" s="30"/>
      <c r="E183" s="29">
        <f>SUMIFS(E184:E286,K184:K286,"0",B184:B286,"4 1 6 9*")-SUMIFS(D184:D286,K184:K286,"0",B184:B286,"4 1 6 9*")</f>
        <v>0</v>
      </c>
      <c r="F183" s="29">
        <f>SUMIFS(F184:F286,K184:K286,"0",B184:B286,"4 1 6 9*")</f>
        <v>0</v>
      </c>
      <c r="G183" s="29">
        <f>SUMIFS(G184:G286,K184:K286,"0",B184:B286,"4 1 6 9*")</f>
        <v>67.930000000000007</v>
      </c>
      <c r="H183" s="29"/>
      <c r="I183" s="29">
        <f t="shared" si="5"/>
        <v>67.930000000000007</v>
      </c>
      <c r="J183" s="31"/>
      <c r="K183" t="s">
        <v>15</v>
      </c>
    </row>
    <row r="184" spans="2:11" ht="13" x14ac:dyDescent="0.15">
      <c r="B184" s="28" t="s">
        <v>273</v>
      </c>
      <c r="C184" s="28" t="s">
        <v>272</v>
      </c>
      <c r="D184" s="30"/>
      <c r="E184" s="29">
        <f>SUMIFS(E185:E286,K185:K286,"0",B185:B286,"4 1 6 9 1*")-SUMIFS(D185:D286,K185:K286,"0",B185:B286,"4 1 6 9 1*")</f>
        <v>0</v>
      </c>
      <c r="F184" s="29">
        <f>SUMIFS(F185:F286,K185:K286,"0",B185:B286,"4 1 6 9 1*")</f>
        <v>0</v>
      </c>
      <c r="G184" s="29">
        <f>SUMIFS(G185:G286,K185:K286,"0",B185:B286,"4 1 6 9 1*")</f>
        <v>67.930000000000007</v>
      </c>
      <c r="H184" s="29"/>
      <c r="I184" s="29">
        <f t="shared" si="5"/>
        <v>67.930000000000007</v>
      </c>
      <c r="J184" s="31"/>
      <c r="K184" t="s">
        <v>15</v>
      </c>
    </row>
    <row r="185" spans="2:11" ht="13" x14ac:dyDescent="0.15">
      <c r="B185" s="28" t="s">
        <v>274</v>
      </c>
      <c r="C185" s="28" t="s">
        <v>26</v>
      </c>
      <c r="D185" s="30"/>
      <c r="E185" s="29">
        <f>SUMIFS(E186:E286,K186:K286,"0",B186:B286,"4 1 6 9 1 12*")-SUMIFS(D186:D286,K186:K286,"0",B186:B286,"4 1 6 9 1 12*")</f>
        <v>0</v>
      </c>
      <c r="F185" s="29">
        <f>SUMIFS(F186:F286,K186:K286,"0",B186:B286,"4 1 6 9 1 12*")</f>
        <v>0</v>
      </c>
      <c r="G185" s="29">
        <f>SUMIFS(G186:G286,K186:K286,"0",B186:B286,"4 1 6 9 1 12*")</f>
        <v>67.930000000000007</v>
      </c>
      <c r="H185" s="29"/>
      <c r="I185" s="29">
        <f t="shared" si="5"/>
        <v>67.930000000000007</v>
      </c>
      <c r="J185" s="31"/>
      <c r="K185" t="s">
        <v>15</v>
      </c>
    </row>
    <row r="186" spans="2:11" ht="13" x14ac:dyDescent="0.15">
      <c r="B186" s="28" t="s">
        <v>275</v>
      </c>
      <c r="C186" s="28" t="s">
        <v>28</v>
      </c>
      <c r="D186" s="30"/>
      <c r="E186" s="29">
        <f>SUMIFS(E187:E286,K187:K286,"0",B187:B286,"4 1 6 9 1 12 31111*")-SUMIFS(D187:D286,K187:K286,"0",B187:B286,"4 1 6 9 1 12 31111*")</f>
        <v>0</v>
      </c>
      <c r="F186" s="29">
        <f>SUMIFS(F187:F286,K187:K286,"0",B187:B286,"4 1 6 9 1 12 31111*")</f>
        <v>0</v>
      </c>
      <c r="G186" s="29">
        <f>SUMIFS(G187:G286,K187:K286,"0",B187:B286,"4 1 6 9 1 12 31111*")</f>
        <v>67.930000000000007</v>
      </c>
      <c r="H186" s="29"/>
      <c r="I186" s="29">
        <f t="shared" si="5"/>
        <v>67.930000000000007</v>
      </c>
      <c r="J186" s="31"/>
      <c r="K186" t="s">
        <v>15</v>
      </c>
    </row>
    <row r="187" spans="2:11" ht="13" x14ac:dyDescent="0.15">
      <c r="B187" s="28" t="s">
        <v>276</v>
      </c>
      <c r="C187" s="28" t="s">
        <v>30</v>
      </c>
      <c r="D187" s="30"/>
      <c r="E187" s="29">
        <f>SUMIFS(E188:E286,K188:K286,"0",B188:B286,"4 1 6 9 1 12 31111 6*")-SUMIFS(D188:D286,K188:K286,"0",B188:B286,"4 1 6 9 1 12 31111 6*")</f>
        <v>0</v>
      </c>
      <c r="F187" s="29">
        <f>SUMIFS(F188:F286,K188:K286,"0",B188:B286,"4 1 6 9 1 12 31111 6*")</f>
        <v>0</v>
      </c>
      <c r="G187" s="29">
        <f>SUMIFS(G188:G286,K188:K286,"0",B188:B286,"4 1 6 9 1 12 31111 6*")</f>
        <v>67.930000000000007</v>
      </c>
      <c r="H187" s="29"/>
      <c r="I187" s="29">
        <f t="shared" si="5"/>
        <v>67.930000000000007</v>
      </c>
      <c r="J187" s="31"/>
      <c r="K187" t="s">
        <v>15</v>
      </c>
    </row>
    <row r="188" spans="2:11" ht="13" x14ac:dyDescent="0.15">
      <c r="B188" s="28" t="s">
        <v>277</v>
      </c>
      <c r="C188" s="28" t="s">
        <v>221</v>
      </c>
      <c r="D188" s="30"/>
      <c r="E188" s="29">
        <f>SUMIFS(E189:E286,K189:K286,"0",B189:B286,"4 1 6 9 1 12 31111 6 M78*")-SUMIFS(D189:D286,K189:K286,"0",B189:B286,"4 1 6 9 1 12 31111 6 M78*")</f>
        <v>0</v>
      </c>
      <c r="F188" s="29">
        <f>SUMIFS(F189:F286,K189:K286,"0",B189:B286,"4 1 6 9 1 12 31111 6 M78*")</f>
        <v>0</v>
      </c>
      <c r="G188" s="29">
        <f>SUMIFS(G189:G286,K189:K286,"0",B189:B286,"4 1 6 9 1 12 31111 6 M78*")</f>
        <v>67.930000000000007</v>
      </c>
      <c r="H188" s="29"/>
      <c r="I188" s="29">
        <f t="shared" si="5"/>
        <v>67.930000000000007</v>
      </c>
      <c r="J188" s="31"/>
      <c r="K188" t="s">
        <v>15</v>
      </c>
    </row>
    <row r="189" spans="2:11" ht="13" x14ac:dyDescent="0.15">
      <c r="B189" s="28" t="s">
        <v>278</v>
      </c>
      <c r="C189" s="28" t="s">
        <v>94</v>
      </c>
      <c r="D189" s="30"/>
      <c r="E189" s="29">
        <f>SUMIFS(E190:E286,K190:K286,"0",B190:B286,"4 1 6 9 1 12 31111 6 M78 07000*")-SUMIFS(D190:D286,K190:K286,"0",B190:B286,"4 1 6 9 1 12 31111 6 M78 07000*")</f>
        <v>0</v>
      </c>
      <c r="F189" s="29">
        <f>SUMIFS(F190:F286,K190:K286,"0",B190:B286,"4 1 6 9 1 12 31111 6 M78 07000*")</f>
        <v>0</v>
      </c>
      <c r="G189" s="29">
        <f>SUMIFS(G190:G286,K190:K286,"0",B190:B286,"4 1 6 9 1 12 31111 6 M78 07000*")</f>
        <v>67.930000000000007</v>
      </c>
      <c r="H189" s="29"/>
      <c r="I189" s="29">
        <f t="shared" si="5"/>
        <v>67.930000000000007</v>
      </c>
      <c r="J189" s="31"/>
      <c r="K189" t="s">
        <v>15</v>
      </c>
    </row>
    <row r="190" spans="2:11" ht="22" x14ac:dyDescent="0.15">
      <c r="B190" s="28" t="s">
        <v>279</v>
      </c>
      <c r="C190" s="28" t="s">
        <v>96</v>
      </c>
      <c r="D190" s="30"/>
      <c r="E190" s="29">
        <f>SUMIFS(E191:E286,K191:K286,"0",B191:B286,"4 1 6 9 1 12 31111 6 M78 07000 151*")-SUMIFS(D191:D286,K191:K286,"0",B191:B286,"4 1 6 9 1 12 31111 6 M78 07000 151*")</f>
        <v>0</v>
      </c>
      <c r="F190" s="29">
        <f>SUMIFS(F191:F286,K191:K286,"0",B191:B286,"4 1 6 9 1 12 31111 6 M78 07000 151*")</f>
        <v>0</v>
      </c>
      <c r="G190" s="29">
        <f>SUMIFS(G191:G286,K191:K286,"0",B191:B286,"4 1 6 9 1 12 31111 6 M78 07000 151*")</f>
        <v>67.930000000000007</v>
      </c>
      <c r="H190" s="29"/>
      <c r="I190" s="29">
        <f t="shared" si="5"/>
        <v>67.930000000000007</v>
      </c>
      <c r="J190" s="31"/>
      <c r="K190" t="s">
        <v>15</v>
      </c>
    </row>
    <row r="191" spans="2:11" ht="22" x14ac:dyDescent="0.15">
      <c r="B191" s="28" t="s">
        <v>280</v>
      </c>
      <c r="C191" s="28" t="s">
        <v>98</v>
      </c>
      <c r="D191" s="30"/>
      <c r="E191" s="29">
        <f>SUMIFS(E192:E286,K192:K286,"0",B192:B286,"4 1 6 9 1 12 31111 6 M78 07000 151 00E*")-SUMIFS(D192:D286,K192:K286,"0",B192:B286,"4 1 6 9 1 12 31111 6 M78 07000 151 00E*")</f>
        <v>0</v>
      </c>
      <c r="F191" s="29">
        <f>SUMIFS(F192:F286,K192:K286,"0",B192:B286,"4 1 6 9 1 12 31111 6 M78 07000 151 00E*")</f>
        <v>0</v>
      </c>
      <c r="G191" s="29">
        <f>SUMIFS(G192:G286,K192:K286,"0",B192:B286,"4 1 6 9 1 12 31111 6 M78 07000 151 00E*")</f>
        <v>67.930000000000007</v>
      </c>
      <c r="H191" s="29"/>
      <c r="I191" s="29">
        <f t="shared" si="5"/>
        <v>67.930000000000007</v>
      </c>
      <c r="J191" s="31"/>
      <c r="K191" t="s">
        <v>15</v>
      </c>
    </row>
    <row r="192" spans="2:11" ht="22" x14ac:dyDescent="0.15">
      <c r="B192" s="28" t="s">
        <v>281</v>
      </c>
      <c r="C192" s="28" t="s">
        <v>226</v>
      </c>
      <c r="D192" s="30"/>
      <c r="E192" s="29">
        <f>SUMIFS(E193:E286,K193:K286,"0",B193:B286,"4 1 6 9 1 12 31111 6 M78 07000 151 00E 001*")-SUMIFS(D193:D286,K193:K286,"0",B193:B286,"4 1 6 9 1 12 31111 6 M78 07000 151 00E 001*")</f>
        <v>0</v>
      </c>
      <c r="F192" s="29">
        <f>SUMIFS(F193:F286,K193:K286,"0",B193:B286,"4 1 6 9 1 12 31111 6 M78 07000 151 00E 001*")</f>
        <v>0</v>
      </c>
      <c r="G192" s="29">
        <f>SUMIFS(G193:G286,K193:K286,"0",B193:B286,"4 1 6 9 1 12 31111 6 M78 07000 151 00E 001*")</f>
        <v>67.930000000000007</v>
      </c>
      <c r="H192" s="29"/>
      <c r="I192" s="29">
        <f t="shared" si="5"/>
        <v>67.930000000000007</v>
      </c>
      <c r="J192" s="31"/>
      <c r="K192" t="s">
        <v>15</v>
      </c>
    </row>
    <row r="193" spans="2:11" ht="22" x14ac:dyDescent="0.15">
      <c r="B193" s="28" t="s">
        <v>282</v>
      </c>
      <c r="C193" s="28" t="s">
        <v>270</v>
      </c>
      <c r="D193" s="30"/>
      <c r="E193" s="29">
        <f>SUMIFS(E194:E286,K194:K286,"0",B194:B286,"4 1 6 9 1 12 31111 6 M78 07000 151 00E 001 00061*")-SUMIFS(D194:D286,K194:K286,"0",B194:B286,"4 1 6 9 1 12 31111 6 M78 07000 151 00E 001 00061*")</f>
        <v>0</v>
      </c>
      <c r="F193" s="29">
        <f>SUMIFS(F194:F286,K194:K286,"0",B194:B286,"4 1 6 9 1 12 31111 6 M78 07000 151 00E 001 00061*")</f>
        <v>0</v>
      </c>
      <c r="G193" s="29">
        <f>SUMIFS(G194:G286,K194:K286,"0",B194:B286,"4 1 6 9 1 12 31111 6 M78 07000 151 00E 001 00061*")</f>
        <v>67.930000000000007</v>
      </c>
      <c r="H193" s="29"/>
      <c r="I193" s="29">
        <f t="shared" si="5"/>
        <v>67.930000000000007</v>
      </c>
      <c r="J193" s="31"/>
      <c r="K193" t="s">
        <v>15</v>
      </c>
    </row>
    <row r="194" spans="2:11" ht="22" x14ac:dyDescent="0.15">
      <c r="B194" s="28" t="s">
        <v>283</v>
      </c>
      <c r="C194" s="28" t="s">
        <v>221</v>
      </c>
      <c r="D194" s="30"/>
      <c r="E194" s="29">
        <f>SUMIFS(E195:E286,K195:K286,"0",B195:B286,"4 1 6 9 1 12 31111 6 M78 07000 151 00E 001 00061 011*")-SUMIFS(D195:D286,K195:K286,"0",B195:B286,"4 1 6 9 1 12 31111 6 M78 07000 151 00E 001 00061 011*")</f>
        <v>0</v>
      </c>
      <c r="F194" s="29">
        <f>SUMIFS(F195:F286,K195:K286,"0",B195:B286,"4 1 6 9 1 12 31111 6 M78 07000 151 00E 001 00061 011*")</f>
        <v>0</v>
      </c>
      <c r="G194" s="29">
        <f>SUMIFS(G195:G286,K195:K286,"0",B195:B286,"4 1 6 9 1 12 31111 6 M78 07000 151 00E 001 00061 011*")</f>
        <v>67.930000000000007</v>
      </c>
      <c r="H194" s="29"/>
      <c r="I194" s="29">
        <f t="shared" si="5"/>
        <v>67.930000000000007</v>
      </c>
      <c r="J194" s="31"/>
      <c r="K194" t="s">
        <v>15</v>
      </c>
    </row>
    <row r="195" spans="2:11" ht="22" x14ac:dyDescent="0.15">
      <c r="B195" s="28" t="s">
        <v>284</v>
      </c>
      <c r="C195" s="28" t="s">
        <v>285</v>
      </c>
      <c r="D195" s="30"/>
      <c r="E195" s="29">
        <f>SUMIFS(E196:E286,K196:K286,"0",B196:B286,"4 1 6 9 1 12 31111 6 M78 07000 151 00E 001 00061 011 1143000*")-SUMIFS(D196:D286,K196:K286,"0",B196:B286,"4 1 6 9 1 12 31111 6 M78 07000 151 00E 001 00061 011 1143000*")</f>
        <v>0</v>
      </c>
      <c r="F195" s="29">
        <f>SUMIFS(F196:F286,K196:K286,"0",B196:B286,"4 1 6 9 1 12 31111 6 M78 07000 151 00E 001 00061 011 1143000*")</f>
        <v>0</v>
      </c>
      <c r="G195" s="29">
        <f>SUMIFS(G196:G286,K196:K286,"0",B196:B286,"4 1 6 9 1 12 31111 6 M78 07000 151 00E 001 00061 011 1143000*")</f>
        <v>67.930000000000007</v>
      </c>
      <c r="H195" s="29"/>
      <c r="I195" s="29">
        <f t="shared" si="5"/>
        <v>67.930000000000007</v>
      </c>
      <c r="J195" s="31"/>
      <c r="K195" t="s">
        <v>15</v>
      </c>
    </row>
    <row r="196" spans="2:11" ht="33" x14ac:dyDescent="0.15">
      <c r="B196" s="28" t="s">
        <v>286</v>
      </c>
      <c r="C196" s="28" t="s">
        <v>232</v>
      </c>
      <c r="D196" s="30"/>
      <c r="E196" s="29">
        <f>SUMIFS(E197:E286,K197:K286,"0",B197:B286,"4 1 6 9 1 12 31111 6 M78 07000 151 00E 001 00061 011 1143000 2024*")-SUMIFS(D197:D286,K197:K286,"0",B197:B286,"4 1 6 9 1 12 31111 6 M78 07000 151 00E 001 00061 011 1143000 2024*")</f>
        <v>0</v>
      </c>
      <c r="F196" s="29">
        <f>SUMIFS(F197:F286,K197:K286,"0",B197:B286,"4 1 6 9 1 12 31111 6 M78 07000 151 00E 001 00061 011 1143000 2024*")</f>
        <v>0</v>
      </c>
      <c r="G196" s="29">
        <f>SUMIFS(G197:G286,K197:K286,"0",B197:B286,"4 1 6 9 1 12 31111 6 M78 07000 151 00E 001 00061 011 1143000 2024*")</f>
        <v>67.930000000000007</v>
      </c>
      <c r="H196" s="29"/>
      <c r="I196" s="29">
        <f t="shared" si="5"/>
        <v>67.930000000000007</v>
      </c>
      <c r="J196" s="31"/>
      <c r="K196" t="s">
        <v>15</v>
      </c>
    </row>
    <row r="197" spans="2:11" ht="33" x14ac:dyDescent="0.15">
      <c r="B197" s="28" t="s">
        <v>287</v>
      </c>
      <c r="C197" s="28" t="s">
        <v>110</v>
      </c>
      <c r="D197" s="30"/>
      <c r="E197" s="29">
        <f>SUMIFS(E198:E286,K198:K286,"0",B198:B286,"4 1 6 9 1 12 31111 6 M78 07000 151 00E 001 00061 011 1143000 2024 00000000*")-SUMIFS(D198:D286,K198:K286,"0",B198:B286,"4 1 6 9 1 12 31111 6 M78 07000 151 00E 001 00061 011 1143000 2024 00000000*")</f>
        <v>0</v>
      </c>
      <c r="F197" s="29">
        <f>SUMIFS(F198:F286,K198:K286,"0",B198:B286,"4 1 6 9 1 12 31111 6 M78 07000 151 00E 001 00061 011 1143000 2024 00000000*")</f>
        <v>0</v>
      </c>
      <c r="G197" s="29">
        <f>SUMIFS(G198:G286,K198:K286,"0",B198:B286,"4 1 6 9 1 12 31111 6 M78 07000 151 00E 001 00061 011 1143000 2024 00000000*")</f>
        <v>67.930000000000007</v>
      </c>
      <c r="H197" s="29"/>
      <c r="I197" s="29">
        <f t="shared" si="5"/>
        <v>67.930000000000007</v>
      </c>
      <c r="J197" s="31"/>
      <c r="K197" t="s">
        <v>15</v>
      </c>
    </row>
    <row r="198" spans="2:11" ht="33" x14ac:dyDescent="0.15">
      <c r="B198" s="28" t="s">
        <v>288</v>
      </c>
      <c r="C198" s="28" t="s">
        <v>9</v>
      </c>
      <c r="D198" s="30"/>
      <c r="E198" s="29">
        <f>SUMIFS(E199:E286,K199:K286,"0",B199:B286,"4 1 6 9 1 12 31111 6 M78 07000 151 00E 001 00061 011 1143000 2024 00000000 005*")-SUMIFS(D199:D286,K199:K286,"0",B199:B286,"4 1 6 9 1 12 31111 6 M78 07000 151 00E 001 00061 011 1143000 2024 00000000 005*")</f>
        <v>0</v>
      </c>
      <c r="F198" s="29">
        <f>SUMIFS(F199:F286,K199:K286,"0",B199:B286,"4 1 6 9 1 12 31111 6 M78 07000 151 00E 001 00061 011 1143000 2024 00000000 005*")</f>
        <v>0</v>
      </c>
      <c r="G198" s="29">
        <f>SUMIFS(G199:G286,K199:K286,"0",B199:B286,"4 1 6 9 1 12 31111 6 M78 07000 151 00E 001 00061 011 1143000 2024 00000000 005*")</f>
        <v>67.930000000000007</v>
      </c>
      <c r="H198" s="29"/>
      <c r="I198" s="29">
        <f t="shared" si="5"/>
        <v>67.930000000000007</v>
      </c>
      <c r="J198" s="31"/>
      <c r="K198" t="s">
        <v>15</v>
      </c>
    </row>
    <row r="199" spans="2:11" ht="33" x14ac:dyDescent="0.15">
      <c r="B199" s="32" t="s">
        <v>289</v>
      </c>
      <c r="C199" s="32" t="s">
        <v>290</v>
      </c>
      <c r="D199" s="33"/>
      <c r="E199" s="33">
        <v>0</v>
      </c>
      <c r="F199" s="33">
        <v>0</v>
      </c>
      <c r="G199" s="33">
        <v>67.930000000000007</v>
      </c>
      <c r="H199" s="33"/>
      <c r="I199" s="33">
        <f t="shared" si="5"/>
        <v>67.930000000000007</v>
      </c>
      <c r="J199" s="31"/>
      <c r="K199" t="s">
        <v>37</v>
      </c>
    </row>
    <row r="200" spans="2:11" ht="13" x14ac:dyDescent="0.15">
      <c r="B200" s="28" t="s">
        <v>291</v>
      </c>
      <c r="C200" s="28" t="s">
        <v>292</v>
      </c>
      <c r="D200" s="29">
        <f>SUMIFS(D201:D286,K201:K286,"0",B201:B286,"5*")-SUMIFS(E201:E286,K201:K286,"0",B201:B286,"5*")</f>
        <v>0</v>
      </c>
      <c r="E200" s="30"/>
      <c r="F200" s="29">
        <f>SUMIFS(F201:F286,K201:K286,"0",B201:B286,"5*")</f>
        <v>42797.81</v>
      </c>
      <c r="G200" s="29">
        <f>SUMIFS(G201:G286,K201:K286,"0",B201:B286,"5*")</f>
        <v>0</v>
      </c>
      <c r="H200" s="29">
        <f t="shared" ref="H200:H231" si="6">D200 + F200 - G200</f>
        <v>42797.81</v>
      </c>
      <c r="I200" s="29"/>
      <c r="J200" s="31"/>
      <c r="K200" t="s">
        <v>15</v>
      </c>
    </row>
    <row r="201" spans="2:11" ht="13" x14ac:dyDescent="0.15">
      <c r="B201" s="28" t="s">
        <v>293</v>
      </c>
      <c r="C201" s="28" t="s">
        <v>294</v>
      </c>
      <c r="D201" s="29">
        <f>SUMIFS(D202:D286,K202:K286,"0",B202:B286,"5 1*")-SUMIFS(E202:E286,K202:K286,"0",B202:B286,"5 1*")</f>
        <v>0</v>
      </c>
      <c r="E201" s="30"/>
      <c r="F201" s="29">
        <f>SUMIFS(F202:F286,K202:K286,"0",B202:B286,"5 1*")</f>
        <v>42797.81</v>
      </c>
      <c r="G201" s="29">
        <f>SUMIFS(G202:G286,K202:K286,"0",B202:B286,"5 1*")</f>
        <v>0</v>
      </c>
      <c r="H201" s="29">
        <f t="shared" si="6"/>
        <v>42797.81</v>
      </c>
      <c r="I201" s="29"/>
      <c r="J201" s="31"/>
      <c r="K201" t="s">
        <v>15</v>
      </c>
    </row>
    <row r="202" spans="2:11" ht="13" x14ac:dyDescent="0.15">
      <c r="B202" s="28" t="s">
        <v>295</v>
      </c>
      <c r="C202" s="28" t="s">
        <v>296</v>
      </c>
      <c r="D202" s="29">
        <f>SUMIFS(D203:D286,K203:K286,"0",B203:B286,"5 1 2*")-SUMIFS(E203:E286,K203:K286,"0",B203:B286,"5 1 2*")</f>
        <v>0</v>
      </c>
      <c r="E202" s="30"/>
      <c r="F202" s="29">
        <f>SUMIFS(F203:F286,K203:K286,"0",B203:B286,"5 1 2*")</f>
        <v>20929.400000000001</v>
      </c>
      <c r="G202" s="29">
        <f>SUMIFS(G203:G286,K203:K286,"0",B203:B286,"5 1 2*")</f>
        <v>0</v>
      </c>
      <c r="H202" s="29">
        <f t="shared" si="6"/>
        <v>20929.400000000001</v>
      </c>
      <c r="I202" s="29"/>
      <c r="J202" s="31"/>
      <c r="K202" t="s">
        <v>15</v>
      </c>
    </row>
    <row r="203" spans="2:11" ht="22" x14ac:dyDescent="0.15">
      <c r="B203" s="28" t="s">
        <v>297</v>
      </c>
      <c r="C203" s="28" t="s">
        <v>298</v>
      </c>
      <c r="D203" s="29">
        <f>SUMIFS(D204:D286,K204:K286,"0",B204:B286,"5 1 2 1*")-SUMIFS(E204:E286,K204:K286,"0",B204:B286,"5 1 2 1*")</f>
        <v>0</v>
      </c>
      <c r="E203" s="30"/>
      <c r="F203" s="29">
        <f>SUMIFS(F204:F286,K204:K286,"0",B204:B286,"5 1 2 1*")</f>
        <v>10693.4</v>
      </c>
      <c r="G203" s="29">
        <f>SUMIFS(G204:G286,K204:K286,"0",B204:B286,"5 1 2 1*")</f>
        <v>0</v>
      </c>
      <c r="H203" s="29">
        <f t="shared" si="6"/>
        <v>10693.4</v>
      </c>
      <c r="I203" s="29"/>
      <c r="J203" s="31"/>
      <c r="K203" t="s">
        <v>15</v>
      </c>
    </row>
    <row r="204" spans="2:11" ht="13" x14ac:dyDescent="0.15">
      <c r="B204" s="28" t="s">
        <v>299</v>
      </c>
      <c r="C204" s="28" t="s">
        <v>300</v>
      </c>
      <c r="D204" s="29">
        <f>SUMIFS(D205:D286,K205:K286,"0",B205:B286,"5 1 2 1 1*")-SUMIFS(E205:E286,K205:K286,"0",B205:B286,"5 1 2 1 1*")</f>
        <v>0</v>
      </c>
      <c r="E204" s="30"/>
      <c r="F204" s="29">
        <f>SUMIFS(F205:F286,K205:K286,"0",B205:B286,"5 1 2 1 1*")</f>
        <v>10693.4</v>
      </c>
      <c r="G204" s="29">
        <f>SUMIFS(G205:G286,K205:K286,"0",B205:B286,"5 1 2 1 1*")</f>
        <v>0</v>
      </c>
      <c r="H204" s="29">
        <f t="shared" si="6"/>
        <v>10693.4</v>
      </c>
      <c r="I204" s="29"/>
      <c r="J204" s="31"/>
      <c r="K204" t="s">
        <v>15</v>
      </c>
    </row>
    <row r="205" spans="2:11" ht="13" x14ac:dyDescent="0.15">
      <c r="B205" s="28" t="s">
        <v>301</v>
      </c>
      <c r="C205" s="28" t="s">
        <v>26</v>
      </c>
      <c r="D205" s="29">
        <f>SUMIFS(D206:D286,K206:K286,"0",B206:B286,"5 1 2 1 1 12*")-SUMIFS(E206:E286,K206:K286,"0",B206:B286,"5 1 2 1 1 12*")</f>
        <v>0</v>
      </c>
      <c r="E205" s="30"/>
      <c r="F205" s="29">
        <f>SUMIFS(F206:F286,K206:K286,"0",B206:B286,"5 1 2 1 1 12*")</f>
        <v>10693.4</v>
      </c>
      <c r="G205" s="29">
        <f>SUMIFS(G206:G286,K206:K286,"0",B206:B286,"5 1 2 1 1 12*")</f>
        <v>0</v>
      </c>
      <c r="H205" s="29">
        <f t="shared" si="6"/>
        <v>10693.4</v>
      </c>
      <c r="I205" s="29"/>
      <c r="J205" s="31"/>
      <c r="K205" t="s">
        <v>15</v>
      </c>
    </row>
    <row r="206" spans="2:11" ht="13" x14ac:dyDescent="0.15">
      <c r="B206" s="28" t="s">
        <v>302</v>
      </c>
      <c r="C206" s="28" t="s">
        <v>28</v>
      </c>
      <c r="D206" s="29">
        <f>SUMIFS(D207:D286,K207:K286,"0",B207:B286,"5 1 2 1 1 12 31111*")-SUMIFS(E207:E286,K207:K286,"0",B207:B286,"5 1 2 1 1 12 31111*")</f>
        <v>0</v>
      </c>
      <c r="E206" s="30"/>
      <c r="F206" s="29">
        <f>SUMIFS(F207:F286,K207:K286,"0",B207:B286,"5 1 2 1 1 12 31111*")</f>
        <v>10693.4</v>
      </c>
      <c r="G206" s="29">
        <f>SUMIFS(G207:G286,K207:K286,"0",B207:B286,"5 1 2 1 1 12 31111*")</f>
        <v>0</v>
      </c>
      <c r="H206" s="29">
        <f t="shared" si="6"/>
        <v>10693.4</v>
      </c>
      <c r="I206" s="29"/>
      <c r="J206" s="31"/>
      <c r="K206" t="s">
        <v>15</v>
      </c>
    </row>
    <row r="207" spans="2:11" ht="13" x14ac:dyDescent="0.15">
      <c r="B207" s="28" t="s">
        <v>303</v>
      </c>
      <c r="C207" s="28" t="s">
        <v>30</v>
      </c>
      <c r="D207" s="29">
        <f>SUMIFS(D208:D286,K208:K286,"0",B208:B286,"5 1 2 1 1 12 31111 6*")-SUMIFS(E208:E286,K208:K286,"0",B208:B286,"5 1 2 1 1 12 31111 6*")</f>
        <v>0</v>
      </c>
      <c r="E207" s="30"/>
      <c r="F207" s="29">
        <f>SUMIFS(F208:F286,K208:K286,"0",B208:B286,"5 1 2 1 1 12 31111 6*")</f>
        <v>10693.4</v>
      </c>
      <c r="G207" s="29">
        <f>SUMIFS(G208:G286,K208:K286,"0",B208:B286,"5 1 2 1 1 12 31111 6*")</f>
        <v>0</v>
      </c>
      <c r="H207" s="29">
        <f t="shared" si="6"/>
        <v>10693.4</v>
      </c>
      <c r="I207" s="29"/>
      <c r="J207" s="31"/>
      <c r="K207" t="s">
        <v>15</v>
      </c>
    </row>
    <row r="208" spans="2:11" ht="13" x14ac:dyDescent="0.15">
      <c r="B208" s="28" t="s">
        <v>304</v>
      </c>
      <c r="C208" s="28" t="s">
        <v>221</v>
      </c>
      <c r="D208" s="29">
        <f>SUMIFS(D209:D286,K209:K286,"0",B209:B286,"5 1 2 1 1 12 31111 6 M78*")-SUMIFS(E209:E286,K209:K286,"0",B209:B286,"5 1 2 1 1 12 31111 6 M78*")</f>
        <v>0</v>
      </c>
      <c r="E208" s="30"/>
      <c r="F208" s="29">
        <f>SUMIFS(F209:F286,K209:K286,"0",B209:B286,"5 1 2 1 1 12 31111 6 M78*")</f>
        <v>10693.4</v>
      </c>
      <c r="G208" s="29">
        <f>SUMIFS(G209:G286,K209:K286,"0",B209:B286,"5 1 2 1 1 12 31111 6 M78*")</f>
        <v>0</v>
      </c>
      <c r="H208" s="29">
        <f t="shared" si="6"/>
        <v>10693.4</v>
      </c>
      <c r="I208" s="29"/>
      <c r="J208" s="31"/>
      <c r="K208" t="s">
        <v>15</v>
      </c>
    </row>
    <row r="209" spans="2:11" ht="13" x14ac:dyDescent="0.15">
      <c r="B209" s="28" t="s">
        <v>305</v>
      </c>
      <c r="C209" s="28" t="s">
        <v>94</v>
      </c>
      <c r="D209" s="29">
        <f>SUMIFS(D210:D286,K210:K286,"0",B210:B286,"5 1 2 1 1 12 31111 6 M78 07000*")-SUMIFS(E210:E286,K210:K286,"0",B210:B286,"5 1 2 1 1 12 31111 6 M78 07000*")</f>
        <v>0</v>
      </c>
      <c r="E209" s="30"/>
      <c r="F209" s="29">
        <f>SUMIFS(F210:F286,K210:K286,"0",B210:B286,"5 1 2 1 1 12 31111 6 M78 07000*")</f>
        <v>10693.4</v>
      </c>
      <c r="G209" s="29">
        <f>SUMIFS(G210:G286,K210:K286,"0",B210:B286,"5 1 2 1 1 12 31111 6 M78 07000*")</f>
        <v>0</v>
      </c>
      <c r="H209" s="29">
        <f t="shared" si="6"/>
        <v>10693.4</v>
      </c>
      <c r="I209" s="29"/>
      <c r="J209" s="31"/>
      <c r="K209" t="s">
        <v>15</v>
      </c>
    </row>
    <row r="210" spans="2:11" ht="22" x14ac:dyDescent="0.15">
      <c r="B210" s="28" t="s">
        <v>306</v>
      </c>
      <c r="C210" s="28" t="s">
        <v>96</v>
      </c>
      <c r="D210" s="29">
        <f>SUMIFS(D211:D286,K211:K286,"0",B211:B286,"5 1 2 1 1 12 31111 6 M78 07000 151*")-SUMIFS(E211:E286,K211:K286,"0",B211:B286,"5 1 2 1 1 12 31111 6 M78 07000 151*")</f>
        <v>0</v>
      </c>
      <c r="E210" s="30"/>
      <c r="F210" s="29">
        <f>SUMIFS(F211:F286,K211:K286,"0",B211:B286,"5 1 2 1 1 12 31111 6 M78 07000 151*")</f>
        <v>10693.4</v>
      </c>
      <c r="G210" s="29">
        <f>SUMIFS(G211:G286,K211:K286,"0",B211:B286,"5 1 2 1 1 12 31111 6 M78 07000 151*")</f>
        <v>0</v>
      </c>
      <c r="H210" s="29">
        <f t="shared" si="6"/>
        <v>10693.4</v>
      </c>
      <c r="I210" s="29"/>
      <c r="J210" s="31"/>
      <c r="K210" t="s">
        <v>15</v>
      </c>
    </row>
    <row r="211" spans="2:11" ht="22" x14ac:dyDescent="0.15">
      <c r="B211" s="28" t="s">
        <v>307</v>
      </c>
      <c r="C211" s="28" t="s">
        <v>98</v>
      </c>
      <c r="D211" s="29">
        <f>SUMIFS(D212:D286,K212:K286,"0",B212:B286,"5 1 2 1 1 12 31111 6 M78 07000 151 00E*")-SUMIFS(E212:E286,K212:K286,"0",B212:B286,"5 1 2 1 1 12 31111 6 M78 07000 151 00E*")</f>
        <v>0</v>
      </c>
      <c r="E211" s="30"/>
      <c r="F211" s="29">
        <f>SUMIFS(F212:F286,K212:K286,"0",B212:B286,"5 1 2 1 1 12 31111 6 M78 07000 151 00E*")</f>
        <v>10693.4</v>
      </c>
      <c r="G211" s="29">
        <f>SUMIFS(G212:G286,K212:K286,"0",B212:B286,"5 1 2 1 1 12 31111 6 M78 07000 151 00E*")</f>
        <v>0</v>
      </c>
      <c r="H211" s="29">
        <f t="shared" si="6"/>
        <v>10693.4</v>
      </c>
      <c r="I211" s="29"/>
      <c r="J211" s="31"/>
      <c r="K211" t="s">
        <v>15</v>
      </c>
    </row>
    <row r="212" spans="2:11" ht="22" x14ac:dyDescent="0.15">
      <c r="B212" s="28" t="s">
        <v>308</v>
      </c>
      <c r="C212" s="28" t="s">
        <v>226</v>
      </c>
      <c r="D212" s="29">
        <f>SUMIFS(D213:D286,K213:K286,"0",B213:B286,"5 1 2 1 1 12 31111 6 M78 07000 151 00E 001*")-SUMIFS(E213:E286,K213:K286,"0",B213:B286,"5 1 2 1 1 12 31111 6 M78 07000 151 00E 001*")</f>
        <v>0</v>
      </c>
      <c r="E212" s="30"/>
      <c r="F212" s="29">
        <f>SUMIFS(F213:F286,K213:K286,"0",B213:B286,"5 1 2 1 1 12 31111 6 M78 07000 151 00E 001*")</f>
        <v>10693.4</v>
      </c>
      <c r="G212" s="29">
        <f>SUMIFS(G213:G286,K213:K286,"0",B213:B286,"5 1 2 1 1 12 31111 6 M78 07000 151 00E 001*")</f>
        <v>0</v>
      </c>
      <c r="H212" s="29">
        <f t="shared" si="6"/>
        <v>10693.4</v>
      </c>
      <c r="I212" s="29"/>
      <c r="J212" s="31"/>
      <c r="K212" t="s">
        <v>15</v>
      </c>
    </row>
    <row r="213" spans="2:11" ht="22" x14ac:dyDescent="0.15">
      <c r="B213" s="28" t="s">
        <v>309</v>
      </c>
      <c r="C213" s="28" t="s">
        <v>310</v>
      </c>
      <c r="D213" s="29">
        <f>SUMIFS(D214:D286,K214:K286,"0",B214:B286,"5 1 2 1 1 12 31111 6 M78 07000 151 00E 001 21101*")-SUMIFS(E214:E286,K214:K286,"0",B214:B286,"5 1 2 1 1 12 31111 6 M78 07000 151 00E 001 21101*")</f>
        <v>0</v>
      </c>
      <c r="E213" s="30"/>
      <c r="F213" s="29">
        <f>SUMIFS(F214:F286,K214:K286,"0",B214:B286,"5 1 2 1 1 12 31111 6 M78 07000 151 00E 001 21101*")</f>
        <v>10693.4</v>
      </c>
      <c r="G213" s="29">
        <f>SUMIFS(G214:G286,K214:K286,"0",B214:B286,"5 1 2 1 1 12 31111 6 M78 07000 151 00E 001 21101*")</f>
        <v>0</v>
      </c>
      <c r="H213" s="29">
        <f t="shared" si="6"/>
        <v>10693.4</v>
      </c>
      <c r="I213" s="29"/>
      <c r="J213" s="31"/>
      <c r="K213" t="s">
        <v>15</v>
      </c>
    </row>
    <row r="214" spans="2:11" ht="22" x14ac:dyDescent="0.15">
      <c r="B214" s="28" t="s">
        <v>311</v>
      </c>
      <c r="C214" s="28" t="s">
        <v>221</v>
      </c>
      <c r="D214" s="29">
        <f>SUMIFS(D215:D286,K215:K286,"0",B215:B286,"5 1 2 1 1 12 31111 6 M78 07000 151 00E 001 21101 011*")-SUMIFS(E215:E286,K215:K286,"0",B215:B286,"5 1 2 1 1 12 31111 6 M78 07000 151 00E 001 21101 011*")</f>
        <v>0</v>
      </c>
      <c r="E214" s="30"/>
      <c r="F214" s="29">
        <f>SUMIFS(F215:F286,K215:K286,"0",B215:B286,"5 1 2 1 1 12 31111 6 M78 07000 151 00E 001 21101 011*")</f>
        <v>10693.4</v>
      </c>
      <c r="G214" s="29">
        <f>SUMIFS(G215:G286,K215:K286,"0",B215:B286,"5 1 2 1 1 12 31111 6 M78 07000 151 00E 001 21101 011*")</f>
        <v>0</v>
      </c>
      <c r="H214" s="29">
        <f t="shared" si="6"/>
        <v>10693.4</v>
      </c>
      <c r="I214" s="29"/>
      <c r="J214" s="31"/>
      <c r="K214" t="s">
        <v>15</v>
      </c>
    </row>
    <row r="215" spans="2:11" ht="22" x14ac:dyDescent="0.15">
      <c r="B215" s="28" t="s">
        <v>312</v>
      </c>
      <c r="C215" s="28" t="s">
        <v>106</v>
      </c>
      <c r="D215" s="29">
        <f>SUMIFS(D216:D286,K216:K286,"0",B216:B286,"5 1 2 1 1 12 31111 6 M78 07000 151 00E 001 21101 011 2112000*")-SUMIFS(E216:E286,K216:K286,"0",B216:B286,"5 1 2 1 1 12 31111 6 M78 07000 151 00E 001 21101 011 2112000*")</f>
        <v>0</v>
      </c>
      <c r="E215" s="30"/>
      <c r="F215" s="29">
        <f>SUMIFS(F216:F286,K216:K286,"0",B216:B286,"5 1 2 1 1 12 31111 6 M78 07000 151 00E 001 21101 011 2112000*")</f>
        <v>10693.4</v>
      </c>
      <c r="G215" s="29">
        <f>SUMIFS(G216:G286,K216:K286,"0",B216:B286,"5 1 2 1 1 12 31111 6 M78 07000 151 00E 001 21101 011 2112000*")</f>
        <v>0</v>
      </c>
      <c r="H215" s="29">
        <f t="shared" si="6"/>
        <v>10693.4</v>
      </c>
      <c r="I215" s="29"/>
      <c r="J215" s="31"/>
      <c r="K215" t="s">
        <v>15</v>
      </c>
    </row>
    <row r="216" spans="2:11" ht="33" x14ac:dyDescent="0.15">
      <c r="B216" s="28" t="s">
        <v>313</v>
      </c>
      <c r="C216" s="28" t="s">
        <v>232</v>
      </c>
      <c r="D216" s="29">
        <f>SUMIFS(D217:D286,K217:K286,"0",B217:B286,"5 1 2 1 1 12 31111 6 M78 07000 151 00E 001 21101 011 2112000 2024*")-SUMIFS(E217:E286,K217:K286,"0",B217:B286,"5 1 2 1 1 12 31111 6 M78 07000 151 00E 001 21101 011 2112000 2024*")</f>
        <v>0</v>
      </c>
      <c r="E216" s="30"/>
      <c r="F216" s="29">
        <f>SUMIFS(F217:F286,K217:K286,"0",B217:B286,"5 1 2 1 1 12 31111 6 M78 07000 151 00E 001 21101 011 2112000 2024*")</f>
        <v>10693.4</v>
      </c>
      <c r="G216" s="29">
        <f>SUMIFS(G217:G286,K217:K286,"0",B217:B286,"5 1 2 1 1 12 31111 6 M78 07000 151 00E 001 21101 011 2112000 2024*")</f>
        <v>0</v>
      </c>
      <c r="H216" s="29">
        <f t="shared" si="6"/>
        <v>10693.4</v>
      </c>
      <c r="I216" s="29"/>
      <c r="J216" s="31"/>
      <c r="K216" t="s">
        <v>15</v>
      </c>
    </row>
    <row r="217" spans="2:11" ht="33" x14ac:dyDescent="0.15">
      <c r="B217" s="28" t="s">
        <v>314</v>
      </c>
      <c r="C217" s="28" t="s">
        <v>110</v>
      </c>
      <c r="D217" s="29">
        <f>SUMIFS(D218:D286,K218:K286,"0",B218:B286,"5 1 2 1 1 12 31111 6 M78 07000 151 00E 001 21101 011 2112000 2024 00000000*")-SUMIFS(E218:E286,K218:K286,"0",B218:B286,"5 1 2 1 1 12 31111 6 M78 07000 151 00E 001 21101 011 2112000 2024 00000000*")</f>
        <v>0</v>
      </c>
      <c r="E217" s="30"/>
      <c r="F217" s="29">
        <f>SUMIFS(F218:F286,K218:K286,"0",B218:B286,"5 1 2 1 1 12 31111 6 M78 07000 151 00E 001 21101 011 2112000 2024 00000000*")</f>
        <v>10693.4</v>
      </c>
      <c r="G217" s="29">
        <f>SUMIFS(G218:G286,K218:K286,"0",B218:B286,"5 1 2 1 1 12 31111 6 M78 07000 151 00E 001 21101 011 2112000 2024 00000000*")</f>
        <v>0</v>
      </c>
      <c r="H217" s="29">
        <f t="shared" si="6"/>
        <v>10693.4</v>
      </c>
      <c r="I217" s="29"/>
      <c r="J217" s="31"/>
      <c r="K217" t="s">
        <v>15</v>
      </c>
    </row>
    <row r="218" spans="2:11" ht="33" x14ac:dyDescent="0.15">
      <c r="B218" s="28" t="s">
        <v>315</v>
      </c>
      <c r="C218" s="28" t="s">
        <v>221</v>
      </c>
      <c r="D218" s="29">
        <f>SUMIFS(D219:D286,K219:K286,"0",B219:B286,"5 1 2 1 1 12 31111 6 M78 07000 151 00E 001 21101 011 2112000 2024 00000000 005*")-SUMIFS(E219:E286,K219:K286,"0",B219:B286,"5 1 2 1 1 12 31111 6 M78 07000 151 00E 001 21101 011 2112000 2024 00000000 005*")</f>
        <v>0</v>
      </c>
      <c r="E218" s="30"/>
      <c r="F218" s="29">
        <f>SUMIFS(F219:F286,K219:K286,"0",B219:B286,"5 1 2 1 1 12 31111 6 M78 07000 151 00E 001 21101 011 2112000 2024 00000000 005*")</f>
        <v>10693.4</v>
      </c>
      <c r="G218" s="29">
        <f>SUMIFS(G219:G286,K219:K286,"0",B219:B286,"5 1 2 1 1 12 31111 6 M78 07000 151 00E 001 21101 011 2112000 2024 00000000 005*")</f>
        <v>0</v>
      </c>
      <c r="H218" s="29">
        <f t="shared" si="6"/>
        <v>10693.4</v>
      </c>
      <c r="I218" s="29"/>
      <c r="J218" s="31"/>
      <c r="K218" t="s">
        <v>15</v>
      </c>
    </row>
    <row r="219" spans="2:11" ht="33" x14ac:dyDescent="0.15">
      <c r="B219" s="32" t="s">
        <v>316</v>
      </c>
      <c r="C219" s="32" t="s">
        <v>221</v>
      </c>
      <c r="D219" s="33">
        <v>0</v>
      </c>
      <c r="E219" s="33"/>
      <c r="F219" s="33">
        <v>10693.4</v>
      </c>
      <c r="G219" s="33">
        <v>0</v>
      </c>
      <c r="H219" s="33">
        <f t="shared" si="6"/>
        <v>10693.4</v>
      </c>
      <c r="I219" s="33"/>
      <c r="J219" s="31"/>
      <c r="K219" t="s">
        <v>37</v>
      </c>
    </row>
    <row r="220" spans="2:11" ht="13" x14ac:dyDescent="0.15">
      <c r="B220" s="28" t="s">
        <v>317</v>
      </c>
      <c r="C220" s="28" t="s">
        <v>318</v>
      </c>
      <c r="D220" s="29">
        <f>SUMIFS(D221:D286,K221:K286,"0",B221:B286,"5 1 2 6*")-SUMIFS(E221:E286,K221:K286,"0",B221:B286,"5 1 2 6*")</f>
        <v>0</v>
      </c>
      <c r="E220" s="30"/>
      <c r="F220" s="29">
        <f>SUMIFS(F221:F286,K221:K286,"0",B221:B286,"5 1 2 6*")</f>
        <v>10236</v>
      </c>
      <c r="G220" s="29">
        <f>SUMIFS(G221:G286,K221:K286,"0",B221:B286,"5 1 2 6*")</f>
        <v>0</v>
      </c>
      <c r="H220" s="29">
        <f t="shared" si="6"/>
        <v>10236</v>
      </c>
      <c r="I220" s="29"/>
      <c r="J220" s="31"/>
      <c r="K220" t="s">
        <v>15</v>
      </c>
    </row>
    <row r="221" spans="2:11" ht="13" x14ac:dyDescent="0.15">
      <c r="B221" s="28" t="s">
        <v>319</v>
      </c>
      <c r="C221" s="28" t="s">
        <v>318</v>
      </c>
      <c r="D221" s="29">
        <f>SUMIFS(D222:D286,K222:K286,"0",B222:B286,"5 1 2 6 1*")-SUMIFS(E222:E286,K222:K286,"0",B222:B286,"5 1 2 6 1*")</f>
        <v>0</v>
      </c>
      <c r="E221" s="30"/>
      <c r="F221" s="29">
        <f>SUMIFS(F222:F286,K222:K286,"0",B222:B286,"5 1 2 6 1*")</f>
        <v>10236</v>
      </c>
      <c r="G221" s="29">
        <f>SUMIFS(G222:G286,K222:K286,"0",B222:B286,"5 1 2 6 1*")</f>
        <v>0</v>
      </c>
      <c r="H221" s="29">
        <f t="shared" si="6"/>
        <v>10236</v>
      </c>
      <c r="I221" s="29"/>
      <c r="J221" s="31"/>
      <c r="K221" t="s">
        <v>15</v>
      </c>
    </row>
    <row r="222" spans="2:11" ht="13" x14ac:dyDescent="0.15">
      <c r="B222" s="28" t="s">
        <v>320</v>
      </c>
      <c r="C222" s="28" t="s">
        <v>26</v>
      </c>
      <c r="D222" s="29">
        <f>SUMIFS(D223:D286,K223:K286,"0",B223:B286,"5 1 2 6 1 12*")-SUMIFS(E223:E286,K223:K286,"0",B223:B286,"5 1 2 6 1 12*")</f>
        <v>0</v>
      </c>
      <c r="E222" s="30"/>
      <c r="F222" s="29">
        <f>SUMIFS(F223:F286,K223:K286,"0",B223:B286,"5 1 2 6 1 12*")</f>
        <v>10236</v>
      </c>
      <c r="G222" s="29">
        <f>SUMIFS(G223:G286,K223:K286,"0",B223:B286,"5 1 2 6 1 12*")</f>
        <v>0</v>
      </c>
      <c r="H222" s="29">
        <f t="shared" si="6"/>
        <v>10236</v>
      </c>
      <c r="I222" s="29"/>
      <c r="J222" s="31"/>
      <c r="K222" t="s">
        <v>15</v>
      </c>
    </row>
    <row r="223" spans="2:11" ht="13" x14ac:dyDescent="0.15">
      <c r="B223" s="28" t="s">
        <v>321</v>
      </c>
      <c r="C223" s="28" t="s">
        <v>28</v>
      </c>
      <c r="D223" s="29">
        <f>SUMIFS(D224:D286,K224:K286,"0",B224:B286,"5 1 2 6 1 12 31111*")-SUMIFS(E224:E286,K224:K286,"0",B224:B286,"5 1 2 6 1 12 31111*")</f>
        <v>0</v>
      </c>
      <c r="E223" s="30"/>
      <c r="F223" s="29">
        <f>SUMIFS(F224:F286,K224:K286,"0",B224:B286,"5 1 2 6 1 12 31111*")</f>
        <v>10236</v>
      </c>
      <c r="G223" s="29">
        <f>SUMIFS(G224:G286,K224:K286,"0",B224:B286,"5 1 2 6 1 12 31111*")</f>
        <v>0</v>
      </c>
      <c r="H223" s="29">
        <f t="shared" si="6"/>
        <v>10236</v>
      </c>
      <c r="I223" s="29"/>
      <c r="J223" s="31"/>
      <c r="K223" t="s">
        <v>15</v>
      </c>
    </row>
    <row r="224" spans="2:11" ht="13" x14ac:dyDescent="0.15">
      <c r="B224" s="28" t="s">
        <v>322</v>
      </c>
      <c r="C224" s="28" t="s">
        <v>30</v>
      </c>
      <c r="D224" s="29">
        <f>SUMIFS(D225:D286,K225:K286,"0",B225:B286,"5 1 2 6 1 12 31111 6*")-SUMIFS(E225:E286,K225:K286,"0",B225:B286,"5 1 2 6 1 12 31111 6*")</f>
        <v>0</v>
      </c>
      <c r="E224" s="30"/>
      <c r="F224" s="29">
        <f>SUMIFS(F225:F286,K225:K286,"0",B225:B286,"5 1 2 6 1 12 31111 6*")</f>
        <v>10236</v>
      </c>
      <c r="G224" s="29">
        <f>SUMIFS(G225:G286,K225:K286,"0",B225:B286,"5 1 2 6 1 12 31111 6*")</f>
        <v>0</v>
      </c>
      <c r="H224" s="29">
        <f t="shared" si="6"/>
        <v>10236</v>
      </c>
      <c r="I224" s="29"/>
      <c r="J224" s="31"/>
      <c r="K224" t="s">
        <v>15</v>
      </c>
    </row>
    <row r="225" spans="2:11" ht="13" x14ac:dyDescent="0.15">
      <c r="B225" s="28" t="s">
        <v>323</v>
      </c>
      <c r="C225" s="28" t="s">
        <v>221</v>
      </c>
      <c r="D225" s="29">
        <f>SUMIFS(D226:D286,K226:K286,"0",B226:B286,"5 1 2 6 1 12 31111 6 M78*")-SUMIFS(E226:E286,K226:K286,"0",B226:B286,"5 1 2 6 1 12 31111 6 M78*")</f>
        <v>0</v>
      </c>
      <c r="E225" s="30"/>
      <c r="F225" s="29">
        <f>SUMIFS(F226:F286,K226:K286,"0",B226:B286,"5 1 2 6 1 12 31111 6 M78*")</f>
        <v>10236</v>
      </c>
      <c r="G225" s="29">
        <f>SUMIFS(G226:G286,K226:K286,"0",B226:B286,"5 1 2 6 1 12 31111 6 M78*")</f>
        <v>0</v>
      </c>
      <c r="H225" s="29">
        <f t="shared" si="6"/>
        <v>10236</v>
      </c>
      <c r="I225" s="29"/>
      <c r="J225" s="31"/>
      <c r="K225" t="s">
        <v>15</v>
      </c>
    </row>
    <row r="226" spans="2:11" ht="13" x14ac:dyDescent="0.15">
      <c r="B226" s="28" t="s">
        <v>324</v>
      </c>
      <c r="C226" s="28" t="s">
        <v>94</v>
      </c>
      <c r="D226" s="29">
        <f>SUMIFS(D227:D286,K227:K286,"0",B227:B286,"5 1 2 6 1 12 31111 6 M78 07000*")-SUMIFS(E227:E286,K227:K286,"0",B227:B286,"5 1 2 6 1 12 31111 6 M78 07000*")</f>
        <v>0</v>
      </c>
      <c r="E226" s="30"/>
      <c r="F226" s="29">
        <f>SUMIFS(F227:F286,K227:K286,"0",B227:B286,"5 1 2 6 1 12 31111 6 M78 07000*")</f>
        <v>10236</v>
      </c>
      <c r="G226" s="29">
        <f>SUMIFS(G227:G286,K227:K286,"0",B227:B286,"5 1 2 6 1 12 31111 6 M78 07000*")</f>
        <v>0</v>
      </c>
      <c r="H226" s="29">
        <f t="shared" si="6"/>
        <v>10236</v>
      </c>
      <c r="I226" s="29"/>
      <c r="J226" s="31"/>
      <c r="K226" t="s">
        <v>15</v>
      </c>
    </row>
    <row r="227" spans="2:11" ht="22" x14ac:dyDescent="0.15">
      <c r="B227" s="28" t="s">
        <v>325</v>
      </c>
      <c r="C227" s="28" t="s">
        <v>96</v>
      </c>
      <c r="D227" s="29">
        <f>SUMIFS(D228:D286,K228:K286,"0",B228:B286,"5 1 2 6 1 12 31111 6 M78 07000 151*")-SUMIFS(E228:E286,K228:K286,"0",B228:B286,"5 1 2 6 1 12 31111 6 M78 07000 151*")</f>
        <v>0</v>
      </c>
      <c r="E227" s="30"/>
      <c r="F227" s="29">
        <f>SUMIFS(F228:F286,K228:K286,"0",B228:B286,"5 1 2 6 1 12 31111 6 M78 07000 151*")</f>
        <v>10236</v>
      </c>
      <c r="G227" s="29">
        <f>SUMIFS(G228:G286,K228:K286,"0",B228:B286,"5 1 2 6 1 12 31111 6 M78 07000 151*")</f>
        <v>0</v>
      </c>
      <c r="H227" s="29">
        <f t="shared" si="6"/>
        <v>10236</v>
      </c>
      <c r="I227" s="29"/>
      <c r="J227" s="31"/>
      <c r="K227" t="s">
        <v>15</v>
      </c>
    </row>
    <row r="228" spans="2:11" ht="22" x14ac:dyDescent="0.15">
      <c r="B228" s="28" t="s">
        <v>326</v>
      </c>
      <c r="C228" s="28" t="s">
        <v>98</v>
      </c>
      <c r="D228" s="29">
        <f>SUMIFS(D229:D286,K229:K286,"0",B229:B286,"5 1 2 6 1 12 31111 6 M78 07000 151 00E*")-SUMIFS(E229:E286,K229:K286,"0",B229:B286,"5 1 2 6 1 12 31111 6 M78 07000 151 00E*")</f>
        <v>0</v>
      </c>
      <c r="E228" s="30"/>
      <c r="F228" s="29">
        <f>SUMIFS(F229:F286,K229:K286,"0",B229:B286,"5 1 2 6 1 12 31111 6 M78 07000 151 00E*")</f>
        <v>10236</v>
      </c>
      <c r="G228" s="29">
        <f>SUMIFS(G229:G286,K229:K286,"0",B229:B286,"5 1 2 6 1 12 31111 6 M78 07000 151 00E*")</f>
        <v>0</v>
      </c>
      <c r="H228" s="29">
        <f t="shared" si="6"/>
        <v>10236</v>
      </c>
      <c r="I228" s="29"/>
      <c r="J228" s="31"/>
      <c r="K228" t="s">
        <v>15</v>
      </c>
    </row>
    <row r="229" spans="2:11" ht="22" x14ac:dyDescent="0.15">
      <c r="B229" s="28" t="s">
        <v>327</v>
      </c>
      <c r="C229" s="28" t="s">
        <v>226</v>
      </c>
      <c r="D229" s="29">
        <f>SUMIFS(D230:D286,K230:K286,"0",B230:B286,"5 1 2 6 1 12 31111 6 M78 07000 151 00E 001*")-SUMIFS(E230:E286,K230:K286,"0",B230:B286,"5 1 2 6 1 12 31111 6 M78 07000 151 00E 001*")</f>
        <v>0</v>
      </c>
      <c r="E229" s="30"/>
      <c r="F229" s="29">
        <f>SUMIFS(F230:F286,K230:K286,"0",B230:B286,"5 1 2 6 1 12 31111 6 M78 07000 151 00E 001*")</f>
        <v>10236</v>
      </c>
      <c r="G229" s="29">
        <f>SUMIFS(G230:G286,K230:K286,"0",B230:B286,"5 1 2 6 1 12 31111 6 M78 07000 151 00E 001*")</f>
        <v>0</v>
      </c>
      <c r="H229" s="29">
        <f t="shared" si="6"/>
        <v>10236</v>
      </c>
      <c r="I229" s="29"/>
      <c r="J229" s="31"/>
      <c r="K229" t="s">
        <v>15</v>
      </c>
    </row>
    <row r="230" spans="2:11" ht="33" x14ac:dyDescent="0.15">
      <c r="B230" s="28" t="s">
        <v>328</v>
      </c>
      <c r="C230" s="28" t="s">
        <v>329</v>
      </c>
      <c r="D230" s="29">
        <f>SUMIFS(D231:D286,K231:K286,"0",B231:B286,"5 1 2 6 1 12 31111 6 M78 07000 151 00E 001 26104*")-SUMIFS(E231:E286,K231:K286,"0",B231:B286,"5 1 2 6 1 12 31111 6 M78 07000 151 00E 001 26104*")</f>
        <v>0</v>
      </c>
      <c r="E230" s="30"/>
      <c r="F230" s="29">
        <f>SUMIFS(F231:F286,K231:K286,"0",B231:B286,"5 1 2 6 1 12 31111 6 M78 07000 151 00E 001 26104*")</f>
        <v>10236</v>
      </c>
      <c r="G230" s="29">
        <f>SUMIFS(G231:G286,K231:K286,"0",B231:B286,"5 1 2 6 1 12 31111 6 M78 07000 151 00E 001 26104*")</f>
        <v>0</v>
      </c>
      <c r="H230" s="29">
        <f t="shared" si="6"/>
        <v>10236</v>
      </c>
      <c r="I230" s="29"/>
      <c r="J230" s="31"/>
      <c r="K230" t="s">
        <v>15</v>
      </c>
    </row>
    <row r="231" spans="2:11" ht="22" x14ac:dyDescent="0.15">
      <c r="B231" s="28" t="s">
        <v>330</v>
      </c>
      <c r="C231" s="28" t="s">
        <v>221</v>
      </c>
      <c r="D231" s="29">
        <f>SUMIFS(D232:D286,K232:K286,"0",B232:B286,"5 1 2 6 1 12 31111 6 M78 07000 151 00E 001 26104 011*")-SUMIFS(E232:E286,K232:K286,"0",B232:B286,"5 1 2 6 1 12 31111 6 M78 07000 151 00E 001 26104 011*")</f>
        <v>0</v>
      </c>
      <c r="E231" s="30"/>
      <c r="F231" s="29">
        <f>SUMIFS(F232:F286,K232:K286,"0",B232:B286,"5 1 2 6 1 12 31111 6 M78 07000 151 00E 001 26104 011*")</f>
        <v>10236</v>
      </c>
      <c r="G231" s="29">
        <f>SUMIFS(G232:G286,K232:K286,"0",B232:B286,"5 1 2 6 1 12 31111 6 M78 07000 151 00E 001 26104 011*")</f>
        <v>0</v>
      </c>
      <c r="H231" s="29">
        <f t="shared" si="6"/>
        <v>10236</v>
      </c>
      <c r="I231" s="29"/>
      <c r="J231" s="31"/>
      <c r="K231" t="s">
        <v>15</v>
      </c>
    </row>
    <row r="232" spans="2:11" ht="22" x14ac:dyDescent="0.15">
      <c r="B232" s="28" t="s">
        <v>331</v>
      </c>
      <c r="C232" s="28" t="s">
        <v>106</v>
      </c>
      <c r="D232" s="29">
        <f>SUMIFS(D233:D286,K233:K286,"0",B233:B286,"5 1 2 6 1 12 31111 6 M78 07000 151 00E 001 26104 011 2112000*")-SUMIFS(E233:E286,K233:K286,"0",B233:B286,"5 1 2 6 1 12 31111 6 M78 07000 151 00E 001 26104 011 2112000*")</f>
        <v>0</v>
      </c>
      <c r="E232" s="30"/>
      <c r="F232" s="29">
        <f>SUMIFS(F233:F286,K233:K286,"0",B233:B286,"5 1 2 6 1 12 31111 6 M78 07000 151 00E 001 26104 011 2112000*")</f>
        <v>10236</v>
      </c>
      <c r="G232" s="29">
        <f>SUMIFS(G233:G286,K233:K286,"0",B233:B286,"5 1 2 6 1 12 31111 6 M78 07000 151 00E 001 26104 011 2112000*")</f>
        <v>0</v>
      </c>
      <c r="H232" s="29">
        <f t="shared" ref="H232:H263" si="7">D232 + F232 - G232</f>
        <v>10236</v>
      </c>
      <c r="I232" s="29"/>
      <c r="J232" s="31"/>
      <c r="K232" t="s">
        <v>15</v>
      </c>
    </row>
    <row r="233" spans="2:11" ht="33" x14ac:dyDescent="0.15">
      <c r="B233" s="28" t="s">
        <v>332</v>
      </c>
      <c r="C233" s="28" t="s">
        <v>232</v>
      </c>
      <c r="D233" s="29">
        <f>SUMIFS(D234:D286,K234:K286,"0",B234:B286,"5 1 2 6 1 12 31111 6 M78 07000 151 00E 001 26104 011 2112000 2024*")-SUMIFS(E234:E286,K234:K286,"0",B234:B286,"5 1 2 6 1 12 31111 6 M78 07000 151 00E 001 26104 011 2112000 2024*")</f>
        <v>0</v>
      </c>
      <c r="E233" s="30"/>
      <c r="F233" s="29">
        <f>SUMIFS(F234:F286,K234:K286,"0",B234:B286,"5 1 2 6 1 12 31111 6 M78 07000 151 00E 001 26104 011 2112000 2024*")</f>
        <v>10236</v>
      </c>
      <c r="G233" s="29">
        <f>SUMIFS(G234:G286,K234:K286,"0",B234:B286,"5 1 2 6 1 12 31111 6 M78 07000 151 00E 001 26104 011 2112000 2024*")</f>
        <v>0</v>
      </c>
      <c r="H233" s="29">
        <f t="shared" si="7"/>
        <v>10236</v>
      </c>
      <c r="I233" s="29"/>
      <c r="J233" s="31"/>
      <c r="K233" t="s">
        <v>15</v>
      </c>
    </row>
    <row r="234" spans="2:11" ht="33" x14ac:dyDescent="0.15">
      <c r="B234" s="28" t="s">
        <v>333</v>
      </c>
      <c r="C234" s="28" t="s">
        <v>110</v>
      </c>
      <c r="D234" s="29">
        <f>SUMIFS(D235:D286,K235:K286,"0",B235:B286,"5 1 2 6 1 12 31111 6 M78 07000 151 00E 001 26104 011 2112000 2024 00000000*")-SUMIFS(E235:E286,K235:K286,"0",B235:B286,"5 1 2 6 1 12 31111 6 M78 07000 151 00E 001 26104 011 2112000 2024 00000000*")</f>
        <v>0</v>
      </c>
      <c r="E234" s="30"/>
      <c r="F234" s="29">
        <f>SUMIFS(F235:F286,K235:K286,"0",B235:B286,"5 1 2 6 1 12 31111 6 M78 07000 151 00E 001 26104 011 2112000 2024 00000000*")</f>
        <v>10236</v>
      </c>
      <c r="G234" s="29">
        <f>SUMIFS(G235:G286,K235:K286,"0",B235:B286,"5 1 2 6 1 12 31111 6 M78 07000 151 00E 001 26104 011 2112000 2024 00000000*")</f>
        <v>0</v>
      </c>
      <c r="H234" s="29">
        <f t="shared" si="7"/>
        <v>10236</v>
      </c>
      <c r="I234" s="29"/>
      <c r="J234" s="31"/>
      <c r="K234" t="s">
        <v>15</v>
      </c>
    </row>
    <row r="235" spans="2:11" ht="33" x14ac:dyDescent="0.15">
      <c r="B235" s="28" t="s">
        <v>334</v>
      </c>
      <c r="C235" s="28" t="s">
        <v>221</v>
      </c>
      <c r="D235" s="29">
        <f>SUMIFS(D236:D286,K236:K286,"0",B236:B286,"5 1 2 6 1 12 31111 6 M78 07000 151 00E 001 26104 011 2112000 2024 00000000 005*")-SUMIFS(E236:E286,K236:K286,"0",B236:B286,"5 1 2 6 1 12 31111 6 M78 07000 151 00E 001 26104 011 2112000 2024 00000000 005*")</f>
        <v>0</v>
      </c>
      <c r="E235" s="30"/>
      <c r="F235" s="29">
        <f>SUMIFS(F236:F286,K236:K286,"0",B236:B286,"5 1 2 6 1 12 31111 6 M78 07000 151 00E 001 26104 011 2112000 2024 00000000 005*")</f>
        <v>10236</v>
      </c>
      <c r="G235" s="29">
        <f>SUMIFS(G236:G286,K236:K286,"0",B236:B286,"5 1 2 6 1 12 31111 6 M78 07000 151 00E 001 26104 011 2112000 2024 00000000 005*")</f>
        <v>0</v>
      </c>
      <c r="H235" s="29">
        <f t="shared" si="7"/>
        <v>10236</v>
      </c>
      <c r="I235" s="29"/>
      <c r="J235" s="31"/>
      <c r="K235" t="s">
        <v>15</v>
      </c>
    </row>
    <row r="236" spans="2:11" ht="33" x14ac:dyDescent="0.15">
      <c r="B236" s="32" t="s">
        <v>335</v>
      </c>
      <c r="C236" s="32" t="s">
        <v>221</v>
      </c>
      <c r="D236" s="33">
        <v>0</v>
      </c>
      <c r="E236" s="33"/>
      <c r="F236" s="33">
        <v>10236</v>
      </c>
      <c r="G236" s="33">
        <v>0</v>
      </c>
      <c r="H236" s="33">
        <f t="shared" si="7"/>
        <v>10236</v>
      </c>
      <c r="I236" s="33"/>
      <c r="J236" s="31"/>
      <c r="K236" t="s">
        <v>37</v>
      </c>
    </row>
    <row r="237" spans="2:11" ht="13" x14ac:dyDescent="0.15">
      <c r="B237" s="28" t="s">
        <v>336</v>
      </c>
      <c r="C237" s="28" t="s">
        <v>337</v>
      </c>
      <c r="D237" s="29">
        <f>SUMIFS(D238:D286,K238:K286,"0",B238:B286,"5 1 3*")-SUMIFS(E238:E286,K238:K286,"0",B238:B286,"5 1 3*")</f>
        <v>0</v>
      </c>
      <c r="E237" s="30"/>
      <c r="F237" s="29">
        <f>SUMIFS(F238:F286,K238:K286,"0",B238:B286,"5 1 3*")</f>
        <v>21868.41</v>
      </c>
      <c r="G237" s="29">
        <f>SUMIFS(G238:G286,K238:K286,"0",B238:B286,"5 1 3*")</f>
        <v>0</v>
      </c>
      <c r="H237" s="29">
        <f t="shared" si="7"/>
        <v>21868.41</v>
      </c>
      <c r="I237" s="29"/>
      <c r="J237" s="31"/>
      <c r="K237" t="s">
        <v>15</v>
      </c>
    </row>
    <row r="238" spans="2:11" ht="22" x14ac:dyDescent="0.15">
      <c r="B238" s="28" t="s">
        <v>338</v>
      </c>
      <c r="C238" s="28" t="s">
        <v>339</v>
      </c>
      <c r="D238" s="29">
        <f>SUMIFS(D239:D286,K239:K286,"0",B239:B286,"5 1 3 5*")-SUMIFS(E239:E286,K239:K286,"0",B239:B286,"5 1 3 5*")</f>
        <v>0</v>
      </c>
      <c r="E238" s="30"/>
      <c r="F238" s="29">
        <f>SUMIFS(F239:F286,K239:K286,"0",B239:B286,"5 1 3 5*")</f>
        <v>20868.41</v>
      </c>
      <c r="G238" s="29">
        <f>SUMIFS(G239:G286,K239:K286,"0",B239:B286,"5 1 3 5*")</f>
        <v>0</v>
      </c>
      <c r="H238" s="29">
        <f t="shared" si="7"/>
        <v>20868.41</v>
      </c>
      <c r="I238" s="29"/>
      <c r="J238" s="31"/>
      <c r="K238" t="s">
        <v>15</v>
      </c>
    </row>
    <row r="239" spans="2:11" ht="22" x14ac:dyDescent="0.15">
      <c r="B239" s="28" t="s">
        <v>340</v>
      </c>
      <c r="C239" s="28" t="s">
        <v>341</v>
      </c>
      <c r="D239" s="29">
        <f>SUMIFS(D240:D286,K240:K286,"0",B240:B286,"5 1 3 5 3*")-SUMIFS(E240:E286,K240:K286,"0",B240:B286,"5 1 3 5 3*")</f>
        <v>0</v>
      </c>
      <c r="E239" s="30"/>
      <c r="F239" s="29">
        <f>SUMIFS(F240:F286,K240:K286,"0",B240:B286,"5 1 3 5 3*")</f>
        <v>20868.41</v>
      </c>
      <c r="G239" s="29">
        <f>SUMIFS(G240:G286,K240:K286,"0",B240:B286,"5 1 3 5 3*")</f>
        <v>0</v>
      </c>
      <c r="H239" s="29">
        <f t="shared" si="7"/>
        <v>20868.41</v>
      </c>
      <c r="I239" s="29"/>
      <c r="J239" s="31"/>
      <c r="K239" t="s">
        <v>15</v>
      </c>
    </row>
    <row r="240" spans="2:11" ht="13" x14ac:dyDescent="0.15">
      <c r="B240" s="28" t="s">
        <v>342</v>
      </c>
      <c r="C240" s="28" t="s">
        <v>26</v>
      </c>
      <c r="D240" s="29">
        <f>SUMIFS(D241:D286,K241:K286,"0",B241:B286,"5 1 3 5 3 12*")-SUMIFS(E241:E286,K241:K286,"0",B241:B286,"5 1 3 5 3 12*")</f>
        <v>0</v>
      </c>
      <c r="E240" s="30"/>
      <c r="F240" s="29">
        <f>SUMIFS(F241:F286,K241:K286,"0",B241:B286,"5 1 3 5 3 12*")</f>
        <v>20868.41</v>
      </c>
      <c r="G240" s="29">
        <f>SUMIFS(G241:G286,K241:K286,"0",B241:B286,"5 1 3 5 3 12*")</f>
        <v>0</v>
      </c>
      <c r="H240" s="29">
        <f t="shared" si="7"/>
        <v>20868.41</v>
      </c>
      <c r="I240" s="29"/>
      <c r="J240" s="31"/>
      <c r="K240" t="s">
        <v>15</v>
      </c>
    </row>
    <row r="241" spans="2:11" ht="13" x14ac:dyDescent="0.15">
      <c r="B241" s="28" t="s">
        <v>343</v>
      </c>
      <c r="C241" s="28" t="s">
        <v>28</v>
      </c>
      <c r="D241" s="29">
        <f>SUMIFS(D242:D286,K242:K286,"0",B242:B286,"5 1 3 5 3 12 31111*")-SUMIFS(E242:E286,K242:K286,"0",B242:B286,"5 1 3 5 3 12 31111*")</f>
        <v>0</v>
      </c>
      <c r="E241" s="30"/>
      <c r="F241" s="29">
        <f>SUMIFS(F242:F286,K242:K286,"0",B242:B286,"5 1 3 5 3 12 31111*")</f>
        <v>20868.41</v>
      </c>
      <c r="G241" s="29">
        <f>SUMIFS(G242:G286,K242:K286,"0",B242:B286,"5 1 3 5 3 12 31111*")</f>
        <v>0</v>
      </c>
      <c r="H241" s="29">
        <f t="shared" si="7"/>
        <v>20868.41</v>
      </c>
      <c r="I241" s="29"/>
      <c r="J241" s="31"/>
      <c r="K241" t="s">
        <v>15</v>
      </c>
    </row>
    <row r="242" spans="2:11" ht="13" x14ac:dyDescent="0.15">
      <c r="B242" s="28" t="s">
        <v>344</v>
      </c>
      <c r="C242" s="28" t="s">
        <v>30</v>
      </c>
      <c r="D242" s="29">
        <f>SUMIFS(D243:D286,K243:K286,"0",B243:B286,"5 1 3 5 3 12 31111 6*")-SUMIFS(E243:E286,K243:K286,"0",B243:B286,"5 1 3 5 3 12 31111 6*")</f>
        <v>0</v>
      </c>
      <c r="E242" s="30"/>
      <c r="F242" s="29">
        <f>SUMIFS(F243:F286,K243:K286,"0",B243:B286,"5 1 3 5 3 12 31111 6*")</f>
        <v>20868.41</v>
      </c>
      <c r="G242" s="29">
        <f>SUMIFS(G243:G286,K243:K286,"0",B243:B286,"5 1 3 5 3 12 31111 6*")</f>
        <v>0</v>
      </c>
      <c r="H242" s="29">
        <f t="shared" si="7"/>
        <v>20868.41</v>
      </c>
      <c r="I242" s="29"/>
      <c r="J242" s="31"/>
      <c r="K242" t="s">
        <v>15</v>
      </c>
    </row>
    <row r="243" spans="2:11" ht="13" x14ac:dyDescent="0.15">
      <c r="B243" s="28" t="s">
        <v>345</v>
      </c>
      <c r="C243" s="28" t="s">
        <v>221</v>
      </c>
      <c r="D243" s="29">
        <f>SUMIFS(D244:D286,K244:K286,"0",B244:B286,"5 1 3 5 3 12 31111 6 M78*")-SUMIFS(E244:E286,K244:K286,"0",B244:B286,"5 1 3 5 3 12 31111 6 M78*")</f>
        <v>0</v>
      </c>
      <c r="E243" s="30"/>
      <c r="F243" s="29">
        <f>SUMIFS(F244:F286,K244:K286,"0",B244:B286,"5 1 3 5 3 12 31111 6 M78*")</f>
        <v>20868.41</v>
      </c>
      <c r="G243" s="29">
        <f>SUMIFS(G244:G286,K244:K286,"0",B244:B286,"5 1 3 5 3 12 31111 6 M78*")</f>
        <v>0</v>
      </c>
      <c r="H243" s="29">
        <f t="shared" si="7"/>
        <v>20868.41</v>
      </c>
      <c r="I243" s="29"/>
      <c r="J243" s="31"/>
      <c r="K243" t="s">
        <v>15</v>
      </c>
    </row>
    <row r="244" spans="2:11" ht="13" x14ac:dyDescent="0.15">
      <c r="B244" s="28" t="s">
        <v>346</v>
      </c>
      <c r="C244" s="28" t="s">
        <v>94</v>
      </c>
      <c r="D244" s="29">
        <f>SUMIFS(D245:D286,K245:K286,"0",B245:B286,"5 1 3 5 3 12 31111 6 M78 07000*")-SUMIFS(E245:E286,K245:K286,"0",B245:B286,"5 1 3 5 3 12 31111 6 M78 07000*")</f>
        <v>0</v>
      </c>
      <c r="E244" s="30"/>
      <c r="F244" s="29">
        <f>SUMIFS(F245:F286,K245:K286,"0",B245:B286,"5 1 3 5 3 12 31111 6 M78 07000*")</f>
        <v>20868.41</v>
      </c>
      <c r="G244" s="29">
        <f>SUMIFS(G245:G286,K245:K286,"0",B245:B286,"5 1 3 5 3 12 31111 6 M78 07000*")</f>
        <v>0</v>
      </c>
      <c r="H244" s="29">
        <f t="shared" si="7"/>
        <v>20868.41</v>
      </c>
      <c r="I244" s="29"/>
      <c r="J244" s="31"/>
      <c r="K244" t="s">
        <v>15</v>
      </c>
    </row>
    <row r="245" spans="2:11" ht="22" x14ac:dyDescent="0.15">
      <c r="B245" s="28" t="s">
        <v>347</v>
      </c>
      <c r="C245" s="28" t="s">
        <v>96</v>
      </c>
      <c r="D245" s="29">
        <f>SUMIFS(D246:D286,K246:K286,"0",B246:B286,"5 1 3 5 3 12 31111 6 M78 07000 151*")-SUMIFS(E246:E286,K246:K286,"0",B246:B286,"5 1 3 5 3 12 31111 6 M78 07000 151*")</f>
        <v>0</v>
      </c>
      <c r="E245" s="30"/>
      <c r="F245" s="29">
        <f>SUMIFS(F246:F286,K246:K286,"0",B246:B286,"5 1 3 5 3 12 31111 6 M78 07000 151*")</f>
        <v>20868.41</v>
      </c>
      <c r="G245" s="29">
        <f>SUMIFS(G246:G286,K246:K286,"0",B246:B286,"5 1 3 5 3 12 31111 6 M78 07000 151*")</f>
        <v>0</v>
      </c>
      <c r="H245" s="29">
        <f t="shared" si="7"/>
        <v>20868.41</v>
      </c>
      <c r="I245" s="29"/>
      <c r="J245" s="31"/>
      <c r="K245" t="s">
        <v>15</v>
      </c>
    </row>
    <row r="246" spans="2:11" ht="22" x14ac:dyDescent="0.15">
      <c r="B246" s="28" t="s">
        <v>348</v>
      </c>
      <c r="C246" s="28" t="s">
        <v>98</v>
      </c>
      <c r="D246" s="29">
        <f>SUMIFS(D247:D286,K247:K286,"0",B247:B286,"5 1 3 5 3 12 31111 6 M78 07000 151 00E*")-SUMIFS(E247:E286,K247:K286,"0",B247:B286,"5 1 3 5 3 12 31111 6 M78 07000 151 00E*")</f>
        <v>0</v>
      </c>
      <c r="E246" s="30"/>
      <c r="F246" s="29">
        <f>SUMIFS(F247:F286,K247:K286,"0",B247:B286,"5 1 3 5 3 12 31111 6 M78 07000 151 00E*")</f>
        <v>20868.41</v>
      </c>
      <c r="G246" s="29">
        <f>SUMIFS(G247:G286,K247:K286,"0",B247:B286,"5 1 3 5 3 12 31111 6 M78 07000 151 00E*")</f>
        <v>0</v>
      </c>
      <c r="H246" s="29">
        <f t="shared" si="7"/>
        <v>20868.41</v>
      </c>
      <c r="I246" s="29"/>
      <c r="J246" s="31"/>
      <c r="K246" t="s">
        <v>15</v>
      </c>
    </row>
    <row r="247" spans="2:11" ht="22" x14ac:dyDescent="0.15">
      <c r="B247" s="28" t="s">
        <v>349</v>
      </c>
      <c r="C247" s="28" t="s">
        <v>226</v>
      </c>
      <c r="D247" s="29">
        <f>SUMIFS(D248:D286,K248:K286,"0",B248:B286,"5 1 3 5 3 12 31111 6 M78 07000 151 00E 001*")-SUMIFS(E248:E286,K248:K286,"0",B248:B286,"5 1 3 5 3 12 31111 6 M78 07000 151 00E 001*")</f>
        <v>0</v>
      </c>
      <c r="E247" s="30"/>
      <c r="F247" s="29">
        <f>SUMIFS(F248:F286,K248:K286,"0",B248:B286,"5 1 3 5 3 12 31111 6 M78 07000 151 00E 001*")</f>
        <v>20868.41</v>
      </c>
      <c r="G247" s="29">
        <f>SUMIFS(G248:G286,K248:K286,"0",B248:B286,"5 1 3 5 3 12 31111 6 M78 07000 151 00E 001*")</f>
        <v>0</v>
      </c>
      <c r="H247" s="29">
        <f t="shared" si="7"/>
        <v>20868.41</v>
      </c>
      <c r="I247" s="29"/>
      <c r="J247" s="31"/>
      <c r="K247" t="s">
        <v>15</v>
      </c>
    </row>
    <row r="248" spans="2:11" ht="22" x14ac:dyDescent="0.15">
      <c r="B248" s="28" t="s">
        <v>350</v>
      </c>
      <c r="C248" s="28" t="s">
        <v>351</v>
      </c>
      <c r="D248" s="29">
        <f>SUMIFS(D249:D286,K249:K286,"0",B249:B286,"5 1 3 5 3 12 31111 6 M78 07000 151 00E 001 35301*")-SUMIFS(E249:E286,K249:K286,"0",B249:B286,"5 1 3 5 3 12 31111 6 M78 07000 151 00E 001 35301*")</f>
        <v>0</v>
      </c>
      <c r="E248" s="30"/>
      <c r="F248" s="29">
        <f>SUMIFS(F249:F286,K249:K286,"0",B249:B286,"5 1 3 5 3 12 31111 6 M78 07000 151 00E 001 35301*")</f>
        <v>20868.41</v>
      </c>
      <c r="G248" s="29">
        <f>SUMIFS(G249:G286,K249:K286,"0",B249:B286,"5 1 3 5 3 12 31111 6 M78 07000 151 00E 001 35301*")</f>
        <v>0</v>
      </c>
      <c r="H248" s="29">
        <f t="shared" si="7"/>
        <v>20868.41</v>
      </c>
      <c r="I248" s="29"/>
      <c r="J248" s="31"/>
      <c r="K248" t="s">
        <v>15</v>
      </c>
    </row>
    <row r="249" spans="2:11" ht="22" x14ac:dyDescent="0.15">
      <c r="B249" s="28" t="s">
        <v>352</v>
      </c>
      <c r="C249" s="28" t="s">
        <v>221</v>
      </c>
      <c r="D249" s="29">
        <f>SUMIFS(D250:D286,K250:K286,"0",B250:B286,"5 1 3 5 3 12 31111 6 M78 07000 151 00E 001 35301 011*")-SUMIFS(E250:E286,K250:K286,"0",B250:B286,"5 1 3 5 3 12 31111 6 M78 07000 151 00E 001 35301 011*")</f>
        <v>0</v>
      </c>
      <c r="E249" s="30"/>
      <c r="F249" s="29">
        <f>SUMIFS(F250:F286,K250:K286,"0",B250:B286,"5 1 3 5 3 12 31111 6 M78 07000 151 00E 001 35301 011*")</f>
        <v>20868.41</v>
      </c>
      <c r="G249" s="29">
        <f>SUMIFS(G250:G286,K250:K286,"0",B250:B286,"5 1 3 5 3 12 31111 6 M78 07000 151 00E 001 35301 011*")</f>
        <v>0</v>
      </c>
      <c r="H249" s="29">
        <f t="shared" si="7"/>
        <v>20868.41</v>
      </c>
      <c r="I249" s="29"/>
      <c r="J249" s="31"/>
      <c r="K249" t="s">
        <v>15</v>
      </c>
    </row>
    <row r="250" spans="2:11" ht="22" x14ac:dyDescent="0.15">
      <c r="B250" s="28" t="s">
        <v>353</v>
      </c>
      <c r="C250" s="28" t="s">
        <v>106</v>
      </c>
      <c r="D250" s="29">
        <f>SUMIFS(D251:D286,K251:K286,"0",B251:B286,"5 1 3 5 3 12 31111 6 M78 07000 151 00E 001 35301 011 2112000*")-SUMIFS(E251:E286,K251:K286,"0",B251:B286,"5 1 3 5 3 12 31111 6 M78 07000 151 00E 001 35301 011 2112000*")</f>
        <v>0</v>
      </c>
      <c r="E250" s="30"/>
      <c r="F250" s="29">
        <f>SUMIFS(F251:F286,K251:K286,"0",B251:B286,"5 1 3 5 3 12 31111 6 M78 07000 151 00E 001 35301 011 2112000*")</f>
        <v>20868.41</v>
      </c>
      <c r="G250" s="29">
        <f>SUMIFS(G251:G286,K251:K286,"0",B251:B286,"5 1 3 5 3 12 31111 6 M78 07000 151 00E 001 35301 011 2112000*")</f>
        <v>0</v>
      </c>
      <c r="H250" s="29">
        <f t="shared" si="7"/>
        <v>20868.41</v>
      </c>
      <c r="I250" s="29"/>
      <c r="J250" s="31"/>
      <c r="K250" t="s">
        <v>15</v>
      </c>
    </row>
    <row r="251" spans="2:11" ht="33" x14ac:dyDescent="0.15">
      <c r="B251" s="28" t="s">
        <v>354</v>
      </c>
      <c r="C251" s="28" t="s">
        <v>232</v>
      </c>
      <c r="D251" s="29">
        <f>SUMIFS(D252:D286,K252:K286,"0",B252:B286,"5 1 3 5 3 12 31111 6 M78 07000 151 00E 001 35301 011 2112000 2024*")-SUMIFS(E252:E286,K252:K286,"0",B252:B286,"5 1 3 5 3 12 31111 6 M78 07000 151 00E 001 35301 011 2112000 2024*")</f>
        <v>0</v>
      </c>
      <c r="E251" s="30"/>
      <c r="F251" s="29">
        <f>SUMIFS(F252:F286,K252:K286,"0",B252:B286,"5 1 3 5 3 12 31111 6 M78 07000 151 00E 001 35301 011 2112000 2024*")</f>
        <v>20868.41</v>
      </c>
      <c r="G251" s="29">
        <f>SUMIFS(G252:G286,K252:K286,"0",B252:B286,"5 1 3 5 3 12 31111 6 M78 07000 151 00E 001 35301 011 2112000 2024*")</f>
        <v>0</v>
      </c>
      <c r="H251" s="29">
        <f t="shared" si="7"/>
        <v>20868.41</v>
      </c>
      <c r="I251" s="29"/>
      <c r="J251" s="31"/>
      <c r="K251" t="s">
        <v>15</v>
      </c>
    </row>
    <row r="252" spans="2:11" ht="33" x14ac:dyDescent="0.15">
      <c r="B252" s="28" t="s">
        <v>355</v>
      </c>
      <c r="C252" s="28" t="s">
        <v>110</v>
      </c>
      <c r="D252" s="29">
        <f>SUMIFS(D253:D286,K253:K286,"0",B253:B286,"5 1 3 5 3 12 31111 6 M78 07000 151 00E 001 35301 011 2112000 2024 00000000*")-SUMIFS(E253:E286,K253:K286,"0",B253:B286,"5 1 3 5 3 12 31111 6 M78 07000 151 00E 001 35301 011 2112000 2024 00000000*")</f>
        <v>0</v>
      </c>
      <c r="E252" s="30"/>
      <c r="F252" s="29">
        <f>SUMIFS(F253:F286,K253:K286,"0",B253:B286,"5 1 3 5 3 12 31111 6 M78 07000 151 00E 001 35301 011 2112000 2024 00000000*")</f>
        <v>20868.41</v>
      </c>
      <c r="G252" s="29">
        <f>SUMIFS(G253:G286,K253:K286,"0",B253:B286,"5 1 3 5 3 12 31111 6 M78 07000 151 00E 001 35301 011 2112000 2024 00000000*")</f>
        <v>0</v>
      </c>
      <c r="H252" s="29">
        <f t="shared" si="7"/>
        <v>20868.41</v>
      </c>
      <c r="I252" s="29"/>
      <c r="J252" s="31"/>
      <c r="K252" t="s">
        <v>15</v>
      </c>
    </row>
    <row r="253" spans="2:11" ht="33" x14ac:dyDescent="0.15">
      <c r="B253" s="28" t="s">
        <v>356</v>
      </c>
      <c r="C253" s="28" t="s">
        <v>221</v>
      </c>
      <c r="D253" s="29">
        <f>SUMIFS(D254:D286,K254:K286,"0",B254:B286,"5 1 3 5 3 12 31111 6 M78 07000 151 00E 001 35301 011 2112000 2024 00000000 005*")-SUMIFS(E254:E286,K254:K286,"0",B254:B286,"5 1 3 5 3 12 31111 6 M78 07000 151 00E 001 35301 011 2112000 2024 00000000 005*")</f>
        <v>0</v>
      </c>
      <c r="E253" s="30"/>
      <c r="F253" s="29">
        <f>SUMIFS(F254:F286,K254:K286,"0",B254:B286,"5 1 3 5 3 12 31111 6 M78 07000 151 00E 001 35301 011 2112000 2024 00000000 005*")</f>
        <v>20868.41</v>
      </c>
      <c r="G253" s="29">
        <f>SUMIFS(G254:G286,K254:K286,"0",B254:B286,"5 1 3 5 3 12 31111 6 M78 07000 151 00E 001 35301 011 2112000 2024 00000000 005*")</f>
        <v>0</v>
      </c>
      <c r="H253" s="29">
        <f t="shared" si="7"/>
        <v>20868.41</v>
      </c>
      <c r="I253" s="29"/>
      <c r="J253" s="31"/>
      <c r="K253" t="s">
        <v>15</v>
      </c>
    </row>
    <row r="254" spans="2:11" ht="33" x14ac:dyDescent="0.15">
      <c r="B254" s="32" t="s">
        <v>357</v>
      </c>
      <c r="C254" s="32" t="s">
        <v>221</v>
      </c>
      <c r="D254" s="33">
        <v>0</v>
      </c>
      <c r="E254" s="33"/>
      <c r="F254" s="33">
        <v>20868.41</v>
      </c>
      <c r="G254" s="33">
        <v>0</v>
      </c>
      <c r="H254" s="33">
        <f t="shared" si="7"/>
        <v>20868.41</v>
      </c>
      <c r="I254" s="33"/>
      <c r="J254" s="31"/>
      <c r="K254" t="s">
        <v>37</v>
      </c>
    </row>
    <row r="255" spans="2:11" ht="13" x14ac:dyDescent="0.15">
      <c r="B255" s="28" t="s">
        <v>358</v>
      </c>
      <c r="C255" s="28" t="s">
        <v>359</v>
      </c>
      <c r="D255" s="29">
        <f>SUMIFS(D256:D286,K256:K286,"0",B256:B286,"5 1 3 9*")-SUMIFS(E256:E286,K256:K286,"0",B256:B286,"5 1 3 9*")</f>
        <v>0</v>
      </c>
      <c r="E255" s="30"/>
      <c r="F255" s="29">
        <f>SUMIFS(F256:F286,K256:K286,"0",B256:B286,"5 1 3 9*")</f>
        <v>1000</v>
      </c>
      <c r="G255" s="29">
        <f>SUMIFS(G256:G286,K256:K286,"0",B256:B286,"5 1 3 9*")</f>
        <v>0</v>
      </c>
      <c r="H255" s="29">
        <f t="shared" si="7"/>
        <v>1000</v>
      </c>
      <c r="I255" s="29"/>
      <c r="J255" s="31"/>
      <c r="K255" t="s">
        <v>15</v>
      </c>
    </row>
    <row r="256" spans="2:11" ht="13" x14ac:dyDescent="0.15">
      <c r="B256" s="28" t="s">
        <v>360</v>
      </c>
      <c r="C256" s="28" t="s">
        <v>361</v>
      </c>
      <c r="D256" s="29">
        <f>SUMIFS(D257:D286,K257:K286,"0",B257:B286,"5 1 3 9 2*")-SUMIFS(E257:E286,K257:K286,"0",B257:B286,"5 1 3 9 2*")</f>
        <v>0</v>
      </c>
      <c r="E256" s="30"/>
      <c r="F256" s="29">
        <f>SUMIFS(F257:F286,K257:K286,"0",B257:B286,"5 1 3 9 2*")</f>
        <v>1000</v>
      </c>
      <c r="G256" s="29">
        <f>SUMIFS(G257:G286,K257:K286,"0",B257:B286,"5 1 3 9 2*")</f>
        <v>0</v>
      </c>
      <c r="H256" s="29">
        <f t="shared" si="7"/>
        <v>1000</v>
      </c>
      <c r="I256" s="29"/>
      <c r="J256" s="31"/>
      <c r="K256" t="s">
        <v>15</v>
      </c>
    </row>
    <row r="257" spans="2:11" ht="13" x14ac:dyDescent="0.15">
      <c r="B257" s="28" t="s">
        <v>362</v>
      </c>
      <c r="C257" s="28" t="s">
        <v>26</v>
      </c>
      <c r="D257" s="29">
        <f>SUMIFS(D258:D286,K258:K286,"0",B258:B286,"5 1 3 9 2 12*")-SUMIFS(E258:E286,K258:K286,"0",B258:B286,"5 1 3 9 2 12*")</f>
        <v>0</v>
      </c>
      <c r="E257" s="30"/>
      <c r="F257" s="29">
        <f>SUMIFS(F258:F286,K258:K286,"0",B258:B286,"5 1 3 9 2 12*")</f>
        <v>1000</v>
      </c>
      <c r="G257" s="29">
        <f>SUMIFS(G258:G286,K258:K286,"0",B258:B286,"5 1 3 9 2 12*")</f>
        <v>0</v>
      </c>
      <c r="H257" s="29">
        <f t="shared" si="7"/>
        <v>1000</v>
      </c>
      <c r="I257" s="29"/>
      <c r="J257" s="31"/>
      <c r="K257" t="s">
        <v>15</v>
      </c>
    </row>
    <row r="258" spans="2:11" ht="13" x14ac:dyDescent="0.15">
      <c r="B258" s="28" t="s">
        <v>363</v>
      </c>
      <c r="C258" s="28" t="s">
        <v>28</v>
      </c>
      <c r="D258" s="29">
        <f>SUMIFS(D259:D286,K259:K286,"0",B259:B286,"5 1 3 9 2 12 31111*")-SUMIFS(E259:E286,K259:K286,"0",B259:B286,"5 1 3 9 2 12 31111*")</f>
        <v>0</v>
      </c>
      <c r="E258" s="30"/>
      <c r="F258" s="29">
        <f>SUMIFS(F259:F286,K259:K286,"0",B259:B286,"5 1 3 9 2 12 31111*")</f>
        <v>1000</v>
      </c>
      <c r="G258" s="29">
        <f>SUMIFS(G259:G286,K259:K286,"0",B259:B286,"5 1 3 9 2 12 31111*")</f>
        <v>0</v>
      </c>
      <c r="H258" s="29">
        <f t="shared" si="7"/>
        <v>1000</v>
      </c>
      <c r="I258" s="29"/>
      <c r="J258" s="31"/>
      <c r="K258" t="s">
        <v>15</v>
      </c>
    </row>
    <row r="259" spans="2:11" ht="13" x14ac:dyDescent="0.15">
      <c r="B259" s="28" t="s">
        <v>364</v>
      </c>
      <c r="C259" s="28" t="s">
        <v>30</v>
      </c>
      <c r="D259" s="29">
        <f>SUMIFS(D260:D286,K260:K286,"0",B260:B286,"5 1 3 9 2 12 31111 6*")-SUMIFS(E260:E286,K260:K286,"0",B260:B286,"5 1 3 9 2 12 31111 6*")</f>
        <v>0</v>
      </c>
      <c r="E259" s="30"/>
      <c r="F259" s="29">
        <f>SUMIFS(F260:F286,K260:K286,"0",B260:B286,"5 1 3 9 2 12 31111 6*")</f>
        <v>1000</v>
      </c>
      <c r="G259" s="29">
        <f>SUMIFS(G260:G286,K260:K286,"0",B260:B286,"5 1 3 9 2 12 31111 6*")</f>
        <v>0</v>
      </c>
      <c r="H259" s="29">
        <f t="shared" si="7"/>
        <v>1000</v>
      </c>
      <c r="I259" s="29"/>
      <c r="J259" s="31"/>
      <c r="K259" t="s">
        <v>15</v>
      </c>
    </row>
    <row r="260" spans="2:11" ht="13" x14ac:dyDescent="0.15">
      <c r="B260" s="28" t="s">
        <v>365</v>
      </c>
      <c r="C260" s="28" t="s">
        <v>221</v>
      </c>
      <c r="D260" s="29">
        <f>SUMIFS(D261:D286,K261:K286,"0",B261:B286,"5 1 3 9 2 12 31111 6 M78*")-SUMIFS(E261:E286,K261:K286,"0",B261:B286,"5 1 3 9 2 12 31111 6 M78*")</f>
        <v>0</v>
      </c>
      <c r="E260" s="30"/>
      <c r="F260" s="29">
        <f>SUMIFS(F261:F286,K261:K286,"0",B261:B286,"5 1 3 9 2 12 31111 6 M78*")</f>
        <v>1000</v>
      </c>
      <c r="G260" s="29">
        <f>SUMIFS(G261:G286,K261:K286,"0",B261:B286,"5 1 3 9 2 12 31111 6 M78*")</f>
        <v>0</v>
      </c>
      <c r="H260" s="29">
        <f t="shared" si="7"/>
        <v>1000</v>
      </c>
      <c r="I260" s="29"/>
      <c r="J260" s="31"/>
      <c r="K260" t="s">
        <v>15</v>
      </c>
    </row>
    <row r="261" spans="2:11" ht="13" x14ac:dyDescent="0.15">
      <c r="B261" s="28" t="s">
        <v>366</v>
      </c>
      <c r="C261" s="28" t="s">
        <v>94</v>
      </c>
      <c r="D261" s="29">
        <f>SUMIFS(D262:D286,K262:K286,"0",B262:B286,"5 1 3 9 2 12 31111 6 M78 07000*")-SUMIFS(E262:E286,K262:K286,"0",B262:B286,"5 1 3 9 2 12 31111 6 M78 07000*")</f>
        <v>0</v>
      </c>
      <c r="E261" s="30"/>
      <c r="F261" s="29">
        <f>SUMIFS(F262:F286,K262:K286,"0",B262:B286,"5 1 3 9 2 12 31111 6 M78 07000*")</f>
        <v>1000</v>
      </c>
      <c r="G261" s="29">
        <f>SUMIFS(G262:G286,K262:K286,"0",B262:B286,"5 1 3 9 2 12 31111 6 M78 07000*")</f>
        <v>0</v>
      </c>
      <c r="H261" s="29">
        <f t="shared" si="7"/>
        <v>1000</v>
      </c>
      <c r="I261" s="29"/>
      <c r="J261" s="31"/>
      <c r="K261" t="s">
        <v>15</v>
      </c>
    </row>
    <row r="262" spans="2:11" ht="22" x14ac:dyDescent="0.15">
      <c r="B262" s="28" t="s">
        <v>367</v>
      </c>
      <c r="C262" s="28" t="s">
        <v>96</v>
      </c>
      <c r="D262" s="29">
        <f>SUMIFS(D263:D286,K263:K286,"0",B263:B286,"5 1 3 9 2 12 31111 6 M78 07000 151*")-SUMIFS(E263:E286,K263:K286,"0",B263:B286,"5 1 3 9 2 12 31111 6 M78 07000 151*")</f>
        <v>0</v>
      </c>
      <c r="E262" s="30"/>
      <c r="F262" s="29">
        <f>SUMIFS(F263:F286,K263:K286,"0",B263:B286,"5 1 3 9 2 12 31111 6 M78 07000 151*")</f>
        <v>1000</v>
      </c>
      <c r="G262" s="29">
        <f>SUMIFS(G263:G286,K263:K286,"0",B263:B286,"5 1 3 9 2 12 31111 6 M78 07000 151*")</f>
        <v>0</v>
      </c>
      <c r="H262" s="29">
        <f t="shared" si="7"/>
        <v>1000</v>
      </c>
      <c r="I262" s="29"/>
      <c r="J262" s="31"/>
      <c r="K262" t="s">
        <v>15</v>
      </c>
    </row>
    <row r="263" spans="2:11" ht="22" x14ac:dyDescent="0.15">
      <c r="B263" s="28" t="s">
        <v>368</v>
      </c>
      <c r="C263" s="28" t="s">
        <v>98</v>
      </c>
      <c r="D263" s="29">
        <f>SUMIFS(D264:D286,K264:K286,"0",B264:B286,"5 1 3 9 2 12 31111 6 M78 07000 151 00E*")-SUMIFS(E264:E286,K264:K286,"0",B264:B286,"5 1 3 9 2 12 31111 6 M78 07000 151 00E*")</f>
        <v>0</v>
      </c>
      <c r="E263" s="30"/>
      <c r="F263" s="29">
        <f>SUMIFS(F264:F286,K264:K286,"0",B264:B286,"5 1 3 9 2 12 31111 6 M78 07000 151 00E*")</f>
        <v>1000</v>
      </c>
      <c r="G263" s="29">
        <f>SUMIFS(G264:G286,K264:K286,"0",B264:B286,"5 1 3 9 2 12 31111 6 M78 07000 151 00E*")</f>
        <v>0</v>
      </c>
      <c r="H263" s="29">
        <f t="shared" si="7"/>
        <v>1000</v>
      </c>
      <c r="I263" s="29"/>
      <c r="J263" s="31"/>
      <c r="K263" t="s">
        <v>15</v>
      </c>
    </row>
    <row r="264" spans="2:11" ht="22" x14ac:dyDescent="0.15">
      <c r="B264" s="28" t="s">
        <v>369</v>
      </c>
      <c r="C264" s="28" t="s">
        <v>226</v>
      </c>
      <c r="D264" s="29">
        <f>SUMIFS(D265:D286,K265:K286,"0",B265:B286,"5 1 3 9 2 12 31111 6 M78 07000 151 00E 001*")-SUMIFS(E265:E286,K265:K286,"0",B265:B286,"5 1 3 9 2 12 31111 6 M78 07000 151 00E 001*")</f>
        <v>0</v>
      </c>
      <c r="E264" s="30"/>
      <c r="F264" s="29">
        <f>SUMIFS(F265:F286,K265:K286,"0",B265:B286,"5 1 3 9 2 12 31111 6 M78 07000 151 00E 001*")</f>
        <v>1000</v>
      </c>
      <c r="G264" s="29">
        <f>SUMIFS(G265:G286,K265:K286,"0",B265:B286,"5 1 3 9 2 12 31111 6 M78 07000 151 00E 001*")</f>
        <v>0</v>
      </c>
      <c r="H264" s="29">
        <f t="shared" ref="H264:H274" si="8">D264 + F264 - G264</f>
        <v>1000</v>
      </c>
      <c r="I264" s="29"/>
      <c r="J264" s="31"/>
      <c r="K264" t="s">
        <v>15</v>
      </c>
    </row>
    <row r="265" spans="2:11" ht="22" x14ac:dyDescent="0.15">
      <c r="B265" s="28" t="s">
        <v>370</v>
      </c>
      <c r="C265" s="28" t="s">
        <v>371</v>
      </c>
      <c r="D265" s="29">
        <f>SUMIFS(D266:D286,K266:K286,"0",B266:B286,"5 1 3 9 2 12 31111 6 M78 07000 151 00E 001 39202*")-SUMIFS(E266:E286,K266:K286,"0",B266:B286,"5 1 3 9 2 12 31111 6 M78 07000 151 00E 001 39202*")</f>
        <v>0</v>
      </c>
      <c r="E265" s="30"/>
      <c r="F265" s="29">
        <f>SUMIFS(F266:F286,K266:K286,"0",B266:B286,"5 1 3 9 2 12 31111 6 M78 07000 151 00E 001 39202*")</f>
        <v>1000</v>
      </c>
      <c r="G265" s="29">
        <f>SUMIFS(G266:G286,K266:K286,"0",B266:B286,"5 1 3 9 2 12 31111 6 M78 07000 151 00E 001 39202*")</f>
        <v>0</v>
      </c>
      <c r="H265" s="29">
        <f t="shared" si="8"/>
        <v>1000</v>
      </c>
      <c r="I265" s="29"/>
      <c r="J265" s="31"/>
      <c r="K265" t="s">
        <v>15</v>
      </c>
    </row>
    <row r="266" spans="2:11" ht="22" x14ac:dyDescent="0.15">
      <c r="B266" s="28" t="s">
        <v>372</v>
      </c>
      <c r="C266" s="28" t="s">
        <v>221</v>
      </c>
      <c r="D266" s="29">
        <f>SUMIFS(D267:D286,K267:K286,"0",B267:B286,"5 1 3 9 2 12 31111 6 M78 07000 151 00E 001 39202 011*")-SUMIFS(E267:E286,K267:K286,"0",B267:B286,"5 1 3 9 2 12 31111 6 M78 07000 151 00E 001 39202 011*")</f>
        <v>0</v>
      </c>
      <c r="E266" s="30"/>
      <c r="F266" s="29">
        <f>SUMIFS(F267:F286,K267:K286,"0",B267:B286,"5 1 3 9 2 12 31111 6 M78 07000 151 00E 001 39202 011*")</f>
        <v>1000</v>
      </c>
      <c r="G266" s="29">
        <f>SUMIFS(G267:G286,K267:K286,"0",B267:B286,"5 1 3 9 2 12 31111 6 M78 07000 151 00E 001 39202 011*")</f>
        <v>0</v>
      </c>
      <c r="H266" s="29">
        <f t="shared" si="8"/>
        <v>1000</v>
      </c>
      <c r="I266" s="29"/>
      <c r="J266" s="31"/>
      <c r="K266" t="s">
        <v>15</v>
      </c>
    </row>
    <row r="267" spans="2:11" ht="22" x14ac:dyDescent="0.15">
      <c r="B267" s="28" t="s">
        <v>373</v>
      </c>
      <c r="C267" s="28" t="s">
        <v>106</v>
      </c>
      <c r="D267" s="29">
        <f>SUMIFS(D268:D286,K268:K286,"0",B268:B286,"5 1 3 9 2 12 31111 6 M78 07000 151 00E 001 39202 011 2112000*")-SUMIFS(E268:E286,K268:K286,"0",B268:B286,"5 1 3 9 2 12 31111 6 M78 07000 151 00E 001 39202 011 2112000*")</f>
        <v>0</v>
      </c>
      <c r="E267" s="30"/>
      <c r="F267" s="29">
        <f>SUMIFS(F268:F286,K268:K286,"0",B268:B286,"5 1 3 9 2 12 31111 6 M78 07000 151 00E 001 39202 011 2112000*")</f>
        <v>1000</v>
      </c>
      <c r="G267" s="29">
        <f>SUMIFS(G268:G286,K268:K286,"0",B268:B286,"5 1 3 9 2 12 31111 6 M78 07000 151 00E 001 39202 011 2112000*")</f>
        <v>0</v>
      </c>
      <c r="H267" s="29">
        <f t="shared" si="8"/>
        <v>1000</v>
      </c>
      <c r="I267" s="29"/>
      <c r="J267" s="31"/>
      <c r="K267" t="s">
        <v>15</v>
      </c>
    </row>
    <row r="268" spans="2:11" ht="33" x14ac:dyDescent="0.15">
      <c r="B268" s="28" t="s">
        <v>374</v>
      </c>
      <c r="C268" s="28" t="s">
        <v>232</v>
      </c>
      <c r="D268" s="29">
        <f>SUMIFS(D269:D286,K269:K286,"0",B269:B286,"5 1 3 9 2 12 31111 6 M78 07000 151 00E 001 39202 011 2112000 2024*")-SUMIFS(E269:E286,K269:K286,"0",B269:B286,"5 1 3 9 2 12 31111 6 M78 07000 151 00E 001 39202 011 2112000 2024*")</f>
        <v>0</v>
      </c>
      <c r="E268" s="30"/>
      <c r="F268" s="29">
        <f>SUMIFS(F269:F286,K269:K286,"0",B269:B286,"5 1 3 9 2 12 31111 6 M78 07000 151 00E 001 39202 011 2112000 2024*")</f>
        <v>1000</v>
      </c>
      <c r="G268" s="29">
        <f>SUMIFS(G269:G286,K269:K286,"0",B269:B286,"5 1 3 9 2 12 31111 6 M78 07000 151 00E 001 39202 011 2112000 2024*")</f>
        <v>0</v>
      </c>
      <c r="H268" s="29">
        <f t="shared" si="8"/>
        <v>1000</v>
      </c>
      <c r="I268" s="29"/>
      <c r="J268" s="31"/>
      <c r="K268" t="s">
        <v>15</v>
      </c>
    </row>
    <row r="269" spans="2:11" ht="33" x14ac:dyDescent="0.15">
      <c r="B269" s="28" t="s">
        <v>375</v>
      </c>
      <c r="C269" s="28" t="s">
        <v>110</v>
      </c>
      <c r="D269" s="29">
        <f>SUMIFS(D270:D286,K270:K286,"0",B270:B286,"5 1 3 9 2 12 31111 6 M78 07000 151 00E 001 39202 011 2112000 2024 00000000*")-SUMIFS(E270:E286,K270:K286,"0",B270:B286,"5 1 3 9 2 12 31111 6 M78 07000 151 00E 001 39202 011 2112000 2024 00000000*")</f>
        <v>0</v>
      </c>
      <c r="E269" s="30"/>
      <c r="F269" s="29">
        <f>SUMIFS(F270:F286,K270:K286,"0",B270:B286,"5 1 3 9 2 12 31111 6 M78 07000 151 00E 001 39202 011 2112000 2024 00000000*")</f>
        <v>1000</v>
      </c>
      <c r="G269" s="29">
        <f>SUMIFS(G270:G286,K270:K286,"0",B270:B286,"5 1 3 9 2 12 31111 6 M78 07000 151 00E 001 39202 011 2112000 2024 00000000*")</f>
        <v>0</v>
      </c>
      <c r="H269" s="29">
        <f t="shared" si="8"/>
        <v>1000</v>
      </c>
      <c r="I269" s="29"/>
      <c r="J269" s="31"/>
      <c r="K269" t="s">
        <v>15</v>
      </c>
    </row>
    <row r="270" spans="2:11" ht="33" x14ac:dyDescent="0.15">
      <c r="B270" s="28" t="s">
        <v>376</v>
      </c>
      <c r="C270" s="28" t="s">
        <v>221</v>
      </c>
      <c r="D270" s="29">
        <f>SUMIFS(D271:D286,K271:K286,"0",B271:B286,"5 1 3 9 2 12 31111 6 M78 07000 151 00E 001 39202 011 2112000 2024 00000000 005*")-SUMIFS(E271:E286,K271:K286,"0",B271:B286,"5 1 3 9 2 12 31111 6 M78 07000 151 00E 001 39202 011 2112000 2024 00000000 005*")</f>
        <v>0</v>
      </c>
      <c r="E270" s="30"/>
      <c r="F270" s="29">
        <f>SUMIFS(F271:F286,K271:K286,"0",B271:B286,"5 1 3 9 2 12 31111 6 M78 07000 151 00E 001 39202 011 2112000 2024 00000000 005*")</f>
        <v>1000</v>
      </c>
      <c r="G270" s="29">
        <f>SUMIFS(G271:G286,K271:K286,"0",B271:B286,"5 1 3 9 2 12 31111 6 M78 07000 151 00E 001 39202 011 2112000 2024 00000000 005*")</f>
        <v>0</v>
      </c>
      <c r="H270" s="29">
        <f t="shared" si="8"/>
        <v>1000</v>
      </c>
      <c r="I270" s="29"/>
      <c r="J270" s="31"/>
      <c r="K270" t="s">
        <v>15</v>
      </c>
    </row>
    <row r="271" spans="2:11" ht="33" x14ac:dyDescent="0.15">
      <c r="B271" s="32" t="s">
        <v>377</v>
      </c>
      <c r="C271" s="32" t="s">
        <v>221</v>
      </c>
      <c r="D271" s="33">
        <v>0</v>
      </c>
      <c r="E271" s="33"/>
      <c r="F271" s="33">
        <v>1000</v>
      </c>
      <c r="G271" s="33">
        <v>0</v>
      </c>
      <c r="H271" s="33">
        <f t="shared" si="8"/>
        <v>1000</v>
      </c>
      <c r="I271" s="33"/>
      <c r="J271" s="31"/>
      <c r="K271" t="s">
        <v>37</v>
      </c>
    </row>
    <row r="272" spans="2:11" ht="13" x14ac:dyDescent="0.15">
      <c r="B272" s="28" t="s">
        <v>378</v>
      </c>
      <c r="C272" s="28" t="s">
        <v>379</v>
      </c>
      <c r="D272" s="29">
        <f>SUMIFS(D273:D286,K273:K286,"0",B273:B286,"8*")-SUMIFS(E273:E286,K273:K286,"0",B273:B286,"8*")</f>
        <v>0</v>
      </c>
      <c r="E272" s="30"/>
      <c r="F272" s="29">
        <f>SUMIFS(F273:F286,K273:K286,"0",B273:B286,"8*")</f>
        <v>1557797.4800000002</v>
      </c>
      <c r="G272" s="29">
        <f>SUMIFS(G273:G286,K273:K286,"0",B273:B286,"8*")</f>
        <v>1557797.4800000002</v>
      </c>
      <c r="H272" s="29">
        <f t="shared" si="8"/>
        <v>0</v>
      </c>
      <c r="I272" s="29"/>
      <c r="J272" s="31"/>
      <c r="K272" t="s">
        <v>15</v>
      </c>
    </row>
    <row r="273" spans="2:11" ht="13" x14ac:dyDescent="0.15">
      <c r="B273" s="28" t="s">
        <v>380</v>
      </c>
      <c r="C273" s="28" t="s">
        <v>381</v>
      </c>
      <c r="D273" s="29">
        <f>SUMIFS(D274:D286,K274:K286,"0",B274:B286,"8 1*")-SUMIFS(E274:E286,K274:K286,"0",B274:B286,"8 1*")</f>
        <v>0</v>
      </c>
      <c r="E273" s="30"/>
      <c r="F273" s="29">
        <f>SUMIFS(F274:F286,K274:K286,"0",B274:B286,"8 1*")</f>
        <v>780589.87</v>
      </c>
      <c r="G273" s="29">
        <f>SUMIFS(G274:G286,K274:K286,"0",B274:B286,"8 1*")</f>
        <v>780589.87</v>
      </c>
      <c r="H273" s="29">
        <f t="shared" si="8"/>
        <v>0</v>
      </c>
      <c r="I273" s="29"/>
      <c r="J273" s="31"/>
      <c r="K273" t="s">
        <v>15</v>
      </c>
    </row>
    <row r="274" spans="2:11" ht="13" x14ac:dyDescent="0.15">
      <c r="B274" s="32" t="s">
        <v>382</v>
      </c>
      <c r="C274" s="32" t="s">
        <v>383</v>
      </c>
      <c r="D274" s="33">
        <v>0</v>
      </c>
      <c r="E274" s="33"/>
      <c r="F274" s="33">
        <v>598198.43999999994</v>
      </c>
      <c r="G274" s="33">
        <v>0</v>
      </c>
      <c r="H274" s="33">
        <f t="shared" si="8"/>
        <v>598198.43999999994</v>
      </c>
      <c r="I274" s="33"/>
      <c r="J274" s="31"/>
      <c r="K274" t="s">
        <v>37</v>
      </c>
    </row>
    <row r="275" spans="2:11" ht="13" x14ac:dyDescent="0.15">
      <c r="B275" s="32" t="s">
        <v>384</v>
      </c>
      <c r="C275" s="32" t="s">
        <v>385</v>
      </c>
      <c r="D275" s="33"/>
      <c r="E275" s="33">
        <v>0</v>
      </c>
      <c r="F275" s="33">
        <v>87286.75</v>
      </c>
      <c r="G275" s="33">
        <v>606016.37</v>
      </c>
      <c r="H275" s="33"/>
      <c r="I275" s="33">
        <f>E275 - F275 + G275</f>
        <v>518729.62</v>
      </c>
      <c r="J275" s="31"/>
      <c r="K275" t="s">
        <v>37</v>
      </c>
    </row>
    <row r="276" spans="2:11" ht="13" x14ac:dyDescent="0.15">
      <c r="B276" s="32" t="s">
        <v>386</v>
      </c>
      <c r="C276" s="32" t="s">
        <v>387</v>
      </c>
      <c r="D276" s="33">
        <v>0</v>
      </c>
      <c r="E276" s="33"/>
      <c r="F276" s="33">
        <v>7817.93</v>
      </c>
      <c r="G276" s="33">
        <v>0</v>
      </c>
      <c r="H276" s="33">
        <f>D276 + F276 - G276</f>
        <v>7817.93</v>
      </c>
      <c r="I276" s="33"/>
      <c r="J276" s="31"/>
      <c r="K276" t="s">
        <v>37</v>
      </c>
    </row>
    <row r="277" spans="2:11" ht="13" x14ac:dyDescent="0.15">
      <c r="B277" s="32" t="s">
        <v>388</v>
      </c>
      <c r="C277" s="32" t="s">
        <v>389</v>
      </c>
      <c r="D277" s="33"/>
      <c r="E277" s="33">
        <v>0</v>
      </c>
      <c r="F277" s="33">
        <v>87286.75</v>
      </c>
      <c r="G277" s="33">
        <v>87286.75</v>
      </c>
      <c r="H277" s="33"/>
      <c r="I277" s="33">
        <f>E277 - F277 + G277</f>
        <v>0</v>
      </c>
      <c r="J277" s="31"/>
      <c r="K277" t="s">
        <v>37</v>
      </c>
    </row>
    <row r="278" spans="2:11" ht="13" x14ac:dyDescent="0.15">
      <c r="B278" s="32" t="s">
        <v>390</v>
      </c>
      <c r="C278" s="32" t="s">
        <v>391</v>
      </c>
      <c r="D278" s="33"/>
      <c r="E278" s="33">
        <v>0</v>
      </c>
      <c r="F278" s="33">
        <v>0</v>
      </c>
      <c r="G278" s="33">
        <v>87286.75</v>
      </c>
      <c r="H278" s="33"/>
      <c r="I278" s="33">
        <f>E278 - F278 + G278</f>
        <v>87286.75</v>
      </c>
      <c r="J278" s="31"/>
      <c r="K278" t="s">
        <v>37</v>
      </c>
    </row>
    <row r="279" spans="2:11" ht="13" x14ac:dyDescent="0.15">
      <c r="B279" s="28" t="s">
        <v>392</v>
      </c>
      <c r="C279" s="28" t="s">
        <v>393</v>
      </c>
      <c r="D279" s="30"/>
      <c r="E279" s="29">
        <f>SUMIFS(E280:E286,K280:K286,"0",B280:B286,"8 2*")-SUMIFS(D280:D286,K280:K286,"0",B280:B286,"8 2*")</f>
        <v>0</v>
      </c>
      <c r="F279" s="29">
        <f>SUMIFS(F280:F286,K280:K286,"0",B280:B286,"8 2*")</f>
        <v>777207.6100000001</v>
      </c>
      <c r="G279" s="29">
        <f>SUMIFS(G280:G286,K280:K286,"0",B280:B286,"8 2*")</f>
        <v>777207.6100000001</v>
      </c>
      <c r="H279" s="29"/>
      <c r="I279" s="29">
        <f>E279 - F279 + G279</f>
        <v>0</v>
      </c>
      <c r="J279" s="31"/>
      <c r="K279" t="s">
        <v>15</v>
      </c>
    </row>
    <row r="280" spans="2:11" ht="13" x14ac:dyDescent="0.15">
      <c r="B280" s="32" t="s">
        <v>394</v>
      </c>
      <c r="C280" s="32" t="s">
        <v>395</v>
      </c>
      <c r="D280" s="33"/>
      <c r="E280" s="33">
        <v>0</v>
      </c>
      <c r="F280" s="33">
        <v>0</v>
      </c>
      <c r="G280" s="33">
        <v>598198.43999999994</v>
      </c>
      <c r="H280" s="33"/>
      <c r="I280" s="33">
        <f>E280 - F280 + G280</f>
        <v>598198.43999999994</v>
      </c>
      <c r="J280" s="31"/>
      <c r="K280" t="s">
        <v>37</v>
      </c>
    </row>
    <row r="281" spans="2:11" ht="13" x14ac:dyDescent="0.15">
      <c r="B281" s="32" t="s">
        <v>396</v>
      </c>
      <c r="C281" s="32" t="s">
        <v>397</v>
      </c>
      <c r="D281" s="33">
        <v>0</v>
      </c>
      <c r="E281" s="33"/>
      <c r="F281" s="33">
        <v>606016.37</v>
      </c>
      <c r="G281" s="33">
        <v>42797.81</v>
      </c>
      <c r="H281" s="33">
        <f>D281 + F281 - G281</f>
        <v>563218.56000000006</v>
      </c>
      <c r="I281" s="33"/>
      <c r="J281" s="31"/>
      <c r="K281" t="s">
        <v>37</v>
      </c>
    </row>
    <row r="282" spans="2:11" ht="13" x14ac:dyDescent="0.15">
      <c r="B282" s="32" t="s">
        <v>398</v>
      </c>
      <c r="C282" s="32" t="s">
        <v>399</v>
      </c>
      <c r="D282" s="33"/>
      <c r="E282" s="33">
        <v>0</v>
      </c>
      <c r="F282" s="33">
        <v>0</v>
      </c>
      <c r="G282" s="33">
        <v>7817.93</v>
      </c>
      <c r="H282" s="33"/>
      <c r="I282" s="33">
        <f>E282 - F282 + G282</f>
        <v>7817.93</v>
      </c>
      <c r="J282" s="31"/>
      <c r="K282" t="s">
        <v>37</v>
      </c>
    </row>
    <row r="283" spans="2:11" ht="13" x14ac:dyDescent="0.15">
      <c r="B283" s="32" t="s">
        <v>400</v>
      </c>
      <c r="C283" s="32" t="s">
        <v>401</v>
      </c>
      <c r="D283" s="33">
        <v>0</v>
      </c>
      <c r="E283" s="33"/>
      <c r="F283" s="33">
        <v>42797.81</v>
      </c>
      <c r="G283" s="33">
        <v>42797.81</v>
      </c>
      <c r="H283" s="33">
        <f>D283 + F283 - G283</f>
        <v>0</v>
      </c>
      <c r="I283" s="33"/>
      <c r="J283" s="31"/>
      <c r="K283" t="s">
        <v>37</v>
      </c>
    </row>
    <row r="284" spans="2:11" ht="13" x14ac:dyDescent="0.15">
      <c r="B284" s="32" t="s">
        <v>402</v>
      </c>
      <c r="C284" s="32" t="s">
        <v>403</v>
      </c>
      <c r="D284" s="33">
        <v>0</v>
      </c>
      <c r="E284" s="33"/>
      <c r="F284" s="33">
        <v>42797.81</v>
      </c>
      <c r="G284" s="33">
        <v>42797.81</v>
      </c>
      <c r="H284" s="33">
        <f>D284 + F284 - G284</f>
        <v>0</v>
      </c>
      <c r="I284" s="33"/>
      <c r="J284" s="31"/>
      <c r="K284" t="s">
        <v>37</v>
      </c>
    </row>
    <row r="285" spans="2:11" ht="13" x14ac:dyDescent="0.15">
      <c r="B285" s="32" t="s">
        <v>404</v>
      </c>
      <c r="C285" s="32" t="s">
        <v>405</v>
      </c>
      <c r="D285" s="33">
        <v>0</v>
      </c>
      <c r="E285" s="33"/>
      <c r="F285" s="33">
        <v>42797.81</v>
      </c>
      <c r="G285" s="33">
        <v>42797.81</v>
      </c>
      <c r="H285" s="33">
        <f>D285 + F285 - G285</f>
        <v>0</v>
      </c>
      <c r="I285" s="33"/>
      <c r="J285" s="31"/>
      <c r="K285" t="s">
        <v>37</v>
      </c>
    </row>
    <row r="286" spans="2:11" ht="13" x14ac:dyDescent="0.15">
      <c r="B286" s="32" t="s">
        <v>406</v>
      </c>
      <c r="C286" s="32" t="s">
        <v>407</v>
      </c>
      <c r="D286" s="33">
        <v>0</v>
      </c>
      <c r="E286" s="33"/>
      <c r="F286" s="33">
        <v>42797.81</v>
      </c>
      <c r="G286" s="33">
        <v>0</v>
      </c>
      <c r="H286" s="33">
        <f>D286 + F286 - G286</f>
        <v>42797.81</v>
      </c>
      <c r="I286" s="33"/>
      <c r="J286" s="31"/>
      <c r="K286" t="s">
        <v>37</v>
      </c>
    </row>
    <row r="287" spans="2:11" x14ac:dyDescent="0.15">
      <c r="B287" s="31"/>
      <c r="C287" s="34"/>
      <c r="D287" s="35"/>
      <c r="E287" s="35"/>
      <c r="F287" s="35"/>
      <c r="G287" s="31"/>
      <c r="H287" s="34"/>
      <c r="I287" s="35"/>
      <c r="J287" s="31"/>
    </row>
    <row r="288" spans="2:11" x14ac:dyDescent="0.15">
      <c r="B288" s="31"/>
      <c r="C288" s="34"/>
      <c r="D288" s="36">
        <f>SUMIF(K12:K286,"=0",D12:D286)</f>
        <v>76684.45</v>
      </c>
      <c r="E288" s="36">
        <f>SUMIF(K12:K286,"=0",E12:E286)</f>
        <v>76684.45</v>
      </c>
      <c r="F288" s="36">
        <f>SUMIF(K12:K286,"=0",F12:F286)</f>
        <v>1880582.7800000003</v>
      </c>
      <c r="G288" s="36">
        <f>SUMIF(K12:K286,"=0",G12:G286)</f>
        <v>1880582.78</v>
      </c>
      <c r="H288" s="36">
        <f>SUMIF(K12:K286,"=0",H12:H286)</f>
        <v>1378620.12</v>
      </c>
      <c r="I288" s="36">
        <f>SUMIF(K12:K286,"=0",I12:I286)</f>
        <v>1378620.1199999999</v>
      </c>
      <c r="J288" s="31"/>
    </row>
    <row r="292" spans="2:9" x14ac:dyDescent="0.15">
      <c r="B292" s="27" t="str">
        <f>IF(AND(ROUND(D288, 2)=ROUND(E288, 2), ROUND(F288, 2)=ROUND(G288, 2), ROUND(H288,2)=ROUND(I288, 2)), "Bajo protesta de decir verdad declaramos que los estados financieros y sus notas son correctas, verídicas y responsabilidad del emisor", "* * * * * * * * * * * * * * * * * * * * * * * * * * * * * *BALANCE DESCUADRADO* * * * * * * * * * * * * * * * * * * * * * * * * * * * * *")</f>
        <v>Bajo protesta de decir verdad declaramos que los estados financieros y sus notas son correctas, verídicas y responsabilidad del emisor</v>
      </c>
    </row>
    <row r="294" spans="2:9" x14ac:dyDescent="0.15">
      <c r="B294" s="37"/>
      <c r="C294" s="37"/>
      <c r="D294" s="5"/>
      <c r="E294" s="5"/>
      <c r="F294" s="38"/>
      <c r="G294" s="38"/>
      <c r="H294" s="39"/>
      <c r="I294" s="39"/>
    </row>
    <row r="295" spans="2:9" x14ac:dyDescent="0.15">
      <c r="B295" s="37"/>
      <c r="C295" s="37"/>
      <c r="D295" s="5"/>
      <c r="E295" s="5"/>
      <c r="F295" s="38"/>
      <c r="G295" s="38"/>
      <c r="H295" s="39"/>
      <c r="I295" s="39"/>
    </row>
    <row r="296" spans="2:9" x14ac:dyDescent="0.15">
      <c r="B296" s="37"/>
      <c r="C296" s="37"/>
      <c r="D296" s="5"/>
      <c r="E296" s="5"/>
      <c r="F296" s="38"/>
      <c r="G296" s="38"/>
      <c r="H296" s="39"/>
      <c r="I296" s="39"/>
    </row>
    <row r="297" spans="2:9" x14ac:dyDescent="0.15">
      <c r="B297" s="40"/>
      <c r="C297" s="40"/>
      <c r="D297" s="5"/>
      <c r="E297" s="5"/>
      <c r="F297" s="41"/>
      <c r="G297" s="41"/>
      <c r="H297" s="4"/>
    </row>
    <row r="298" spans="2:9" x14ac:dyDescent="0.15">
      <c r="B298" s="40"/>
      <c r="C298" s="40"/>
      <c r="D298" s="5"/>
      <c r="E298" s="5"/>
      <c r="F298" s="41"/>
      <c r="G298" s="41"/>
      <c r="H298" s="4"/>
    </row>
    <row r="299" spans="2:9" x14ac:dyDescent="0.15">
      <c r="B299" s="40"/>
      <c r="C299" s="40"/>
      <c r="D299" s="5"/>
      <c r="E299" s="5"/>
      <c r="F299" s="41"/>
      <c r="G299" s="41"/>
      <c r="H299" s="4"/>
    </row>
    <row r="300" spans="2:9" x14ac:dyDescent="0.15">
      <c r="B300" s="40"/>
      <c r="C300" s="40"/>
      <c r="D300" s="5"/>
      <c r="E300" s="5"/>
      <c r="F300" s="41"/>
      <c r="G300" s="41"/>
      <c r="H300" s="4"/>
    </row>
    <row r="301" spans="2:9" x14ac:dyDescent="0.15">
      <c r="B301" s="40"/>
      <c r="C301" s="40"/>
      <c r="D301" s="5"/>
      <c r="E301" s="5"/>
      <c r="F301" s="41"/>
      <c r="G301" s="41"/>
      <c r="H301" s="4"/>
    </row>
    <row r="302" spans="2:9" x14ac:dyDescent="0.15">
      <c r="B302" s="40"/>
      <c r="C302" s="40"/>
      <c r="D302" s="5"/>
      <c r="E302" s="5"/>
      <c r="F302" s="41"/>
      <c r="G302" s="41"/>
      <c r="H302" s="4"/>
    </row>
  </sheetData>
  <mergeCells count="12">
    <mergeCell ref="B7:I7"/>
    <mergeCell ref="B2:I2"/>
    <mergeCell ref="B3:I3"/>
    <mergeCell ref="B4:I4"/>
    <mergeCell ref="B5:I5"/>
    <mergeCell ref="B6:I6"/>
    <mergeCell ref="D10:E10"/>
    <mergeCell ref="F10:G10"/>
    <mergeCell ref="H10:I10"/>
    <mergeCell ref="D9:E9"/>
    <mergeCell ref="F9:G9"/>
    <mergeCell ref="H9:I9"/>
  </mergeCells>
  <phoneticPr fontId="0" type="noConversion"/>
  <pageMargins left="0.78740157480314965" right="0.78740157480314965" top="0.39370078740157483" bottom="0.39370078740157483" header="0" footer="0"/>
  <pageSetup scale="81" orientation="landscape" r:id="rId1"/>
  <headerFooter alignWithMargins="0">
    <oddFooter>&amp;C&amp;7CoRam-Contabilidad                                               &amp;T            &amp;D&amp;R&amp;7Pagina (&amp;P) de (&amp;N)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Esteban Hermenegildo Abarca García</cp:lastModifiedBy>
  <cp:lastPrinted>2024-08-09T02:55:06Z</cp:lastPrinted>
  <dcterms:created xsi:type="dcterms:W3CDTF">1996-11-27T10:00:04Z</dcterms:created>
  <dcterms:modified xsi:type="dcterms:W3CDTF">2024-08-24T00:27:34Z</dcterms:modified>
</cp:coreProperties>
</file>