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4.2.19 IC Balanza de comprobación excel/"/>
    </mc:Choice>
  </mc:AlternateContent>
  <xr:revisionPtr revIDLastSave="0" documentId="8_{20163C78-D6D6-E44E-AE56-79209A52A637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Area" localSheetId="0">Hoja1!$A$1:$J$1524</definedName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11" i="1" l="1"/>
  <c r="F1511" i="1"/>
  <c r="E1511" i="1"/>
  <c r="D1511" i="1"/>
  <c r="H1509" i="1"/>
  <c r="H1508" i="1"/>
  <c r="H1507" i="1"/>
  <c r="H1506" i="1"/>
  <c r="I1505" i="1"/>
  <c r="H1504" i="1"/>
  <c r="I1503" i="1"/>
  <c r="G1502" i="1"/>
  <c r="F1502" i="1"/>
  <c r="E1502" i="1"/>
  <c r="I1501" i="1"/>
  <c r="I1500" i="1"/>
  <c r="H1499" i="1"/>
  <c r="I1498" i="1"/>
  <c r="H1497" i="1"/>
  <c r="G1496" i="1"/>
  <c r="F1496" i="1"/>
  <c r="D1496" i="1"/>
  <c r="G1495" i="1"/>
  <c r="F1495" i="1"/>
  <c r="D1495" i="1"/>
  <c r="H1494" i="1"/>
  <c r="G1493" i="1"/>
  <c r="F1493" i="1"/>
  <c r="D1493" i="1"/>
  <c r="G1492" i="1"/>
  <c r="F1492" i="1"/>
  <c r="D1492" i="1"/>
  <c r="H1492" i="1" s="1"/>
  <c r="G1491" i="1"/>
  <c r="F1491" i="1"/>
  <c r="D1491" i="1"/>
  <c r="G1490" i="1"/>
  <c r="F1490" i="1"/>
  <c r="D1490" i="1"/>
  <c r="G1489" i="1"/>
  <c r="F1489" i="1"/>
  <c r="D1489" i="1"/>
  <c r="G1488" i="1"/>
  <c r="F1488" i="1"/>
  <c r="D1488" i="1"/>
  <c r="H1488" i="1" s="1"/>
  <c r="G1487" i="1"/>
  <c r="F1487" i="1"/>
  <c r="D1487" i="1"/>
  <c r="G1486" i="1"/>
  <c r="F1486" i="1"/>
  <c r="D1486" i="1"/>
  <c r="G1485" i="1"/>
  <c r="F1485" i="1"/>
  <c r="D1485" i="1"/>
  <c r="G1484" i="1"/>
  <c r="F1484" i="1"/>
  <c r="D1484" i="1"/>
  <c r="H1484" i="1" s="1"/>
  <c r="G1483" i="1"/>
  <c r="F1483" i="1"/>
  <c r="D1483" i="1"/>
  <c r="G1482" i="1"/>
  <c r="F1482" i="1"/>
  <c r="D1482" i="1"/>
  <c r="G1481" i="1"/>
  <c r="F1481" i="1"/>
  <c r="D1481" i="1"/>
  <c r="G1480" i="1"/>
  <c r="F1480" i="1"/>
  <c r="D1480" i="1"/>
  <c r="H1480" i="1" s="1"/>
  <c r="H1479" i="1"/>
  <c r="H1478" i="1"/>
  <c r="H1477" i="1"/>
  <c r="H1476" i="1"/>
  <c r="G1476" i="1"/>
  <c r="F1476" i="1"/>
  <c r="D1476" i="1"/>
  <c r="H1475" i="1"/>
  <c r="G1475" i="1"/>
  <c r="F1475" i="1"/>
  <c r="D1475" i="1"/>
  <c r="G1474" i="1"/>
  <c r="F1474" i="1"/>
  <c r="D1474" i="1"/>
  <c r="G1473" i="1"/>
  <c r="F1473" i="1"/>
  <c r="D1473" i="1"/>
  <c r="G1472" i="1"/>
  <c r="F1472" i="1"/>
  <c r="D1472" i="1"/>
  <c r="H1472" i="1" s="1"/>
  <c r="G1471" i="1"/>
  <c r="F1471" i="1"/>
  <c r="D1471" i="1"/>
  <c r="H1471" i="1" s="1"/>
  <c r="G1470" i="1"/>
  <c r="F1470" i="1"/>
  <c r="D1470" i="1"/>
  <c r="G1469" i="1"/>
  <c r="F1469" i="1"/>
  <c r="D1469" i="1"/>
  <c r="G1468" i="1"/>
  <c r="F1468" i="1"/>
  <c r="D1468" i="1"/>
  <c r="H1468" i="1" s="1"/>
  <c r="G1467" i="1"/>
  <c r="F1467" i="1"/>
  <c r="D1467" i="1"/>
  <c r="H1467" i="1" s="1"/>
  <c r="G1466" i="1"/>
  <c r="F1466" i="1"/>
  <c r="D1466" i="1"/>
  <c r="G1465" i="1"/>
  <c r="F1465" i="1"/>
  <c r="D1465" i="1"/>
  <c r="G1464" i="1"/>
  <c r="F1464" i="1"/>
  <c r="D1464" i="1"/>
  <c r="H1464" i="1" s="1"/>
  <c r="G1463" i="1"/>
  <c r="F1463" i="1"/>
  <c r="D1463" i="1"/>
  <c r="H1463" i="1" s="1"/>
  <c r="G1462" i="1"/>
  <c r="F1462" i="1"/>
  <c r="D1462" i="1"/>
  <c r="G1461" i="1"/>
  <c r="F1461" i="1"/>
  <c r="D1461" i="1"/>
  <c r="G1460" i="1"/>
  <c r="F1460" i="1"/>
  <c r="D1460" i="1"/>
  <c r="H1460" i="1" s="1"/>
  <c r="G1459" i="1"/>
  <c r="F1459" i="1"/>
  <c r="D1459" i="1"/>
  <c r="H1459" i="1" s="1"/>
  <c r="H1458" i="1"/>
  <c r="G1457" i="1"/>
  <c r="F1457" i="1"/>
  <c r="D1457" i="1"/>
  <c r="G1456" i="1"/>
  <c r="F1456" i="1"/>
  <c r="D1456" i="1"/>
  <c r="G1455" i="1"/>
  <c r="F1455" i="1"/>
  <c r="D1455" i="1"/>
  <c r="G1454" i="1"/>
  <c r="F1454" i="1"/>
  <c r="D1454" i="1"/>
  <c r="H1454" i="1" s="1"/>
  <c r="G1453" i="1"/>
  <c r="F1453" i="1"/>
  <c r="D1453" i="1"/>
  <c r="H1453" i="1" s="1"/>
  <c r="G1452" i="1"/>
  <c r="F1452" i="1"/>
  <c r="D1452" i="1"/>
  <c r="G1451" i="1"/>
  <c r="F1451" i="1"/>
  <c r="D1451" i="1"/>
  <c r="G1450" i="1"/>
  <c r="F1450" i="1"/>
  <c r="D1450" i="1"/>
  <c r="H1450" i="1" s="1"/>
  <c r="G1449" i="1"/>
  <c r="F1449" i="1"/>
  <c r="D1449" i="1"/>
  <c r="H1449" i="1" s="1"/>
  <c r="G1448" i="1"/>
  <c r="F1448" i="1"/>
  <c r="D1448" i="1"/>
  <c r="G1447" i="1"/>
  <c r="F1447" i="1"/>
  <c r="D1447" i="1"/>
  <c r="G1446" i="1"/>
  <c r="F1446" i="1"/>
  <c r="D1446" i="1"/>
  <c r="H1446" i="1" s="1"/>
  <c r="G1445" i="1"/>
  <c r="F1445" i="1"/>
  <c r="D1445" i="1"/>
  <c r="H1445" i="1" s="1"/>
  <c r="G1444" i="1"/>
  <c r="F1444" i="1"/>
  <c r="D1444" i="1"/>
  <c r="G1443" i="1"/>
  <c r="F1443" i="1"/>
  <c r="D1443" i="1"/>
  <c r="H1442" i="1"/>
  <c r="G1441" i="1"/>
  <c r="F1441" i="1"/>
  <c r="H1441" i="1" s="1"/>
  <c r="D1441" i="1"/>
  <c r="G1440" i="1"/>
  <c r="F1440" i="1"/>
  <c r="D1440" i="1"/>
  <c r="G1439" i="1"/>
  <c r="F1439" i="1"/>
  <c r="D1439" i="1"/>
  <c r="G1438" i="1"/>
  <c r="F1438" i="1"/>
  <c r="D1438" i="1"/>
  <c r="G1437" i="1"/>
  <c r="F1437" i="1"/>
  <c r="H1437" i="1" s="1"/>
  <c r="D1437" i="1"/>
  <c r="G1436" i="1"/>
  <c r="F1436" i="1"/>
  <c r="D1436" i="1"/>
  <c r="G1435" i="1"/>
  <c r="F1435" i="1"/>
  <c r="D1435" i="1"/>
  <c r="G1434" i="1"/>
  <c r="F1434" i="1"/>
  <c r="D1434" i="1"/>
  <c r="G1433" i="1"/>
  <c r="F1433" i="1"/>
  <c r="H1433" i="1" s="1"/>
  <c r="D1433" i="1"/>
  <c r="G1432" i="1"/>
  <c r="F1432" i="1"/>
  <c r="D1432" i="1"/>
  <c r="H1432" i="1" s="1"/>
  <c r="G1431" i="1"/>
  <c r="F1431" i="1"/>
  <c r="D1431" i="1"/>
  <c r="H1431" i="1" s="1"/>
  <c r="G1430" i="1"/>
  <c r="F1430" i="1"/>
  <c r="D1430" i="1"/>
  <c r="G1429" i="1"/>
  <c r="F1429" i="1"/>
  <c r="D1429" i="1"/>
  <c r="G1428" i="1"/>
  <c r="F1428" i="1"/>
  <c r="D1428" i="1"/>
  <c r="H1428" i="1" s="1"/>
  <c r="G1427" i="1"/>
  <c r="F1427" i="1"/>
  <c r="D1427" i="1"/>
  <c r="H1427" i="1" s="1"/>
  <c r="G1426" i="1"/>
  <c r="F1426" i="1"/>
  <c r="D1426" i="1"/>
  <c r="H1425" i="1"/>
  <c r="G1424" i="1"/>
  <c r="F1424" i="1"/>
  <c r="D1424" i="1"/>
  <c r="H1424" i="1" s="1"/>
  <c r="G1423" i="1"/>
  <c r="F1423" i="1"/>
  <c r="D1423" i="1"/>
  <c r="H1423" i="1" s="1"/>
  <c r="G1422" i="1"/>
  <c r="F1422" i="1"/>
  <c r="D1422" i="1"/>
  <c r="H1422" i="1" s="1"/>
  <c r="G1421" i="1"/>
  <c r="F1421" i="1"/>
  <c r="D1421" i="1"/>
  <c r="H1421" i="1" s="1"/>
  <c r="G1420" i="1"/>
  <c r="F1420" i="1"/>
  <c r="D1420" i="1"/>
  <c r="H1420" i="1" s="1"/>
  <c r="G1419" i="1"/>
  <c r="F1419" i="1"/>
  <c r="D1419" i="1"/>
  <c r="H1419" i="1" s="1"/>
  <c r="G1418" i="1"/>
  <c r="F1418" i="1"/>
  <c r="D1418" i="1"/>
  <c r="H1418" i="1" s="1"/>
  <c r="G1417" i="1"/>
  <c r="F1417" i="1"/>
  <c r="D1417" i="1"/>
  <c r="G1416" i="1"/>
  <c r="H1416" i="1" s="1"/>
  <c r="F1416" i="1"/>
  <c r="D1416" i="1"/>
  <c r="G1415" i="1"/>
  <c r="F1415" i="1"/>
  <c r="D1415" i="1"/>
  <c r="G1414" i="1"/>
  <c r="F1414" i="1"/>
  <c r="D1414" i="1"/>
  <c r="G1413" i="1"/>
  <c r="F1413" i="1"/>
  <c r="D1413" i="1"/>
  <c r="G1412" i="1"/>
  <c r="F1412" i="1"/>
  <c r="D1412" i="1"/>
  <c r="G1411" i="1"/>
  <c r="F1411" i="1"/>
  <c r="D1411" i="1"/>
  <c r="G1410" i="1"/>
  <c r="F1410" i="1"/>
  <c r="D1410" i="1"/>
  <c r="H1410" i="1" s="1"/>
  <c r="H1409" i="1"/>
  <c r="G1408" i="1"/>
  <c r="F1408" i="1"/>
  <c r="H1408" i="1" s="1"/>
  <c r="D1408" i="1"/>
  <c r="G1407" i="1"/>
  <c r="F1407" i="1"/>
  <c r="D1407" i="1"/>
  <c r="G1406" i="1"/>
  <c r="F1406" i="1"/>
  <c r="D1406" i="1"/>
  <c r="G1405" i="1"/>
  <c r="F1405" i="1"/>
  <c r="D1405" i="1"/>
  <c r="G1404" i="1"/>
  <c r="F1404" i="1"/>
  <c r="D1404" i="1"/>
  <c r="G1403" i="1"/>
  <c r="F1403" i="1"/>
  <c r="D1403" i="1"/>
  <c r="H1403" i="1" s="1"/>
  <c r="G1402" i="1"/>
  <c r="F1402" i="1"/>
  <c r="D1402" i="1"/>
  <c r="H1402" i="1" s="1"/>
  <c r="G1401" i="1"/>
  <c r="F1401" i="1"/>
  <c r="D1401" i="1"/>
  <c r="G1400" i="1"/>
  <c r="F1400" i="1"/>
  <c r="D1400" i="1"/>
  <c r="G1399" i="1"/>
  <c r="F1399" i="1"/>
  <c r="D1399" i="1"/>
  <c r="H1399" i="1" s="1"/>
  <c r="G1398" i="1"/>
  <c r="F1398" i="1"/>
  <c r="D1398" i="1"/>
  <c r="H1398" i="1" s="1"/>
  <c r="G1397" i="1"/>
  <c r="F1397" i="1"/>
  <c r="D1397" i="1"/>
  <c r="G1396" i="1"/>
  <c r="F1396" i="1"/>
  <c r="D1396" i="1"/>
  <c r="G1395" i="1"/>
  <c r="F1395" i="1"/>
  <c r="D1395" i="1"/>
  <c r="H1395" i="1" s="1"/>
  <c r="G1394" i="1"/>
  <c r="F1394" i="1"/>
  <c r="D1394" i="1"/>
  <c r="H1394" i="1" s="1"/>
  <c r="G1393" i="1"/>
  <c r="F1393" i="1"/>
  <c r="D1393" i="1"/>
  <c r="H1392" i="1"/>
  <c r="G1391" i="1"/>
  <c r="F1391" i="1"/>
  <c r="D1391" i="1"/>
  <c r="G1390" i="1"/>
  <c r="F1390" i="1"/>
  <c r="H1390" i="1" s="1"/>
  <c r="D1390" i="1"/>
  <c r="G1389" i="1"/>
  <c r="F1389" i="1"/>
  <c r="D1389" i="1"/>
  <c r="G1388" i="1"/>
  <c r="F1388" i="1"/>
  <c r="H1388" i="1" s="1"/>
  <c r="D1388" i="1"/>
  <c r="G1387" i="1"/>
  <c r="F1387" i="1"/>
  <c r="D1387" i="1"/>
  <c r="G1386" i="1"/>
  <c r="F1386" i="1"/>
  <c r="D1386" i="1"/>
  <c r="G1385" i="1"/>
  <c r="F1385" i="1"/>
  <c r="D1385" i="1"/>
  <c r="H1385" i="1" s="1"/>
  <c r="G1384" i="1"/>
  <c r="F1384" i="1"/>
  <c r="D1384" i="1"/>
  <c r="G1383" i="1"/>
  <c r="F1383" i="1"/>
  <c r="D1383" i="1"/>
  <c r="G1382" i="1"/>
  <c r="F1382" i="1"/>
  <c r="D1382" i="1"/>
  <c r="G1381" i="1"/>
  <c r="F1381" i="1"/>
  <c r="D1381" i="1"/>
  <c r="H1381" i="1" s="1"/>
  <c r="G1380" i="1"/>
  <c r="F1380" i="1"/>
  <c r="D1380" i="1"/>
  <c r="G1379" i="1"/>
  <c r="F1379" i="1"/>
  <c r="D1379" i="1"/>
  <c r="G1378" i="1"/>
  <c r="F1378" i="1"/>
  <c r="D1378" i="1"/>
  <c r="G1377" i="1"/>
  <c r="F1377" i="1"/>
  <c r="D1377" i="1"/>
  <c r="H1377" i="1" s="1"/>
  <c r="G1376" i="1"/>
  <c r="F1376" i="1"/>
  <c r="D1376" i="1"/>
  <c r="H1375" i="1"/>
  <c r="G1374" i="1"/>
  <c r="F1374" i="1"/>
  <c r="D1374" i="1"/>
  <c r="G1373" i="1"/>
  <c r="F1373" i="1"/>
  <c r="D1373" i="1"/>
  <c r="G1372" i="1"/>
  <c r="F1372" i="1"/>
  <c r="H1372" i="1" s="1"/>
  <c r="D1372" i="1"/>
  <c r="G1371" i="1"/>
  <c r="F1371" i="1"/>
  <c r="D1371" i="1"/>
  <c r="G1370" i="1"/>
  <c r="F1370" i="1"/>
  <c r="D1370" i="1"/>
  <c r="G1369" i="1"/>
  <c r="F1369" i="1"/>
  <c r="D1369" i="1"/>
  <c r="G1368" i="1"/>
  <c r="F1368" i="1"/>
  <c r="H1368" i="1" s="1"/>
  <c r="D1368" i="1"/>
  <c r="G1367" i="1"/>
  <c r="F1367" i="1"/>
  <c r="D1367" i="1"/>
  <c r="G1366" i="1"/>
  <c r="F1366" i="1"/>
  <c r="D1366" i="1"/>
  <c r="H1366" i="1" s="1"/>
  <c r="G1365" i="1"/>
  <c r="F1365" i="1"/>
  <c r="D1365" i="1"/>
  <c r="G1364" i="1"/>
  <c r="F1364" i="1"/>
  <c r="D1364" i="1"/>
  <c r="G1363" i="1"/>
  <c r="F1363" i="1"/>
  <c r="D1363" i="1"/>
  <c r="H1363" i="1" s="1"/>
  <c r="G1362" i="1"/>
  <c r="F1362" i="1"/>
  <c r="D1362" i="1"/>
  <c r="H1362" i="1" s="1"/>
  <c r="G1361" i="1"/>
  <c r="F1361" i="1"/>
  <c r="D1361" i="1"/>
  <c r="G1360" i="1"/>
  <c r="F1360" i="1"/>
  <c r="D1360" i="1"/>
  <c r="G1359" i="1"/>
  <c r="F1359" i="1"/>
  <c r="D1359" i="1"/>
  <c r="H1359" i="1" s="1"/>
  <c r="H1358" i="1"/>
  <c r="G1357" i="1"/>
  <c r="F1357" i="1"/>
  <c r="H1357" i="1" s="1"/>
  <c r="D1357" i="1"/>
  <c r="G1356" i="1"/>
  <c r="F1356" i="1"/>
  <c r="D1356" i="1"/>
  <c r="H1356" i="1" s="1"/>
  <c r="G1355" i="1"/>
  <c r="F1355" i="1"/>
  <c r="D1355" i="1"/>
  <c r="H1355" i="1" s="1"/>
  <c r="G1354" i="1"/>
  <c r="F1354" i="1"/>
  <c r="D1354" i="1"/>
  <c r="H1354" i="1" s="1"/>
  <c r="G1353" i="1"/>
  <c r="F1353" i="1"/>
  <c r="D1353" i="1"/>
  <c r="H1353" i="1" s="1"/>
  <c r="G1352" i="1"/>
  <c r="F1352" i="1"/>
  <c r="D1352" i="1"/>
  <c r="G1351" i="1"/>
  <c r="H1351" i="1" s="1"/>
  <c r="F1351" i="1"/>
  <c r="D1351" i="1"/>
  <c r="G1350" i="1"/>
  <c r="H1350" i="1" s="1"/>
  <c r="F1350" i="1"/>
  <c r="D1350" i="1"/>
  <c r="G1349" i="1"/>
  <c r="F1349" i="1"/>
  <c r="D1349" i="1"/>
  <c r="G1348" i="1"/>
  <c r="F1348" i="1"/>
  <c r="D1348" i="1"/>
  <c r="G1347" i="1"/>
  <c r="F1347" i="1"/>
  <c r="D1347" i="1"/>
  <c r="G1346" i="1"/>
  <c r="F1346" i="1"/>
  <c r="D1346" i="1"/>
  <c r="G1345" i="1"/>
  <c r="F1345" i="1"/>
  <c r="D1345" i="1"/>
  <c r="G1344" i="1"/>
  <c r="F1344" i="1"/>
  <c r="D1344" i="1"/>
  <c r="H1344" i="1" s="1"/>
  <c r="G1343" i="1"/>
  <c r="F1343" i="1"/>
  <c r="D1343" i="1"/>
  <c r="H1342" i="1"/>
  <c r="G1341" i="1"/>
  <c r="F1341" i="1"/>
  <c r="D1341" i="1"/>
  <c r="H1341" i="1" s="1"/>
  <c r="G1340" i="1"/>
  <c r="F1340" i="1"/>
  <c r="D1340" i="1"/>
  <c r="G1339" i="1"/>
  <c r="F1339" i="1"/>
  <c r="D1339" i="1"/>
  <c r="G1338" i="1"/>
  <c r="F1338" i="1"/>
  <c r="H1338" i="1" s="1"/>
  <c r="D1338" i="1"/>
  <c r="G1337" i="1"/>
  <c r="F1337" i="1"/>
  <c r="D1337" i="1"/>
  <c r="H1337" i="1" s="1"/>
  <c r="G1336" i="1"/>
  <c r="F1336" i="1"/>
  <c r="D1336" i="1"/>
  <c r="H1336" i="1" s="1"/>
  <c r="G1335" i="1"/>
  <c r="F1335" i="1"/>
  <c r="D1335" i="1"/>
  <c r="G1334" i="1"/>
  <c r="F1334" i="1"/>
  <c r="D1334" i="1"/>
  <c r="G1333" i="1"/>
  <c r="F1333" i="1"/>
  <c r="D1333" i="1"/>
  <c r="H1333" i="1" s="1"/>
  <c r="G1332" i="1"/>
  <c r="F1332" i="1"/>
  <c r="D1332" i="1"/>
  <c r="H1332" i="1" s="1"/>
  <c r="G1331" i="1"/>
  <c r="F1331" i="1"/>
  <c r="D1331" i="1"/>
  <c r="G1330" i="1"/>
  <c r="F1330" i="1"/>
  <c r="D1330" i="1"/>
  <c r="G1329" i="1"/>
  <c r="F1329" i="1"/>
  <c r="D1329" i="1"/>
  <c r="H1329" i="1" s="1"/>
  <c r="G1328" i="1"/>
  <c r="F1328" i="1"/>
  <c r="D1328" i="1"/>
  <c r="H1328" i="1" s="1"/>
  <c r="G1327" i="1"/>
  <c r="F1327" i="1"/>
  <c r="D1327" i="1"/>
  <c r="H1326" i="1"/>
  <c r="G1325" i="1"/>
  <c r="F1325" i="1"/>
  <c r="D1325" i="1"/>
  <c r="G1324" i="1"/>
  <c r="F1324" i="1"/>
  <c r="H1324" i="1" s="1"/>
  <c r="D1324" i="1"/>
  <c r="G1323" i="1"/>
  <c r="F1323" i="1"/>
  <c r="D1323" i="1"/>
  <c r="G1322" i="1"/>
  <c r="F1322" i="1"/>
  <c r="D1322" i="1"/>
  <c r="G1321" i="1"/>
  <c r="F1321" i="1"/>
  <c r="D1321" i="1"/>
  <c r="G1320" i="1"/>
  <c r="F1320" i="1"/>
  <c r="D1320" i="1"/>
  <c r="G1319" i="1"/>
  <c r="F1319" i="1"/>
  <c r="D1319" i="1"/>
  <c r="H1319" i="1" s="1"/>
  <c r="G1318" i="1"/>
  <c r="F1318" i="1"/>
  <c r="D1318" i="1"/>
  <c r="H1318" i="1" s="1"/>
  <c r="G1317" i="1"/>
  <c r="F1317" i="1"/>
  <c r="D1317" i="1"/>
  <c r="G1316" i="1"/>
  <c r="F1316" i="1"/>
  <c r="D1316" i="1"/>
  <c r="G1315" i="1"/>
  <c r="F1315" i="1"/>
  <c r="D1315" i="1"/>
  <c r="H1315" i="1" s="1"/>
  <c r="G1314" i="1"/>
  <c r="F1314" i="1"/>
  <c r="D1314" i="1"/>
  <c r="H1314" i="1" s="1"/>
  <c r="G1313" i="1"/>
  <c r="F1313" i="1"/>
  <c r="D1313" i="1"/>
  <c r="G1312" i="1"/>
  <c r="F1312" i="1"/>
  <c r="D1312" i="1"/>
  <c r="G1311" i="1"/>
  <c r="F1311" i="1"/>
  <c r="D1311" i="1"/>
  <c r="H1311" i="1" s="1"/>
  <c r="G1310" i="1"/>
  <c r="F1310" i="1"/>
  <c r="D1310" i="1"/>
  <c r="H1310" i="1" s="1"/>
  <c r="H1309" i="1"/>
  <c r="G1308" i="1"/>
  <c r="F1308" i="1"/>
  <c r="D1308" i="1"/>
  <c r="G1307" i="1"/>
  <c r="F1307" i="1"/>
  <c r="D1307" i="1"/>
  <c r="G1306" i="1"/>
  <c r="F1306" i="1"/>
  <c r="H1306" i="1" s="1"/>
  <c r="D1306" i="1"/>
  <c r="G1305" i="1"/>
  <c r="F1305" i="1"/>
  <c r="D1305" i="1"/>
  <c r="G1304" i="1"/>
  <c r="F1304" i="1"/>
  <c r="D1304" i="1"/>
  <c r="G1303" i="1"/>
  <c r="F1303" i="1"/>
  <c r="D1303" i="1"/>
  <c r="G1302" i="1"/>
  <c r="F1302" i="1"/>
  <c r="D1302" i="1"/>
  <c r="G1301" i="1"/>
  <c r="F1301" i="1"/>
  <c r="D1301" i="1"/>
  <c r="H1301" i="1" s="1"/>
  <c r="G1300" i="1"/>
  <c r="F1300" i="1"/>
  <c r="D1300" i="1"/>
  <c r="G1299" i="1"/>
  <c r="F1299" i="1"/>
  <c r="D1299" i="1"/>
  <c r="G1298" i="1"/>
  <c r="F1298" i="1"/>
  <c r="D1298" i="1"/>
  <c r="G1297" i="1"/>
  <c r="F1297" i="1"/>
  <c r="D1297" i="1"/>
  <c r="H1297" i="1" s="1"/>
  <c r="G1296" i="1"/>
  <c r="F1296" i="1"/>
  <c r="D1296" i="1"/>
  <c r="G1295" i="1"/>
  <c r="F1295" i="1"/>
  <c r="D1295" i="1"/>
  <c r="G1294" i="1"/>
  <c r="F1294" i="1"/>
  <c r="D1294" i="1"/>
  <c r="G1293" i="1"/>
  <c r="F1293" i="1"/>
  <c r="D1293" i="1"/>
  <c r="H1293" i="1" s="1"/>
  <c r="H1292" i="1"/>
  <c r="G1291" i="1"/>
  <c r="F1291" i="1"/>
  <c r="D1291" i="1"/>
  <c r="H1291" i="1" s="1"/>
  <c r="G1290" i="1"/>
  <c r="F1290" i="1"/>
  <c r="D1290" i="1"/>
  <c r="H1290" i="1" s="1"/>
  <c r="G1289" i="1"/>
  <c r="F1289" i="1"/>
  <c r="D1289" i="1"/>
  <c r="H1289" i="1" s="1"/>
  <c r="G1288" i="1"/>
  <c r="F1288" i="1"/>
  <c r="D1288" i="1"/>
  <c r="H1288" i="1" s="1"/>
  <c r="G1287" i="1"/>
  <c r="F1287" i="1"/>
  <c r="D1287" i="1"/>
  <c r="H1287" i="1" s="1"/>
  <c r="G1286" i="1"/>
  <c r="F1286" i="1"/>
  <c r="D1286" i="1"/>
  <c r="H1286" i="1" s="1"/>
  <c r="H1285" i="1"/>
  <c r="G1284" i="1"/>
  <c r="F1284" i="1"/>
  <c r="D1284" i="1"/>
  <c r="H1284" i="1" s="1"/>
  <c r="G1283" i="1"/>
  <c r="F1283" i="1"/>
  <c r="D1283" i="1"/>
  <c r="H1283" i="1" s="1"/>
  <c r="G1282" i="1"/>
  <c r="F1282" i="1"/>
  <c r="D1282" i="1"/>
  <c r="G1281" i="1"/>
  <c r="F1281" i="1"/>
  <c r="D1281" i="1"/>
  <c r="G1280" i="1"/>
  <c r="F1280" i="1"/>
  <c r="D1280" i="1"/>
  <c r="H1280" i="1" s="1"/>
  <c r="G1279" i="1"/>
  <c r="F1279" i="1"/>
  <c r="D1279" i="1"/>
  <c r="H1279" i="1" s="1"/>
  <c r="G1278" i="1"/>
  <c r="F1278" i="1"/>
  <c r="D1278" i="1"/>
  <c r="G1277" i="1"/>
  <c r="F1277" i="1"/>
  <c r="D1277" i="1"/>
  <c r="G1276" i="1"/>
  <c r="F1276" i="1"/>
  <c r="D1276" i="1"/>
  <c r="H1276" i="1" s="1"/>
  <c r="G1275" i="1"/>
  <c r="F1275" i="1"/>
  <c r="D1275" i="1"/>
  <c r="H1275" i="1" s="1"/>
  <c r="G1274" i="1"/>
  <c r="F1274" i="1"/>
  <c r="D1274" i="1"/>
  <c r="G1273" i="1"/>
  <c r="F1273" i="1"/>
  <c r="D1273" i="1"/>
  <c r="G1272" i="1"/>
  <c r="F1272" i="1"/>
  <c r="D1272" i="1"/>
  <c r="H1272" i="1" s="1"/>
  <c r="G1271" i="1"/>
  <c r="F1271" i="1"/>
  <c r="D1271" i="1"/>
  <c r="H1271" i="1" s="1"/>
  <c r="G1270" i="1"/>
  <c r="F1270" i="1"/>
  <c r="D1270" i="1"/>
  <c r="H1269" i="1"/>
  <c r="G1268" i="1"/>
  <c r="F1268" i="1"/>
  <c r="D1268" i="1"/>
  <c r="G1267" i="1"/>
  <c r="F1267" i="1"/>
  <c r="H1267" i="1" s="1"/>
  <c r="D1267" i="1"/>
  <c r="G1266" i="1"/>
  <c r="F1266" i="1"/>
  <c r="D1266" i="1"/>
  <c r="G1265" i="1"/>
  <c r="F1265" i="1"/>
  <c r="D1265" i="1"/>
  <c r="G1264" i="1"/>
  <c r="F1264" i="1"/>
  <c r="D1264" i="1"/>
  <c r="G1263" i="1"/>
  <c r="F1263" i="1"/>
  <c r="H1263" i="1" s="1"/>
  <c r="D1263" i="1"/>
  <c r="G1262" i="1"/>
  <c r="F1262" i="1"/>
  <c r="D1262" i="1"/>
  <c r="G1261" i="1"/>
  <c r="F1261" i="1"/>
  <c r="D1261" i="1"/>
  <c r="G1260" i="1"/>
  <c r="F1260" i="1"/>
  <c r="D1260" i="1"/>
  <c r="G1259" i="1"/>
  <c r="F1259" i="1"/>
  <c r="H1259" i="1" s="1"/>
  <c r="D1259" i="1"/>
  <c r="G1258" i="1"/>
  <c r="F1258" i="1"/>
  <c r="D1258" i="1"/>
  <c r="G1257" i="1"/>
  <c r="F1257" i="1"/>
  <c r="D1257" i="1"/>
  <c r="H1257" i="1" s="1"/>
  <c r="G1256" i="1"/>
  <c r="F1256" i="1"/>
  <c r="D1256" i="1"/>
  <c r="G1255" i="1"/>
  <c r="F1255" i="1"/>
  <c r="D1255" i="1"/>
  <c r="G1254" i="1"/>
  <c r="F1254" i="1"/>
  <c r="D1254" i="1"/>
  <c r="H1254" i="1" s="1"/>
  <c r="G1253" i="1"/>
  <c r="F1253" i="1"/>
  <c r="D1253" i="1"/>
  <c r="H1253" i="1" s="1"/>
  <c r="H1252" i="1"/>
  <c r="G1251" i="1"/>
  <c r="F1251" i="1"/>
  <c r="D1251" i="1"/>
  <c r="H1251" i="1" s="1"/>
  <c r="G1250" i="1"/>
  <c r="F1250" i="1"/>
  <c r="D1250" i="1"/>
  <c r="G1249" i="1"/>
  <c r="F1249" i="1"/>
  <c r="D1249" i="1"/>
  <c r="G1248" i="1"/>
  <c r="F1248" i="1"/>
  <c r="D1248" i="1"/>
  <c r="H1248" i="1" s="1"/>
  <c r="G1247" i="1"/>
  <c r="F1247" i="1"/>
  <c r="D1247" i="1"/>
  <c r="H1247" i="1" s="1"/>
  <c r="G1246" i="1"/>
  <c r="F1246" i="1"/>
  <c r="D1246" i="1"/>
  <c r="G1245" i="1"/>
  <c r="F1245" i="1"/>
  <c r="D1245" i="1"/>
  <c r="G1244" i="1"/>
  <c r="F1244" i="1"/>
  <c r="D1244" i="1"/>
  <c r="H1244" i="1" s="1"/>
  <c r="G1243" i="1"/>
  <c r="F1243" i="1"/>
  <c r="D1243" i="1"/>
  <c r="H1243" i="1" s="1"/>
  <c r="G1242" i="1"/>
  <c r="F1242" i="1"/>
  <c r="D1242" i="1"/>
  <c r="G1241" i="1"/>
  <c r="F1241" i="1"/>
  <c r="D1241" i="1"/>
  <c r="G1240" i="1"/>
  <c r="F1240" i="1"/>
  <c r="D1240" i="1"/>
  <c r="H1240" i="1" s="1"/>
  <c r="G1239" i="1"/>
  <c r="F1239" i="1"/>
  <c r="D1239" i="1"/>
  <c r="H1239" i="1" s="1"/>
  <c r="G1238" i="1"/>
  <c r="F1238" i="1"/>
  <c r="D1238" i="1"/>
  <c r="G1237" i="1"/>
  <c r="F1237" i="1"/>
  <c r="D1237" i="1"/>
  <c r="G1236" i="1"/>
  <c r="F1236" i="1"/>
  <c r="D1236" i="1"/>
  <c r="H1236" i="1" s="1"/>
  <c r="H1235" i="1"/>
  <c r="G1234" i="1"/>
  <c r="F1234" i="1"/>
  <c r="H1234" i="1" s="1"/>
  <c r="D1234" i="1"/>
  <c r="G1233" i="1"/>
  <c r="F1233" i="1"/>
  <c r="H1233" i="1" s="1"/>
  <c r="D1233" i="1"/>
  <c r="G1232" i="1"/>
  <c r="F1232" i="1"/>
  <c r="H1232" i="1" s="1"/>
  <c r="D1232" i="1"/>
  <c r="G1231" i="1"/>
  <c r="F1231" i="1"/>
  <c r="H1231" i="1" s="1"/>
  <c r="D1231" i="1"/>
  <c r="G1230" i="1"/>
  <c r="F1230" i="1"/>
  <c r="D1230" i="1"/>
  <c r="H1230" i="1" s="1"/>
  <c r="G1229" i="1"/>
  <c r="F1229" i="1"/>
  <c r="D1229" i="1"/>
  <c r="H1229" i="1" s="1"/>
  <c r="G1228" i="1"/>
  <c r="F1228" i="1"/>
  <c r="D1228" i="1"/>
  <c r="G1227" i="1"/>
  <c r="F1227" i="1"/>
  <c r="D1227" i="1"/>
  <c r="G1226" i="1"/>
  <c r="F1226" i="1"/>
  <c r="D1226" i="1"/>
  <c r="H1226" i="1" s="1"/>
  <c r="G1225" i="1"/>
  <c r="F1225" i="1"/>
  <c r="D1225" i="1"/>
  <c r="H1225" i="1" s="1"/>
  <c r="G1224" i="1"/>
  <c r="F1224" i="1"/>
  <c r="D1224" i="1"/>
  <c r="G1223" i="1"/>
  <c r="F1223" i="1"/>
  <c r="D1223" i="1"/>
  <c r="G1222" i="1"/>
  <c r="F1222" i="1"/>
  <c r="D1222" i="1"/>
  <c r="H1222" i="1" s="1"/>
  <c r="G1221" i="1"/>
  <c r="F1221" i="1"/>
  <c r="D1221" i="1"/>
  <c r="G1220" i="1"/>
  <c r="F1220" i="1"/>
  <c r="D1220" i="1"/>
  <c r="H1220" i="1" s="1"/>
  <c r="H1219" i="1"/>
  <c r="G1218" i="1"/>
  <c r="F1218" i="1"/>
  <c r="D1218" i="1"/>
  <c r="G1217" i="1"/>
  <c r="F1217" i="1"/>
  <c r="D1217" i="1"/>
  <c r="H1217" i="1" s="1"/>
  <c r="G1216" i="1"/>
  <c r="F1216" i="1"/>
  <c r="D1216" i="1"/>
  <c r="G1215" i="1"/>
  <c r="F1215" i="1"/>
  <c r="D1215" i="1"/>
  <c r="G1214" i="1"/>
  <c r="F1214" i="1"/>
  <c r="D1214" i="1"/>
  <c r="G1213" i="1"/>
  <c r="F1213" i="1"/>
  <c r="D1213" i="1"/>
  <c r="H1213" i="1" s="1"/>
  <c r="G1212" i="1"/>
  <c r="F1212" i="1"/>
  <c r="D1212" i="1"/>
  <c r="G1211" i="1"/>
  <c r="F1211" i="1"/>
  <c r="D1211" i="1"/>
  <c r="G1210" i="1"/>
  <c r="F1210" i="1"/>
  <c r="D1210" i="1"/>
  <c r="G1209" i="1"/>
  <c r="F1209" i="1"/>
  <c r="D1209" i="1"/>
  <c r="H1209" i="1" s="1"/>
  <c r="G1208" i="1"/>
  <c r="F1208" i="1"/>
  <c r="D1208" i="1"/>
  <c r="G1207" i="1"/>
  <c r="F1207" i="1"/>
  <c r="D1207" i="1"/>
  <c r="G1206" i="1"/>
  <c r="F1206" i="1"/>
  <c r="D1206" i="1"/>
  <c r="G1205" i="1"/>
  <c r="F1205" i="1"/>
  <c r="D1205" i="1"/>
  <c r="H1205" i="1" s="1"/>
  <c r="G1204" i="1"/>
  <c r="F1204" i="1"/>
  <c r="D1204" i="1"/>
  <c r="G1203" i="1"/>
  <c r="F1203" i="1"/>
  <c r="D1203" i="1"/>
  <c r="G1202" i="1"/>
  <c r="F1202" i="1"/>
  <c r="D1202" i="1"/>
  <c r="H1201" i="1"/>
  <c r="G1200" i="1"/>
  <c r="F1200" i="1"/>
  <c r="H1200" i="1" s="1"/>
  <c r="D1200" i="1"/>
  <c r="G1199" i="1"/>
  <c r="F1199" i="1"/>
  <c r="D1199" i="1"/>
  <c r="G1198" i="1"/>
  <c r="F1198" i="1"/>
  <c r="D1198" i="1"/>
  <c r="G1197" i="1"/>
  <c r="F1197" i="1"/>
  <c r="D1197" i="1"/>
  <c r="G1196" i="1"/>
  <c r="F1196" i="1"/>
  <c r="H1196" i="1" s="1"/>
  <c r="D1196" i="1"/>
  <c r="G1195" i="1"/>
  <c r="F1195" i="1"/>
  <c r="D1195" i="1"/>
  <c r="G1194" i="1"/>
  <c r="F1194" i="1"/>
  <c r="D1194" i="1"/>
  <c r="H1193" i="1"/>
  <c r="G1193" i="1"/>
  <c r="F1193" i="1"/>
  <c r="D1193" i="1"/>
  <c r="H1192" i="1"/>
  <c r="G1192" i="1"/>
  <c r="F1192" i="1"/>
  <c r="D1192" i="1"/>
  <c r="H1191" i="1"/>
  <c r="G1191" i="1"/>
  <c r="F1191" i="1"/>
  <c r="D1191" i="1"/>
  <c r="H1190" i="1"/>
  <c r="G1190" i="1"/>
  <c r="F1190" i="1"/>
  <c r="D1190" i="1"/>
  <c r="H1189" i="1"/>
  <c r="G1189" i="1"/>
  <c r="F1189" i="1"/>
  <c r="D1189" i="1"/>
  <c r="H1188" i="1"/>
  <c r="G1188" i="1"/>
  <c r="F1188" i="1"/>
  <c r="D1188" i="1"/>
  <c r="H1187" i="1"/>
  <c r="G1187" i="1"/>
  <c r="F1187" i="1"/>
  <c r="D1187" i="1"/>
  <c r="H1186" i="1"/>
  <c r="G1186" i="1"/>
  <c r="F1186" i="1"/>
  <c r="D1186" i="1"/>
  <c r="H1185" i="1"/>
  <c r="G1185" i="1"/>
  <c r="F1185" i="1"/>
  <c r="D1185" i="1"/>
  <c r="H1184" i="1"/>
  <c r="G1183" i="1"/>
  <c r="F1183" i="1"/>
  <c r="D1183" i="1"/>
  <c r="H1183" i="1" s="1"/>
  <c r="G1182" i="1"/>
  <c r="F1182" i="1"/>
  <c r="D1182" i="1"/>
  <c r="G1181" i="1"/>
  <c r="F1181" i="1"/>
  <c r="D1181" i="1"/>
  <c r="G1180" i="1"/>
  <c r="F1180" i="1"/>
  <c r="D1180" i="1"/>
  <c r="H1180" i="1" s="1"/>
  <c r="G1179" i="1"/>
  <c r="F1179" i="1"/>
  <c r="D1179" i="1"/>
  <c r="H1179" i="1" s="1"/>
  <c r="G1178" i="1"/>
  <c r="F1178" i="1"/>
  <c r="D1178" i="1"/>
  <c r="G1177" i="1"/>
  <c r="F1177" i="1"/>
  <c r="D1177" i="1"/>
  <c r="G1176" i="1"/>
  <c r="F1176" i="1"/>
  <c r="D1176" i="1"/>
  <c r="H1176" i="1" s="1"/>
  <c r="G1175" i="1"/>
  <c r="F1175" i="1"/>
  <c r="D1175" i="1"/>
  <c r="H1175" i="1" s="1"/>
  <c r="G1174" i="1"/>
  <c r="F1174" i="1"/>
  <c r="D1174" i="1"/>
  <c r="G1173" i="1"/>
  <c r="F1173" i="1"/>
  <c r="D1173" i="1"/>
  <c r="G1172" i="1"/>
  <c r="F1172" i="1"/>
  <c r="D1172" i="1"/>
  <c r="H1172" i="1" s="1"/>
  <c r="G1171" i="1"/>
  <c r="F1171" i="1"/>
  <c r="D1171" i="1"/>
  <c r="H1171" i="1" s="1"/>
  <c r="G1170" i="1"/>
  <c r="F1170" i="1"/>
  <c r="D1170" i="1"/>
  <c r="G1169" i="1"/>
  <c r="F1169" i="1"/>
  <c r="D1169" i="1"/>
  <c r="H1168" i="1"/>
  <c r="G1167" i="1"/>
  <c r="F1167" i="1"/>
  <c r="D1167" i="1"/>
  <c r="G1166" i="1"/>
  <c r="F1166" i="1"/>
  <c r="D1166" i="1"/>
  <c r="G1165" i="1"/>
  <c r="F1165" i="1"/>
  <c r="D1165" i="1"/>
  <c r="G1164" i="1"/>
  <c r="H1164" i="1" s="1"/>
  <c r="F1164" i="1"/>
  <c r="D1164" i="1"/>
  <c r="G1163" i="1"/>
  <c r="F1163" i="1"/>
  <c r="D1163" i="1"/>
  <c r="G1162" i="1"/>
  <c r="F1162" i="1"/>
  <c r="D1162" i="1"/>
  <c r="H1162" i="1" s="1"/>
  <c r="G1161" i="1"/>
  <c r="F1161" i="1"/>
  <c r="D1161" i="1"/>
  <c r="H1161" i="1" s="1"/>
  <c r="G1160" i="1"/>
  <c r="F1160" i="1"/>
  <c r="D1160" i="1"/>
  <c r="G1159" i="1"/>
  <c r="F1159" i="1"/>
  <c r="D1159" i="1"/>
  <c r="G1158" i="1"/>
  <c r="F1158" i="1"/>
  <c r="D1158" i="1"/>
  <c r="H1158" i="1" s="1"/>
  <c r="G1157" i="1"/>
  <c r="F1157" i="1"/>
  <c r="D1157" i="1"/>
  <c r="H1157" i="1" s="1"/>
  <c r="G1156" i="1"/>
  <c r="F1156" i="1"/>
  <c r="D1156" i="1"/>
  <c r="G1155" i="1"/>
  <c r="F1155" i="1"/>
  <c r="D1155" i="1"/>
  <c r="G1154" i="1"/>
  <c r="F1154" i="1"/>
  <c r="D1154" i="1"/>
  <c r="H1154" i="1" s="1"/>
  <c r="G1153" i="1"/>
  <c r="F1153" i="1"/>
  <c r="D1153" i="1"/>
  <c r="H1153" i="1" s="1"/>
  <c r="H1152" i="1"/>
  <c r="G1151" i="1"/>
  <c r="F1151" i="1"/>
  <c r="D1151" i="1"/>
  <c r="H1151" i="1" s="1"/>
  <c r="G1150" i="1"/>
  <c r="F1150" i="1"/>
  <c r="D1150" i="1"/>
  <c r="H1150" i="1" s="1"/>
  <c r="G1149" i="1"/>
  <c r="F1149" i="1"/>
  <c r="D1149" i="1"/>
  <c r="G1148" i="1"/>
  <c r="F1148" i="1"/>
  <c r="D1148" i="1"/>
  <c r="G1147" i="1"/>
  <c r="F1147" i="1"/>
  <c r="D1147" i="1"/>
  <c r="H1147" i="1" s="1"/>
  <c r="G1146" i="1"/>
  <c r="F1146" i="1"/>
  <c r="D1146" i="1"/>
  <c r="H1146" i="1" s="1"/>
  <c r="G1145" i="1"/>
  <c r="F1145" i="1"/>
  <c r="D1145" i="1"/>
  <c r="G1144" i="1"/>
  <c r="F1144" i="1"/>
  <c r="D1144" i="1"/>
  <c r="G1143" i="1"/>
  <c r="F1143" i="1"/>
  <c r="D1143" i="1"/>
  <c r="H1143" i="1" s="1"/>
  <c r="G1142" i="1"/>
  <c r="F1142" i="1"/>
  <c r="D1142" i="1"/>
  <c r="H1142" i="1" s="1"/>
  <c r="G1141" i="1"/>
  <c r="F1141" i="1"/>
  <c r="D1141" i="1"/>
  <c r="G1140" i="1"/>
  <c r="F1140" i="1"/>
  <c r="D1140" i="1"/>
  <c r="G1139" i="1"/>
  <c r="F1139" i="1"/>
  <c r="D1139" i="1"/>
  <c r="H1139" i="1" s="1"/>
  <c r="G1138" i="1"/>
  <c r="F1138" i="1"/>
  <c r="D1138" i="1"/>
  <c r="H1138" i="1" s="1"/>
  <c r="G1137" i="1"/>
  <c r="F1137" i="1"/>
  <c r="D1137" i="1"/>
  <c r="G1136" i="1"/>
  <c r="F1136" i="1"/>
  <c r="D1136" i="1"/>
  <c r="H1135" i="1"/>
  <c r="G1134" i="1"/>
  <c r="F1134" i="1"/>
  <c r="D1134" i="1"/>
  <c r="G1133" i="1"/>
  <c r="F1133" i="1"/>
  <c r="D1133" i="1"/>
  <c r="H1133" i="1" s="1"/>
  <c r="G1132" i="1"/>
  <c r="F1132" i="1"/>
  <c r="D1132" i="1"/>
  <c r="G1131" i="1"/>
  <c r="F1131" i="1"/>
  <c r="D1131" i="1"/>
  <c r="G1130" i="1"/>
  <c r="F1130" i="1"/>
  <c r="D1130" i="1"/>
  <c r="G1129" i="1"/>
  <c r="F1129" i="1"/>
  <c r="D1129" i="1"/>
  <c r="H1129" i="1" s="1"/>
  <c r="G1128" i="1"/>
  <c r="F1128" i="1"/>
  <c r="D1128" i="1"/>
  <c r="G1127" i="1"/>
  <c r="F1127" i="1"/>
  <c r="D1127" i="1"/>
  <c r="G1126" i="1"/>
  <c r="F1126" i="1"/>
  <c r="D1126" i="1"/>
  <c r="G1125" i="1"/>
  <c r="F1125" i="1"/>
  <c r="D1125" i="1"/>
  <c r="H1125" i="1" s="1"/>
  <c r="G1124" i="1"/>
  <c r="F1124" i="1"/>
  <c r="D1124" i="1"/>
  <c r="G1123" i="1"/>
  <c r="F1123" i="1"/>
  <c r="D1123" i="1"/>
  <c r="G1122" i="1"/>
  <c r="F1122" i="1"/>
  <c r="D1122" i="1"/>
  <c r="G1121" i="1"/>
  <c r="F1121" i="1"/>
  <c r="D1121" i="1"/>
  <c r="H1121" i="1" s="1"/>
  <c r="G1120" i="1"/>
  <c r="F1120" i="1"/>
  <c r="D1120" i="1"/>
  <c r="H1119" i="1"/>
  <c r="G1118" i="1"/>
  <c r="F1118" i="1"/>
  <c r="D1118" i="1"/>
  <c r="G1117" i="1"/>
  <c r="F1117" i="1"/>
  <c r="D1117" i="1"/>
  <c r="G1116" i="1"/>
  <c r="F1116" i="1"/>
  <c r="H1116" i="1" s="1"/>
  <c r="D1116" i="1"/>
  <c r="G1115" i="1"/>
  <c r="F1115" i="1"/>
  <c r="D1115" i="1"/>
  <c r="G1114" i="1"/>
  <c r="F1114" i="1"/>
  <c r="D1114" i="1"/>
  <c r="G1113" i="1"/>
  <c r="F1113" i="1"/>
  <c r="D1113" i="1"/>
  <c r="G1112" i="1"/>
  <c r="F1112" i="1"/>
  <c r="H1112" i="1" s="1"/>
  <c r="D1112" i="1"/>
  <c r="G1111" i="1"/>
  <c r="F1111" i="1"/>
  <c r="D1111" i="1"/>
  <c r="G1110" i="1"/>
  <c r="F1110" i="1"/>
  <c r="D1110" i="1"/>
  <c r="G1109" i="1"/>
  <c r="F1109" i="1"/>
  <c r="D1109" i="1"/>
  <c r="G1108" i="1"/>
  <c r="F1108" i="1"/>
  <c r="H1108" i="1" s="1"/>
  <c r="D1108" i="1"/>
  <c r="G1107" i="1"/>
  <c r="F1107" i="1"/>
  <c r="D1107" i="1"/>
  <c r="G1106" i="1"/>
  <c r="F1106" i="1"/>
  <c r="D1106" i="1"/>
  <c r="G1105" i="1"/>
  <c r="F1105" i="1"/>
  <c r="D1105" i="1"/>
  <c r="G1104" i="1"/>
  <c r="F1104" i="1"/>
  <c r="H1104" i="1" s="1"/>
  <c r="D1104" i="1"/>
  <c r="G1103" i="1"/>
  <c r="F1103" i="1"/>
  <c r="D1103" i="1"/>
  <c r="H1102" i="1"/>
  <c r="G1101" i="1"/>
  <c r="F1101" i="1"/>
  <c r="D1101" i="1"/>
  <c r="G1100" i="1"/>
  <c r="F1100" i="1"/>
  <c r="D1100" i="1"/>
  <c r="G1099" i="1"/>
  <c r="F1099" i="1"/>
  <c r="D1099" i="1"/>
  <c r="G1098" i="1"/>
  <c r="F1098" i="1"/>
  <c r="D1098" i="1"/>
  <c r="G1097" i="1"/>
  <c r="F1097" i="1"/>
  <c r="D1097" i="1"/>
  <c r="H1097" i="1" s="1"/>
  <c r="G1096" i="1"/>
  <c r="F1096" i="1"/>
  <c r="D1096" i="1"/>
  <c r="G1095" i="1"/>
  <c r="F1095" i="1"/>
  <c r="D1095" i="1"/>
  <c r="G1094" i="1"/>
  <c r="F1094" i="1"/>
  <c r="D1094" i="1"/>
  <c r="G1093" i="1"/>
  <c r="F1093" i="1"/>
  <c r="D1093" i="1"/>
  <c r="H1093" i="1" s="1"/>
  <c r="G1092" i="1"/>
  <c r="F1092" i="1"/>
  <c r="D1092" i="1"/>
  <c r="G1091" i="1"/>
  <c r="F1091" i="1"/>
  <c r="D1091" i="1"/>
  <c r="G1090" i="1"/>
  <c r="F1090" i="1"/>
  <c r="D1090" i="1"/>
  <c r="G1089" i="1"/>
  <c r="F1089" i="1"/>
  <c r="D1089" i="1"/>
  <c r="H1089" i="1" s="1"/>
  <c r="G1088" i="1"/>
  <c r="F1088" i="1"/>
  <c r="D1088" i="1"/>
  <c r="G1087" i="1"/>
  <c r="F1087" i="1"/>
  <c r="D1087" i="1"/>
  <c r="H1086" i="1"/>
  <c r="H1085" i="1"/>
  <c r="G1085" i="1"/>
  <c r="F1085" i="1"/>
  <c r="D1085" i="1"/>
  <c r="H1084" i="1"/>
  <c r="G1084" i="1"/>
  <c r="F1084" i="1"/>
  <c r="D1084" i="1"/>
  <c r="H1083" i="1"/>
  <c r="G1083" i="1"/>
  <c r="F1083" i="1"/>
  <c r="D1083" i="1"/>
  <c r="H1082" i="1"/>
  <c r="G1082" i="1"/>
  <c r="F1082" i="1"/>
  <c r="D1082" i="1"/>
  <c r="H1081" i="1"/>
  <c r="G1081" i="1"/>
  <c r="F1081" i="1"/>
  <c r="D1081" i="1"/>
  <c r="H1080" i="1"/>
  <c r="G1080" i="1"/>
  <c r="F1080" i="1"/>
  <c r="D1080" i="1"/>
  <c r="H1079" i="1"/>
  <c r="G1079" i="1"/>
  <c r="F1079" i="1"/>
  <c r="D1079" i="1"/>
  <c r="H1078" i="1"/>
  <c r="G1078" i="1"/>
  <c r="F1078" i="1"/>
  <c r="D1078" i="1"/>
  <c r="H1077" i="1"/>
  <c r="G1077" i="1"/>
  <c r="F1077" i="1"/>
  <c r="D1077" i="1"/>
  <c r="H1076" i="1"/>
  <c r="G1076" i="1"/>
  <c r="F1076" i="1"/>
  <c r="D1076" i="1"/>
  <c r="H1075" i="1"/>
  <c r="G1075" i="1"/>
  <c r="F1075" i="1"/>
  <c r="D1075" i="1"/>
  <c r="H1074" i="1"/>
  <c r="G1074" i="1"/>
  <c r="F1074" i="1"/>
  <c r="D1074" i="1"/>
  <c r="H1073" i="1"/>
  <c r="G1073" i="1"/>
  <c r="F1073" i="1"/>
  <c r="D1073" i="1"/>
  <c r="H1072" i="1"/>
  <c r="G1072" i="1"/>
  <c r="F1072" i="1"/>
  <c r="D1072" i="1"/>
  <c r="H1071" i="1"/>
  <c r="G1071" i="1"/>
  <c r="F1071" i="1"/>
  <c r="D1071" i="1"/>
  <c r="H1070" i="1"/>
  <c r="G1070" i="1"/>
  <c r="F1070" i="1"/>
  <c r="D1070" i="1"/>
  <c r="H1069" i="1"/>
  <c r="G1068" i="1"/>
  <c r="F1068" i="1"/>
  <c r="D1068" i="1"/>
  <c r="G1067" i="1"/>
  <c r="F1067" i="1"/>
  <c r="D1067" i="1"/>
  <c r="G1066" i="1"/>
  <c r="F1066" i="1"/>
  <c r="D1066" i="1"/>
  <c r="G1065" i="1"/>
  <c r="F1065" i="1"/>
  <c r="D1065" i="1"/>
  <c r="H1065" i="1" s="1"/>
  <c r="G1064" i="1"/>
  <c r="F1064" i="1"/>
  <c r="D1064" i="1"/>
  <c r="G1063" i="1"/>
  <c r="F1063" i="1"/>
  <c r="D1063" i="1"/>
  <c r="G1062" i="1"/>
  <c r="F1062" i="1"/>
  <c r="D1062" i="1"/>
  <c r="G1061" i="1"/>
  <c r="F1061" i="1"/>
  <c r="D1061" i="1"/>
  <c r="H1061" i="1" s="1"/>
  <c r="G1060" i="1"/>
  <c r="F1060" i="1"/>
  <c r="D1060" i="1"/>
  <c r="G1059" i="1"/>
  <c r="F1059" i="1"/>
  <c r="D1059" i="1"/>
  <c r="G1058" i="1"/>
  <c r="F1058" i="1"/>
  <c r="D1058" i="1"/>
  <c r="G1057" i="1"/>
  <c r="F1057" i="1"/>
  <c r="D1057" i="1"/>
  <c r="H1057" i="1" s="1"/>
  <c r="G1056" i="1"/>
  <c r="F1056" i="1"/>
  <c r="D1056" i="1"/>
  <c r="G1055" i="1"/>
  <c r="F1055" i="1"/>
  <c r="D1055" i="1"/>
  <c r="G1054" i="1"/>
  <c r="F1054" i="1"/>
  <c r="D1054" i="1"/>
  <c r="H1053" i="1"/>
  <c r="G1052" i="1"/>
  <c r="F1052" i="1"/>
  <c r="H1052" i="1" s="1"/>
  <c r="D1052" i="1"/>
  <c r="G1051" i="1"/>
  <c r="F1051" i="1"/>
  <c r="D1051" i="1"/>
  <c r="G1050" i="1"/>
  <c r="F1050" i="1"/>
  <c r="D1050" i="1"/>
  <c r="G1049" i="1"/>
  <c r="F1049" i="1"/>
  <c r="D1049" i="1"/>
  <c r="G1048" i="1"/>
  <c r="F1048" i="1"/>
  <c r="H1048" i="1" s="1"/>
  <c r="D1048" i="1"/>
  <c r="G1047" i="1"/>
  <c r="F1047" i="1"/>
  <c r="D1047" i="1"/>
  <c r="G1046" i="1"/>
  <c r="F1046" i="1"/>
  <c r="D1046" i="1"/>
  <c r="G1045" i="1"/>
  <c r="F1045" i="1"/>
  <c r="D1045" i="1"/>
  <c r="G1044" i="1"/>
  <c r="F1044" i="1"/>
  <c r="H1044" i="1" s="1"/>
  <c r="D1044" i="1"/>
  <c r="G1043" i="1"/>
  <c r="F1043" i="1"/>
  <c r="D1043" i="1"/>
  <c r="G1042" i="1"/>
  <c r="F1042" i="1"/>
  <c r="D1042" i="1"/>
  <c r="G1041" i="1"/>
  <c r="F1041" i="1"/>
  <c r="D1041" i="1"/>
  <c r="G1040" i="1"/>
  <c r="F1040" i="1"/>
  <c r="H1040" i="1" s="1"/>
  <c r="D1040" i="1"/>
  <c r="G1039" i="1"/>
  <c r="F1039" i="1"/>
  <c r="D1039" i="1"/>
  <c r="G1038" i="1"/>
  <c r="F1038" i="1"/>
  <c r="D1038" i="1"/>
  <c r="H1037" i="1"/>
  <c r="G1036" i="1"/>
  <c r="H1036" i="1" s="1"/>
  <c r="F1036" i="1"/>
  <c r="D1036" i="1"/>
  <c r="G1035" i="1"/>
  <c r="H1035" i="1" s="1"/>
  <c r="F1035" i="1"/>
  <c r="D1035" i="1"/>
  <c r="G1034" i="1"/>
  <c r="F1034" i="1"/>
  <c r="D1034" i="1"/>
  <c r="G1033" i="1"/>
  <c r="F1033" i="1"/>
  <c r="D1033" i="1"/>
  <c r="G1032" i="1"/>
  <c r="F1032" i="1"/>
  <c r="D1032" i="1"/>
  <c r="G1031" i="1"/>
  <c r="F1031" i="1"/>
  <c r="D1031" i="1"/>
  <c r="G1030" i="1"/>
  <c r="F1030" i="1"/>
  <c r="D1030" i="1"/>
  <c r="G1029" i="1"/>
  <c r="F1029" i="1"/>
  <c r="D1029" i="1"/>
  <c r="H1029" i="1" s="1"/>
  <c r="G1028" i="1"/>
  <c r="F1028" i="1"/>
  <c r="D1028" i="1"/>
  <c r="G1027" i="1"/>
  <c r="F1027" i="1"/>
  <c r="D1027" i="1"/>
  <c r="G1026" i="1"/>
  <c r="F1026" i="1"/>
  <c r="D1026" i="1"/>
  <c r="G1025" i="1"/>
  <c r="F1025" i="1"/>
  <c r="D1025" i="1"/>
  <c r="H1025" i="1" s="1"/>
  <c r="G1024" i="1"/>
  <c r="F1024" i="1"/>
  <c r="D1024" i="1"/>
  <c r="G1023" i="1"/>
  <c r="F1023" i="1"/>
  <c r="D1023" i="1"/>
  <c r="G1022" i="1"/>
  <c r="F1022" i="1"/>
  <c r="D1022" i="1"/>
  <c r="H1021" i="1"/>
  <c r="G1020" i="1"/>
  <c r="F1020" i="1"/>
  <c r="H1020" i="1" s="1"/>
  <c r="D1020" i="1"/>
  <c r="G1019" i="1"/>
  <c r="F1019" i="1"/>
  <c r="H1019" i="1" s="1"/>
  <c r="D1019" i="1"/>
  <c r="G1018" i="1"/>
  <c r="F1018" i="1"/>
  <c r="H1018" i="1" s="1"/>
  <c r="D1018" i="1"/>
  <c r="G1017" i="1"/>
  <c r="F1017" i="1"/>
  <c r="H1017" i="1" s="1"/>
  <c r="D1017" i="1"/>
  <c r="G1016" i="1"/>
  <c r="F1016" i="1"/>
  <c r="H1016" i="1" s="1"/>
  <c r="D1016" i="1"/>
  <c r="G1015" i="1"/>
  <c r="F1015" i="1"/>
  <c r="H1015" i="1" s="1"/>
  <c r="D1015" i="1"/>
  <c r="G1014" i="1"/>
  <c r="F1014" i="1"/>
  <c r="H1014" i="1" s="1"/>
  <c r="D1014" i="1"/>
  <c r="G1013" i="1"/>
  <c r="F1013" i="1"/>
  <c r="D1013" i="1"/>
  <c r="H1013" i="1" s="1"/>
  <c r="G1012" i="1"/>
  <c r="F1012" i="1"/>
  <c r="D1012" i="1"/>
  <c r="H1012" i="1" s="1"/>
  <c r="G1011" i="1"/>
  <c r="F1011" i="1"/>
  <c r="D1011" i="1"/>
  <c r="H1011" i="1" s="1"/>
  <c r="G1010" i="1"/>
  <c r="F1010" i="1"/>
  <c r="D1010" i="1"/>
  <c r="H1010" i="1" s="1"/>
  <c r="G1009" i="1"/>
  <c r="F1009" i="1"/>
  <c r="D1009" i="1"/>
  <c r="H1009" i="1" s="1"/>
  <c r="G1008" i="1"/>
  <c r="F1008" i="1"/>
  <c r="D1008" i="1"/>
  <c r="H1008" i="1" s="1"/>
  <c r="G1007" i="1"/>
  <c r="F1007" i="1"/>
  <c r="D1007" i="1"/>
  <c r="H1007" i="1" s="1"/>
  <c r="G1006" i="1"/>
  <c r="F1006" i="1"/>
  <c r="D1006" i="1"/>
  <c r="H1006" i="1" s="1"/>
  <c r="G1005" i="1"/>
  <c r="F1005" i="1"/>
  <c r="D1005" i="1"/>
  <c r="H1005" i="1" s="1"/>
  <c r="G1004" i="1"/>
  <c r="F1004" i="1"/>
  <c r="D1004" i="1"/>
  <c r="H1004" i="1" s="1"/>
  <c r="H1003" i="1"/>
  <c r="G1002" i="1"/>
  <c r="F1002" i="1"/>
  <c r="D1002" i="1"/>
  <c r="G1001" i="1"/>
  <c r="F1001" i="1"/>
  <c r="D1001" i="1"/>
  <c r="G1000" i="1"/>
  <c r="F1000" i="1"/>
  <c r="D1000" i="1"/>
  <c r="H1000" i="1" s="1"/>
  <c r="G999" i="1"/>
  <c r="F999" i="1"/>
  <c r="D999" i="1"/>
  <c r="G998" i="1"/>
  <c r="F998" i="1"/>
  <c r="D998" i="1"/>
  <c r="G997" i="1"/>
  <c r="F997" i="1"/>
  <c r="D997" i="1"/>
  <c r="G996" i="1"/>
  <c r="F996" i="1"/>
  <c r="D996" i="1"/>
  <c r="H996" i="1" s="1"/>
  <c r="H995" i="1"/>
  <c r="G994" i="1"/>
  <c r="F994" i="1"/>
  <c r="D994" i="1"/>
  <c r="G993" i="1"/>
  <c r="F993" i="1"/>
  <c r="D993" i="1"/>
  <c r="G992" i="1"/>
  <c r="F992" i="1"/>
  <c r="D992" i="1"/>
  <c r="G991" i="1"/>
  <c r="F991" i="1"/>
  <c r="H991" i="1" s="1"/>
  <c r="D991" i="1"/>
  <c r="G990" i="1"/>
  <c r="F990" i="1"/>
  <c r="D990" i="1"/>
  <c r="G989" i="1"/>
  <c r="F989" i="1"/>
  <c r="D989" i="1"/>
  <c r="G988" i="1"/>
  <c r="F988" i="1"/>
  <c r="D988" i="1"/>
  <c r="G987" i="1"/>
  <c r="F987" i="1"/>
  <c r="H987" i="1" s="1"/>
  <c r="D987" i="1"/>
  <c r="G986" i="1"/>
  <c r="F986" i="1"/>
  <c r="D986" i="1"/>
  <c r="G985" i="1"/>
  <c r="F985" i="1"/>
  <c r="D985" i="1"/>
  <c r="G984" i="1"/>
  <c r="F984" i="1"/>
  <c r="D984" i="1"/>
  <c r="H983" i="1"/>
  <c r="G982" i="1"/>
  <c r="H982" i="1" s="1"/>
  <c r="F982" i="1"/>
  <c r="D982" i="1"/>
  <c r="G981" i="1"/>
  <c r="F981" i="1"/>
  <c r="D981" i="1"/>
  <c r="G980" i="1"/>
  <c r="F980" i="1"/>
  <c r="D980" i="1"/>
  <c r="G979" i="1"/>
  <c r="H979" i="1" s="1"/>
  <c r="F979" i="1"/>
  <c r="D979" i="1"/>
  <c r="G978" i="1"/>
  <c r="H978" i="1" s="1"/>
  <c r="F978" i="1"/>
  <c r="D978" i="1"/>
  <c r="G977" i="1"/>
  <c r="F977" i="1"/>
  <c r="D977" i="1"/>
  <c r="G976" i="1"/>
  <c r="F976" i="1"/>
  <c r="D976" i="1"/>
  <c r="H976" i="1" s="1"/>
  <c r="G975" i="1"/>
  <c r="F975" i="1"/>
  <c r="D975" i="1"/>
  <c r="G974" i="1"/>
  <c r="F974" i="1"/>
  <c r="D974" i="1"/>
  <c r="G973" i="1"/>
  <c r="F973" i="1"/>
  <c r="D973" i="1"/>
  <c r="G972" i="1"/>
  <c r="F972" i="1"/>
  <c r="D972" i="1"/>
  <c r="H972" i="1" s="1"/>
  <c r="H971" i="1"/>
  <c r="G970" i="1"/>
  <c r="F970" i="1"/>
  <c r="D970" i="1"/>
  <c r="H970" i="1" s="1"/>
  <c r="G969" i="1"/>
  <c r="F969" i="1"/>
  <c r="D969" i="1"/>
  <c r="H969" i="1" s="1"/>
  <c r="G968" i="1"/>
  <c r="F968" i="1"/>
  <c r="D968" i="1"/>
  <c r="H968" i="1" s="1"/>
  <c r="G967" i="1"/>
  <c r="F967" i="1"/>
  <c r="D967" i="1"/>
  <c r="H967" i="1" s="1"/>
  <c r="G966" i="1"/>
  <c r="F966" i="1"/>
  <c r="D966" i="1"/>
  <c r="H966" i="1" s="1"/>
  <c r="G965" i="1"/>
  <c r="F965" i="1"/>
  <c r="D965" i="1"/>
  <c r="H965" i="1" s="1"/>
  <c r="G964" i="1"/>
  <c r="F964" i="1"/>
  <c r="D964" i="1"/>
  <c r="H964" i="1" s="1"/>
  <c r="H963" i="1"/>
  <c r="G962" i="1"/>
  <c r="F962" i="1"/>
  <c r="D962" i="1"/>
  <c r="G961" i="1"/>
  <c r="F961" i="1"/>
  <c r="D961" i="1"/>
  <c r="H961" i="1" s="1"/>
  <c r="G960" i="1"/>
  <c r="F960" i="1"/>
  <c r="D960" i="1"/>
  <c r="G959" i="1"/>
  <c r="F959" i="1"/>
  <c r="D959" i="1"/>
  <c r="G958" i="1"/>
  <c r="F958" i="1"/>
  <c r="D958" i="1"/>
  <c r="G957" i="1"/>
  <c r="F957" i="1"/>
  <c r="D957" i="1"/>
  <c r="H957" i="1" s="1"/>
  <c r="G956" i="1"/>
  <c r="F956" i="1"/>
  <c r="D956" i="1"/>
  <c r="G955" i="1"/>
  <c r="F955" i="1"/>
  <c r="D955" i="1"/>
  <c r="G954" i="1"/>
  <c r="F954" i="1"/>
  <c r="D954" i="1"/>
  <c r="G953" i="1"/>
  <c r="F953" i="1"/>
  <c r="D953" i="1"/>
  <c r="H953" i="1" s="1"/>
  <c r="G952" i="1"/>
  <c r="F952" i="1"/>
  <c r="D952" i="1"/>
  <c r="H951" i="1"/>
  <c r="G950" i="1"/>
  <c r="F950" i="1"/>
  <c r="D950" i="1"/>
  <c r="G949" i="1"/>
  <c r="F949" i="1"/>
  <c r="D949" i="1"/>
  <c r="G948" i="1"/>
  <c r="F948" i="1"/>
  <c r="H948" i="1" s="1"/>
  <c r="D948" i="1"/>
  <c r="G947" i="1"/>
  <c r="F947" i="1"/>
  <c r="D947" i="1"/>
  <c r="G946" i="1"/>
  <c r="F946" i="1"/>
  <c r="D946" i="1"/>
  <c r="G945" i="1"/>
  <c r="F945" i="1"/>
  <c r="D945" i="1"/>
  <c r="G944" i="1"/>
  <c r="F944" i="1"/>
  <c r="H944" i="1" s="1"/>
  <c r="D944" i="1"/>
  <c r="G943" i="1"/>
  <c r="F943" i="1"/>
  <c r="D943" i="1"/>
  <c r="G942" i="1"/>
  <c r="F942" i="1"/>
  <c r="D942" i="1"/>
  <c r="G941" i="1"/>
  <c r="F941" i="1"/>
  <c r="D941" i="1"/>
  <c r="G940" i="1"/>
  <c r="F940" i="1"/>
  <c r="H940" i="1" s="1"/>
  <c r="D940" i="1"/>
  <c r="H939" i="1"/>
  <c r="G938" i="1"/>
  <c r="F938" i="1"/>
  <c r="D938" i="1"/>
  <c r="G937" i="1"/>
  <c r="F937" i="1"/>
  <c r="D937" i="1"/>
  <c r="G936" i="1"/>
  <c r="H936" i="1" s="1"/>
  <c r="F936" i="1"/>
  <c r="D936" i="1"/>
  <c r="G935" i="1"/>
  <c r="F935" i="1"/>
  <c r="D935" i="1"/>
  <c r="G934" i="1"/>
  <c r="F934" i="1"/>
  <c r="D934" i="1"/>
  <c r="G933" i="1"/>
  <c r="F933" i="1"/>
  <c r="D933" i="1"/>
  <c r="H933" i="1" s="1"/>
  <c r="G932" i="1"/>
  <c r="F932" i="1"/>
  <c r="D932" i="1"/>
  <c r="H931" i="1"/>
  <c r="G930" i="1"/>
  <c r="F930" i="1"/>
  <c r="D930" i="1"/>
  <c r="H930" i="1" s="1"/>
  <c r="G929" i="1"/>
  <c r="F929" i="1"/>
  <c r="D929" i="1"/>
  <c r="H929" i="1" s="1"/>
  <c r="G928" i="1"/>
  <c r="F928" i="1"/>
  <c r="D928" i="1"/>
  <c r="H928" i="1" s="1"/>
  <c r="G927" i="1"/>
  <c r="F927" i="1"/>
  <c r="D927" i="1"/>
  <c r="H927" i="1" s="1"/>
  <c r="G926" i="1"/>
  <c r="F926" i="1"/>
  <c r="D926" i="1"/>
  <c r="H926" i="1" s="1"/>
  <c r="G925" i="1"/>
  <c r="F925" i="1"/>
  <c r="D925" i="1"/>
  <c r="H925" i="1" s="1"/>
  <c r="G924" i="1"/>
  <c r="F924" i="1"/>
  <c r="D924" i="1"/>
  <c r="H924" i="1" s="1"/>
  <c r="G923" i="1"/>
  <c r="F923" i="1"/>
  <c r="D923" i="1"/>
  <c r="H923" i="1" s="1"/>
  <c r="G922" i="1"/>
  <c r="F922" i="1"/>
  <c r="D922" i="1"/>
  <c r="H922" i="1" s="1"/>
  <c r="G921" i="1"/>
  <c r="F921" i="1"/>
  <c r="D921" i="1"/>
  <c r="H921" i="1" s="1"/>
  <c r="G920" i="1"/>
  <c r="F920" i="1"/>
  <c r="D920" i="1"/>
  <c r="H920" i="1" s="1"/>
  <c r="H919" i="1"/>
  <c r="G918" i="1"/>
  <c r="F918" i="1"/>
  <c r="D918" i="1"/>
  <c r="H918" i="1" s="1"/>
  <c r="G917" i="1"/>
  <c r="F917" i="1"/>
  <c r="D917" i="1"/>
  <c r="G916" i="1"/>
  <c r="F916" i="1"/>
  <c r="D916" i="1"/>
  <c r="G915" i="1"/>
  <c r="F915" i="1"/>
  <c r="D915" i="1"/>
  <c r="G914" i="1"/>
  <c r="F914" i="1"/>
  <c r="D914" i="1"/>
  <c r="H914" i="1" s="1"/>
  <c r="G913" i="1"/>
  <c r="F913" i="1"/>
  <c r="D913" i="1"/>
  <c r="G912" i="1"/>
  <c r="F912" i="1"/>
  <c r="D912" i="1"/>
  <c r="H911" i="1"/>
  <c r="G910" i="1"/>
  <c r="F910" i="1"/>
  <c r="D910" i="1"/>
  <c r="G909" i="1"/>
  <c r="F909" i="1"/>
  <c r="H909" i="1" s="1"/>
  <c r="D909" i="1"/>
  <c r="G908" i="1"/>
  <c r="F908" i="1"/>
  <c r="D908" i="1"/>
  <c r="G907" i="1"/>
  <c r="F907" i="1"/>
  <c r="D907" i="1"/>
  <c r="G906" i="1"/>
  <c r="F906" i="1"/>
  <c r="D906" i="1"/>
  <c r="G905" i="1"/>
  <c r="F905" i="1"/>
  <c r="H905" i="1" s="1"/>
  <c r="D905" i="1"/>
  <c r="G904" i="1"/>
  <c r="F904" i="1"/>
  <c r="D904" i="1"/>
  <c r="G903" i="1"/>
  <c r="F903" i="1"/>
  <c r="D903" i="1"/>
  <c r="G902" i="1"/>
  <c r="F902" i="1"/>
  <c r="D902" i="1"/>
  <c r="G901" i="1"/>
  <c r="F901" i="1"/>
  <c r="H901" i="1" s="1"/>
  <c r="D901" i="1"/>
  <c r="G900" i="1"/>
  <c r="F900" i="1"/>
  <c r="D900" i="1"/>
  <c r="H899" i="1"/>
  <c r="G898" i="1"/>
  <c r="F898" i="1"/>
  <c r="D898" i="1"/>
  <c r="G897" i="1"/>
  <c r="H897" i="1" s="1"/>
  <c r="F897" i="1"/>
  <c r="D897" i="1"/>
  <c r="G896" i="1"/>
  <c r="H896" i="1" s="1"/>
  <c r="F896" i="1"/>
  <c r="D896" i="1"/>
  <c r="G895" i="1"/>
  <c r="F895" i="1"/>
  <c r="D895" i="1"/>
  <c r="G894" i="1"/>
  <c r="F894" i="1"/>
  <c r="D894" i="1"/>
  <c r="G893" i="1"/>
  <c r="H893" i="1" s="1"/>
  <c r="F893" i="1"/>
  <c r="D893" i="1"/>
  <c r="G892" i="1"/>
  <c r="H892" i="1" s="1"/>
  <c r="F892" i="1"/>
  <c r="D892" i="1"/>
  <c r="G891" i="1"/>
  <c r="F891" i="1"/>
  <c r="D891" i="1"/>
  <c r="G890" i="1"/>
  <c r="F890" i="1"/>
  <c r="D890" i="1"/>
  <c r="G889" i="1"/>
  <c r="F889" i="1"/>
  <c r="D889" i="1"/>
  <c r="G888" i="1"/>
  <c r="F888" i="1"/>
  <c r="D888" i="1"/>
  <c r="H887" i="1"/>
  <c r="H886" i="1"/>
  <c r="G886" i="1"/>
  <c r="F886" i="1"/>
  <c r="D886" i="1"/>
  <c r="H885" i="1"/>
  <c r="G885" i="1"/>
  <c r="F885" i="1"/>
  <c r="D885" i="1"/>
  <c r="H884" i="1"/>
  <c r="G884" i="1"/>
  <c r="F884" i="1"/>
  <c r="D884" i="1"/>
  <c r="H883" i="1"/>
  <c r="G883" i="1"/>
  <c r="F883" i="1"/>
  <c r="D883" i="1"/>
  <c r="H882" i="1"/>
  <c r="G882" i="1"/>
  <c r="F882" i="1"/>
  <c r="D882" i="1"/>
  <c r="H881" i="1"/>
  <c r="G881" i="1"/>
  <c r="F881" i="1"/>
  <c r="D881" i="1"/>
  <c r="H880" i="1"/>
  <c r="G880" i="1"/>
  <c r="F880" i="1"/>
  <c r="D880" i="1"/>
  <c r="H879" i="1"/>
  <c r="G879" i="1"/>
  <c r="F879" i="1"/>
  <c r="D879" i="1"/>
  <c r="H878" i="1"/>
  <c r="G878" i="1"/>
  <c r="F878" i="1"/>
  <c r="D878" i="1"/>
  <c r="H877" i="1"/>
  <c r="G877" i="1"/>
  <c r="F877" i="1"/>
  <c r="D877" i="1"/>
  <c r="H876" i="1"/>
  <c r="G876" i="1"/>
  <c r="F876" i="1"/>
  <c r="D876" i="1"/>
  <c r="H875" i="1"/>
  <c r="G874" i="1"/>
  <c r="F874" i="1"/>
  <c r="D874" i="1"/>
  <c r="G873" i="1"/>
  <c r="F873" i="1"/>
  <c r="D873" i="1"/>
  <c r="G872" i="1"/>
  <c r="F872" i="1"/>
  <c r="D872" i="1"/>
  <c r="G871" i="1"/>
  <c r="F871" i="1"/>
  <c r="D871" i="1"/>
  <c r="H871" i="1" s="1"/>
  <c r="G870" i="1"/>
  <c r="F870" i="1"/>
  <c r="D870" i="1"/>
  <c r="G869" i="1"/>
  <c r="F869" i="1"/>
  <c r="D869" i="1"/>
  <c r="G868" i="1"/>
  <c r="F868" i="1"/>
  <c r="D868" i="1"/>
  <c r="H867" i="1"/>
  <c r="G866" i="1"/>
  <c r="F866" i="1"/>
  <c r="D866" i="1"/>
  <c r="G865" i="1"/>
  <c r="F865" i="1"/>
  <c r="D865" i="1"/>
  <c r="G864" i="1"/>
  <c r="F864" i="1"/>
  <c r="D864" i="1"/>
  <c r="G863" i="1"/>
  <c r="F863" i="1"/>
  <c r="D863" i="1"/>
  <c r="G862" i="1"/>
  <c r="F862" i="1"/>
  <c r="D862" i="1"/>
  <c r="G861" i="1"/>
  <c r="F861" i="1"/>
  <c r="D861" i="1"/>
  <c r="G860" i="1"/>
  <c r="F860" i="1"/>
  <c r="D860" i="1"/>
  <c r="G859" i="1"/>
  <c r="F859" i="1"/>
  <c r="D859" i="1"/>
  <c r="G858" i="1"/>
  <c r="F858" i="1"/>
  <c r="D858" i="1"/>
  <c r="G857" i="1"/>
  <c r="F857" i="1"/>
  <c r="D857" i="1"/>
  <c r="G856" i="1"/>
  <c r="F856" i="1"/>
  <c r="D856" i="1"/>
  <c r="H855" i="1"/>
  <c r="G854" i="1"/>
  <c r="F854" i="1"/>
  <c r="D854" i="1"/>
  <c r="G853" i="1"/>
  <c r="F853" i="1"/>
  <c r="D853" i="1"/>
  <c r="G852" i="1"/>
  <c r="F852" i="1"/>
  <c r="D852" i="1"/>
  <c r="G851" i="1"/>
  <c r="F851" i="1"/>
  <c r="D851" i="1"/>
  <c r="H851" i="1" s="1"/>
  <c r="G850" i="1"/>
  <c r="F850" i="1"/>
  <c r="D850" i="1"/>
  <c r="G849" i="1"/>
  <c r="F849" i="1"/>
  <c r="D849" i="1"/>
  <c r="G848" i="1"/>
  <c r="F848" i="1"/>
  <c r="D848" i="1"/>
  <c r="H847" i="1"/>
  <c r="G846" i="1"/>
  <c r="F846" i="1"/>
  <c r="H846" i="1" s="1"/>
  <c r="D846" i="1"/>
  <c r="G845" i="1"/>
  <c r="F845" i="1"/>
  <c r="D845" i="1"/>
  <c r="G844" i="1"/>
  <c r="F844" i="1"/>
  <c r="D844" i="1"/>
  <c r="G843" i="1"/>
  <c r="F843" i="1"/>
  <c r="D843" i="1"/>
  <c r="G842" i="1"/>
  <c r="F842" i="1"/>
  <c r="D842" i="1"/>
  <c r="G841" i="1"/>
  <c r="F841" i="1"/>
  <c r="D841" i="1"/>
  <c r="H841" i="1" s="1"/>
  <c r="G840" i="1"/>
  <c r="F840" i="1"/>
  <c r="D840" i="1"/>
  <c r="G839" i="1"/>
  <c r="F839" i="1"/>
  <c r="D839" i="1"/>
  <c r="G838" i="1"/>
  <c r="F838" i="1"/>
  <c r="D838" i="1"/>
  <c r="G837" i="1"/>
  <c r="F837" i="1"/>
  <c r="D837" i="1"/>
  <c r="H837" i="1" s="1"/>
  <c r="G836" i="1"/>
  <c r="F836" i="1"/>
  <c r="D836" i="1"/>
  <c r="H835" i="1"/>
  <c r="G834" i="1"/>
  <c r="F834" i="1"/>
  <c r="D834" i="1"/>
  <c r="G833" i="1"/>
  <c r="F833" i="1"/>
  <c r="D833" i="1"/>
  <c r="G832" i="1"/>
  <c r="F832" i="1"/>
  <c r="H832" i="1" s="1"/>
  <c r="D832" i="1"/>
  <c r="G831" i="1"/>
  <c r="F831" i="1"/>
  <c r="D831" i="1"/>
  <c r="H831" i="1" s="1"/>
  <c r="G830" i="1"/>
  <c r="F830" i="1"/>
  <c r="D830" i="1"/>
  <c r="G829" i="1"/>
  <c r="F829" i="1"/>
  <c r="D829" i="1"/>
  <c r="G828" i="1"/>
  <c r="F828" i="1"/>
  <c r="D828" i="1"/>
  <c r="H827" i="1"/>
  <c r="G826" i="1"/>
  <c r="F826" i="1"/>
  <c r="H826" i="1" s="1"/>
  <c r="D826" i="1"/>
  <c r="G825" i="1"/>
  <c r="F825" i="1"/>
  <c r="D825" i="1"/>
  <c r="G824" i="1"/>
  <c r="F824" i="1"/>
  <c r="D824" i="1"/>
  <c r="G823" i="1"/>
  <c r="F823" i="1"/>
  <c r="D823" i="1"/>
  <c r="G822" i="1"/>
  <c r="F822" i="1"/>
  <c r="H822" i="1" s="1"/>
  <c r="D822" i="1"/>
  <c r="G821" i="1"/>
  <c r="F821" i="1"/>
  <c r="D821" i="1"/>
  <c r="G820" i="1"/>
  <c r="F820" i="1"/>
  <c r="D820" i="1"/>
  <c r="G819" i="1"/>
  <c r="F819" i="1"/>
  <c r="D819" i="1"/>
  <c r="G818" i="1"/>
  <c r="F818" i="1"/>
  <c r="D818" i="1"/>
  <c r="G817" i="1"/>
  <c r="F817" i="1"/>
  <c r="D817" i="1"/>
  <c r="H817" i="1" s="1"/>
  <c r="G816" i="1"/>
  <c r="F816" i="1"/>
  <c r="D816" i="1"/>
  <c r="H815" i="1"/>
  <c r="G814" i="1"/>
  <c r="H814" i="1" s="1"/>
  <c r="F814" i="1"/>
  <c r="D814" i="1"/>
  <c r="G813" i="1"/>
  <c r="H813" i="1" s="1"/>
  <c r="F813" i="1"/>
  <c r="D813" i="1"/>
  <c r="G812" i="1"/>
  <c r="F812" i="1"/>
  <c r="D812" i="1"/>
  <c r="G811" i="1"/>
  <c r="F811" i="1"/>
  <c r="D811" i="1"/>
  <c r="G810" i="1"/>
  <c r="F810" i="1"/>
  <c r="D810" i="1"/>
  <c r="G809" i="1"/>
  <c r="F809" i="1"/>
  <c r="D809" i="1"/>
  <c r="G808" i="1"/>
  <c r="F808" i="1"/>
  <c r="D808" i="1"/>
  <c r="H807" i="1"/>
  <c r="G806" i="1"/>
  <c r="F806" i="1"/>
  <c r="H806" i="1" s="1"/>
  <c r="D806" i="1"/>
  <c r="G805" i="1"/>
  <c r="F805" i="1"/>
  <c r="H805" i="1" s="1"/>
  <c r="D805" i="1"/>
  <c r="G804" i="1"/>
  <c r="F804" i="1"/>
  <c r="D804" i="1"/>
  <c r="G803" i="1"/>
  <c r="F803" i="1"/>
  <c r="D803" i="1"/>
  <c r="G802" i="1"/>
  <c r="F802" i="1"/>
  <c r="D802" i="1"/>
  <c r="H802" i="1" s="1"/>
  <c r="G801" i="1"/>
  <c r="F801" i="1"/>
  <c r="D801" i="1"/>
  <c r="G800" i="1"/>
  <c r="F800" i="1"/>
  <c r="D800" i="1"/>
  <c r="G799" i="1"/>
  <c r="F799" i="1"/>
  <c r="D799" i="1"/>
  <c r="G798" i="1"/>
  <c r="F798" i="1"/>
  <c r="D798" i="1"/>
  <c r="H798" i="1" s="1"/>
  <c r="G797" i="1"/>
  <c r="F797" i="1"/>
  <c r="D797" i="1"/>
  <c r="G796" i="1"/>
  <c r="F796" i="1"/>
  <c r="D796" i="1"/>
  <c r="H795" i="1"/>
  <c r="G794" i="1"/>
  <c r="F794" i="1"/>
  <c r="D794" i="1"/>
  <c r="G793" i="1"/>
  <c r="F793" i="1"/>
  <c r="H793" i="1" s="1"/>
  <c r="D793" i="1"/>
  <c r="G792" i="1"/>
  <c r="F792" i="1"/>
  <c r="D792" i="1"/>
  <c r="H792" i="1" s="1"/>
  <c r="G791" i="1"/>
  <c r="F791" i="1"/>
  <c r="D791" i="1"/>
  <c r="G790" i="1"/>
  <c r="F790" i="1"/>
  <c r="D790" i="1"/>
  <c r="G789" i="1"/>
  <c r="F789" i="1"/>
  <c r="D789" i="1"/>
  <c r="G788" i="1"/>
  <c r="F788" i="1"/>
  <c r="D788" i="1"/>
  <c r="H788" i="1" s="1"/>
  <c r="H787" i="1"/>
  <c r="G786" i="1"/>
  <c r="F786" i="1"/>
  <c r="D786" i="1"/>
  <c r="G785" i="1"/>
  <c r="F785" i="1"/>
  <c r="D785" i="1"/>
  <c r="G784" i="1"/>
  <c r="F784" i="1"/>
  <c r="D784" i="1"/>
  <c r="G783" i="1"/>
  <c r="F783" i="1"/>
  <c r="D783" i="1"/>
  <c r="G782" i="1"/>
  <c r="F782" i="1"/>
  <c r="D782" i="1"/>
  <c r="H782" i="1" s="1"/>
  <c r="G781" i="1"/>
  <c r="F781" i="1"/>
  <c r="D781" i="1"/>
  <c r="G780" i="1"/>
  <c r="F780" i="1"/>
  <c r="D780" i="1"/>
  <c r="G779" i="1"/>
  <c r="F779" i="1"/>
  <c r="D779" i="1"/>
  <c r="G778" i="1"/>
  <c r="F778" i="1"/>
  <c r="D778" i="1"/>
  <c r="H778" i="1" s="1"/>
  <c r="G777" i="1"/>
  <c r="F777" i="1"/>
  <c r="D777" i="1"/>
  <c r="G776" i="1"/>
  <c r="F776" i="1"/>
  <c r="D776" i="1"/>
  <c r="H775" i="1"/>
  <c r="H774" i="1"/>
  <c r="G774" i="1"/>
  <c r="F774" i="1"/>
  <c r="D774" i="1"/>
  <c r="H773" i="1"/>
  <c r="G773" i="1"/>
  <c r="F773" i="1"/>
  <c r="D773" i="1"/>
  <c r="H772" i="1"/>
  <c r="G772" i="1"/>
  <c r="F772" i="1"/>
  <c r="D772" i="1"/>
  <c r="G771" i="1"/>
  <c r="F771" i="1"/>
  <c r="D771" i="1"/>
  <c r="G770" i="1"/>
  <c r="F770" i="1"/>
  <c r="H770" i="1" s="1"/>
  <c r="D770" i="1"/>
  <c r="G769" i="1"/>
  <c r="F769" i="1"/>
  <c r="D769" i="1"/>
  <c r="G768" i="1"/>
  <c r="F768" i="1"/>
  <c r="D768" i="1"/>
  <c r="G767" i="1"/>
  <c r="F767" i="1"/>
  <c r="D767" i="1"/>
  <c r="G766" i="1"/>
  <c r="F766" i="1"/>
  <c r="H766" i="1" s="1"/>
  <c r="D766" i="1"/>
  <c r="G765" i="1"/>
  <c r="F765" i="1"/>
  <c r="D765" i="1"/>
  <c r="H765" i="1" s="1"/>
  <c r="G764" i="1"/>
  <c r="F764" i="1"/>
  <c r="D764" i="1"/>
  <c r="H763" i="1"/>
  <c r="G762" i="1"/>
  <c r="H762" i="1" s="1"/>
  <c r="F762" i="1"/>
  <c r="D762" i="1"/>
  <c r="G761" i="1"/>
  <c r="H761" i="1" s="1"/>
  <c r="F761" i="1"/>
  <c r="D761" i="1"/>
  <c r="G760" i="1"/>
  <c r="F760" i="1"/>
  <c r="D760" i="1"/>
  <c r="G759" i="1"/>
  <c r="F759" i="1"/>
  <c r="D759" i="1"/>
  <c r="H759" i="1" s="1"/>
  <c r="G758" i="1"/>
  <c r="F758" i="1"/>
  <c r="D758" i="1"/>
  <c r="G757" i="1"/>
  <c r="F757" i="1"/>
  <c r="D757" i="1"/>
  <c r="G756" i="1"/>
  <c r="F756" i="1"/>
  <c r="D756" i="1"/>
  <c r="H755" i="1"/>
  <c r="G754" i="1"/>
  <c r="F754" i="1"/>
  <c r="H754" i="1" s="1"/>
  <c r="D754" i="1"/>
  <c r="G753" i="1"/>
  <c r="F753" i="1"/>
  <c r="D753" i="1"/>
  <c r="G752" i="1"/>
  <c r="F752" i="1"/>
  <c r="D752" i="1"/>
  <c r="G751" i="1"/>
  <c r="F751" i="1"/>
  <c r="D751" i="1"/>
  <c r="G750" i="1"/>
  <c r="F750" i="1"/>
  <c r="H750" i="1" s="1"/>
  <c r="D750" i="1"/>
  <c r="G749" i="1"/>
  <c r="F749" i="1"/>
  <c r="D749" i="1"/>
  <c r="H749" i="1" s="1"/>
  <c r="G748" i="1"/>
  <c r="F748" i="1"/>
  <c r="D748" i="1"/>
  <c r="G747" i="1"/>
  <c r="F747" i="1"/>
  <c r="D747" i="1"/>
  <c r="G746" i="1"/>
  <c r="F746" i="1"/>
  <c r="D746" i="1"/>
  <c r="G745" i="1"/>
  <c r="F745" i="1"/>
  <c r="D745" i="1"/>
  <c r="H745" i="1" s="1"/>
  <c r="G744" i="1"/>
  <c r="F744" i="1"/>
  <c r="D744" i="1"/>
  <c r="H743" i="1"/>
  <c r="G742" i="1"/>
  <c r="F742" i="1"/>
  <c r="D742" i="1"/>
  <c r="G741" i="1"/>
  <c r="F741" i="1"/>
  <c r="D741" i="1"/>
  <c r="G740" i="1"/>
  <c r="F740" i="1"/>
  <c r="D740" i="1"/>
  <c r="G739" i="1"/>
  <c r="F739" i="1"/>
  <c r="D739" i="1"/>
  <c r="H739" i="1" s="1"/>
  <c r="G738" i="1"/>
  <c r="F738" i="1"/>
  <c r="D738" i="1"/>
  <c r="G737" i="1"/>
  <c r="F737" i="1"/>
  <c r="D737" i="1"/>
  <c r="G736" i="1"/>
  <c r="F736" i="1"/>
  <c r="D736" i="1"/>
  <c r="H735" i="1"/>
  <c r="G734" i="1"/>
  <c r="F734" i="1"/>
  <c r="D734" i="1"/>
  <c r="G733" i="1"/>
  <c r="F733" i="1"/>
  <c r="D733" i="1"/>
  <c r="G732" i="1"/>
  <c r="H732" i="1" s="1"/>
  <c r="F732" i="1"/>
  <c r="D732" i="1"/>
  <c r="G731" i="1"/>
  <c r="H731" i="1" s="1"/>
  <c r="F731" i="1"/>
  <c r="D731" i="1"/>
  <c r="G730" i="1"/>
  <c r="F730" i="1"/>
  <c r="H730" i="1" s="1"/>
  <c r="D730" i="1"/>
  <c r="G729" i="1"/>
  <c r="F729" i="1"/>
  <c r="D729" i="1"/>
  <c r="G728" i="1"/>
  <c r="F728" i="1"/>
  <c r="D728" i="1"/>
  <c r="G727" i="1"/>
  <c r="F727" i="1"/>
  <c r="D727" i="1"/>
  <c r="G726" i="1"/>
  <c r="F726" i="1"/>
  <c r="D726" i="1"/>
  <c r="G725" i="1"/>
  <c r="F725" i="1"/>
  <c r="D725" i="1"/>
  <c r="H725" i="1" s="1"/>
  <c r="G724" i="1"/>
  <c r="F724" i="1"/>
  <c r="D724" i="1"/>
  <c r="H723" i="1"/>
  <c r="G722" i="1"/>
  <c r="F722" i="1"/>
  <c r="D722" i="1"/>
  <c r="H722" i="1" s="1"/>
  <c r="G721" i="1"/>
  <c r="F721" i="1"/>
  <c r="D721" i="1"/>
  <c r="H721" i="1" s="1"/>
  <c r="G720" i="1"/>
  <c r="F720" i="1"/>
  <c r="D720" i="1"/>
  <c r="G719" i="1"/>
  <c r="F719" i="1"/>
  <c r="D719" i="1"/>
  <c r="G718" i="1"/>
  <c r="F718" i="1"/>
  <c r="H718" i="1" s="1"/>
  <c r="D718" i="1"/>
  <c r="G717" i="1"/>
  <c r="F717" i="1"/>
  <c r="D717" i="1"/>
  <c r="H717" i="1" s="1"/>
  <c r="G716" i="1"/>
  <c r="F716" i="1"/>
  <c r="D716" i="1"/>
  <c r="H715" i="1"/>
  <c r="G714" i="1"/>
  <c r="F714" i="1"/>
  <c r="D714" i="1"/>
  <c r="G713" i="1"/>
  <c r="F713" i="1"/>
  <c r="D713" i="1"/>
  <c r="G712" i="1"/>
  <c r="F712" i="1"/>
  <c r="D712" i="1"/>
  <c r="G711" i="1"/>
  <c r="F711" i="1"/>
  <c r="D711" i="1"/>
  <c r="H711" i="1" s="1"/>
  <c r="G710" i="1"/>
  <c r="F710" i="1"/>
  <c r="D710" i="1"/>
  <c r="G709" i="1"/>
  <c r="F709" i="1"/>
  <c r="D709" i="1"/>
  <c r="G708" i="1"/>
  <c r="F708" i="1"/>
  <c r="D708" i="1"/>
  <c r="G707" i="1"/>
  <c r="F707" i="1"/>
  <c r="D707" i="1"/>
  <c r="H707" i="1" s="1"/>
  <c r="G706" i="1"/>
  <c r="F706" i="1"/>
  <c r="D706" i="1"/>
  <c r="G705" i="1"/>
  <c r="F705" i="1"/>
  <c r="D705" i="1"/>
  <c r="G704" i="1"/>
  <c r="F704" i="1"/>
  <c r="D704" i="1"/>
  <c r="G703" i="1"/>
  <c r="F703" i="1"/>
  <c r="D703" i="1"/>
  <c r="H703" i="1" s="1"/>
  <c r="G702" i="1"/>
  <c r="F702" i="1"/>
  <c r="D702" i="1"/>
  <c r="G701" i="1"/>
  <c r="F701" i="1"/>
  <c r="D701" i="1"/>
  <c r="G700" i="1"/>
  <c r="F700" i="1"/>
  <c r="D700" i="1"/>
  <c r="G699" i="1"/>
  <c r="F699" i="1"/>
  <c r="D699" i="1"/>
  <c r="H699" i="1" s="1"/>
  <c r="G698" i="1"/>
  <c r="F698" i="1"/>
  <c r="D698" i="1"/>
  <c r="H697" i="1"/>
  <c r="G696" i="1"/>
  <c r="F696" i="1"/>
  <c r="D696" i="1"/>
  <c r="G695" i="1"/>
  <c r="F695" i="1"/>
  <c r="D695" i="1"/>
  <c r="G694" i="1"/>
  <c r="F694" i="1"/>
  <c r="H694" i="1" s="1"/>
  <c r="D694" i="1"/>
  <c r="G693" i="1"/>
  <c r="F693" i="1"/>
  <c r="D693" i="1"/>
  <c r="G692" i="1"/>
  <c r="F692" i="1"/>
  <c r="D692" i="1"/>
  <c r="G691" i="1"/>
  <c r="F691" i="1"/>
  <c r="D691" i="1"/>
  <c r="G690" i="1"/>
  <c r="F690" i="1"/>
  <c r="H690" i="1" s="1"/>
  <c r="D690" i="1"/>
  <c r="G689" i="1"/>
  <c r="F689" i="1"/>
  <c r="D689" i="1"/>
  <c r="G688" i="1"/>
  <c r="F688" i="1"/>
  <c r="D688" i="1"/>
  <c r="G687" i="1"/>
  <c r="F687" i="1"/>
  <c r="D687" i="1"/>
  <c r="G686" i="1"/>
  <c r="F686" i="1"/>
  <c r="D686" i="1"/>
  <c r="H685" i="1"/>
  <c r="G684" i="1"/>
  <c r="F684" i="1"/>
  <c r="D684" i="1"/>
  <c r="G683" i="1"/>
  <c r="F683" i="1"/>
  <c r="D683" i="1"/>
  <c r="G682" i="1"/>
  <c r="H682" i="1" s="1"/>
  <c r="F682" i="1"/>
  <c r="D682" i="1"/>
  <c r="G681" i="1"/>
  <c r="H681" i="1" s="1"/>
  <c r="F681" i="1"/>
  <c r="D681" i="1"/>
  <c r="G680" i="1"/>
  <c r="F680" i="1"/>
  <c r="D680" i="1"/>
  <c r="G679" i="1"/>
  <c r="F679" i="1"/>
  <c r="D679" i="1"/>
  <c r="H679" i="1" s="1"/>
  <c r="G678" i="1"/>
  <c r="F678" i="1"/>
  <c r="D678" i="1"/>
  <c r="G677" i="1"/>
  <c r="F677" i="1"/>
  <c r="D677" i="1"/>
  <c r="G676" i="1"/>
  <c r="F676" i="1"/>
  <c r="D676" i="1"/>
  <c r="G675" i="1"/>
  <c r="F675" i="1"/>
  <c r="D675" i="1"/>
  <c r="H675" i="1" s="1"/>
  <c r="G674" i="1"/>
  <c r="F674" i="1"/>
  <c r="D674" i="1"/>
  <c r="H673" i="1"/>
  <c r="G672" i="1"/>
  <c r="F672" i="1"/>
  <c r="D672" i="1"/>
  <c r="H672" i="1" s="1"/>
  <c r="G671" i="1"/>
  <c r="F671" i="1"/>
  <c r="D671" i="1"/>
  <c r="H671" i="1" s="1"/>
  <c r="G670" i="1"/>
  <c r="F670" i="1"/>
  <c r="D670" i="1"/>
  <c r="H670" i="1" s="1"/>
  <c r="G669" i="1"/>
  <c r="F669" i="1"/>
  <c r="D669" i="1"/>
  <c r="H669" i="1" s="1"/>
  <c r="G668" i="1"/>
  <c r="F668" i="1"/>
  <c r="D668" i="1"/>
  <c r="H668" i="1" s="1"/>
  <c r="G667" i="1"/>
  <c r="F667" i="1"/>
  <c r="D667" i="1"/>
  <c r="H667" i="1" s="1"/>
  <c r="G666" i="1"/>
  <c r="F666" i="1"/>
  <c r="D666" i="1"/>
  <c r="H666" i="1" s="1"/>
  <c r="G665" i="1"/>
  <c r="F665" i="1"/>
  <c r="D665" i="1"/>
  <c r="H665" i="1" s="1"/>
  <c r="G664" i="1"/>
  <c r="F664" i="1"/>
  <c r="D664" i="1"/>
  <c r="H664" i="1" s="1"/>
  <c r="G663" i="1"/>
  <c r="F663" i="1"/>
  <c r="D663" i="1"/>
  <c r="H663" i="1" s="1"/>
  <c r="G662" i="1"/>
  <c r="F662" i="1"/>
  <c r="D662" i="1"/>
  <c r="H662" i="1" s="1"/>
  <c r="H661" i="1"/>
  <c r="G660" i="1"/>
  <c r="F660" i="1"/>
  <c r="D660" i="1"/>
  <c r="H660" i="1" s="1"/>
  <c r="G659" i="1"/>
  <c r="F659" i="1"/>
  <c r="D659" i="1"/>
  <c r="H659" i="1" s="1"/>
  <c r="G658" i="1"/>
  <c r="F658" i="1"/>
  <c r="D658" i="1"/>
  <c r="G657" i="1"/>
  <c r="F657" i="1"/>
  <c r="D657" i="1"/>
  <c r="G656" i="1"/>
  <c r="F656" i="1"/>
  <c r="D656" i="1"/>
  <c r="H656" i="1" s="1"/>
  <c r="G655" i="1"/>
  <c r="F655" i="1"/>
  <c r="D655" i="1"/>
  <c r="H655" i="1" s="1"/>
  <c r="G654" i="1"/>
  <c r="F654" i="1"/>
  <c r="D654" i="1"/>
  <c r="G653" i="1"/>
  <c r="F653" i="1"/>
  <c r="D653" i="1"/>
  <c r="G652" i="1"/>
  <c r="F652" i="1"/>
  <c r="D652" i="1"/>
  <c r="H652" i="1" s="1"/>
  <c r="G651" i="1"/>
  <c r="F651" i="1"/>
  <c r="D651" i="1"/>
  <c r="H651" i="1" s="1"/>
  <c r="G650" i="1"/>
  <c r="F650" i="1"/>
  <c r="D650" i="1"/>
  <c r="H649" i="1"/>
  <c r="G648" i="1"/>
  <c r="F648" i="1"/>
  <c r="D648" i="1"/>
  <c r="G647" i="1"/>
  <c r="F647" i="1"/>
  <c r="H647" i="1" s="1"/>
  <c r="D647" i="1"/>
  <c r="G646" i="1"/>
  <c r="F646" i="1"/>
  <c r="D646" i="1"/>
  <c r="G645" i="1"/>
  <c r="F645" i="1"/>
  <c r="D645" i="1"/>
  <c r="G644" i="1"/>
  <c r="F644" i="1"/>
  <c r="D644" i="1"/>
  <c r="G643" i="1"/>
  <c r="F643" i="1"/>
  <c r="H643" i="1" s="1"/>
  <c r="D643" i="1"/>
  <c r="G642" i="1"/>
  <c r="F642" i="1"/>
  <c r="D642" i="1"/>
  <c r="G641" i="1"/>
  <c r="F641" i="1"/>
  <c r="D641" i="1"/>
  <c r="H641" i="1" s="1"/>
  <c r="G640" i="1"/>
  <c r="F640" i="1"/>
  <c r="D640" i="1"/>
  <c r="G639" i="1"/>
  <c r="F639" i="1"/>
  <c r="D639" i="1"/>
  <c r="G638" i="1"/>
  <c r="F638" i="1"/>
  <c r="D638" i="1"/>
  <c r="H638" i="1" s="1"/>
  <c r="H637" i="1"/>
  <c r="G636" i="1"/>
  <c r="F636" i="1"/>
  <c r="D636" i="1"/>
  <c r="G635" i="1"/>
  <c r="F635" i="1"/>
  <c r="D635" i="1"/>
  <c r="G634" i="1"/>
  <c r="H634" i="1" s="1"/>
  <c r="F634" i="1"/>
  <c r="D634" i="1"/>
  <c r="G633" i="1"/>
  <c r="F633" i="1"/>
  <c r="D633" i="1"/>
  <c r="G632" i="1"/>
  <c r="F632" i="1"/>
  <c r="D632" i="1"/>
  <c r="G631" i="1"/>
  <c r="F631" i="1"/>
  <c r="D631" i="1"/>
  <c r="H631" i="1" s="1"/>
  <c r="G630" i="1"/>
  <c r="F630" i="1"/>
  <c r="D630" i="1"/>
  <c r="G629" i="1"/>
  <c r="F629" i="1"/>
  <c r="D629" i="1"/>
  <c r="G628" i="1"/>
  <c r="F628" i="1"/>
  <c r="D628" i="1"/>
  <c r="H628" i="1" s="1"/>
  <c r="G627" i="1"/>
  <c r="F627" i="1"/>
  <c r="D627" i="1"/>
  <c r="H627" i="1" s="1"/>
  <c r="G626" i="1"/>
  <c r="F626" i="1"/>
  <c r="D626" i="1"/>
  <c r="H625" i="1"/>
  <c r="H624" i="1"/>
  <c r="G624" i="1"/>
  <c r="F624" i="1"/>
  <c r="D624" i="1"/>
  <c r="H623" i="1"/>
  <c r="G623" i="1"/>
  <c r="F623" i="1"/>
  <c r="D623" i="1"/>
  <c r="H622" i="1"/>
  <c r="G622" i="1"/>
  <c r="F622" i="1"/>
  <c r="D622" i="1"/>
  <c r="H621" i="1"/>
  <c r="G621" i="1"/>
  <c r="F621" i="1"/>
  <c r="D621" i="1"/>
  <c r="H620" i="1"/>
  <c r="G620" i="1"/>
  <c r="F620" i="1"/>
  <c r="D620" i="1"/>
  <c r="H619" i="1"/>
  <c r="G619" i="1"/>
  <c r="F619" i="1"/>
  <c r="D619" i="1"/>
  <c r="H618" i="1"/>
  <c r="G618" i="1"/>
  <c r="F618" i="1"/>
  <c r="D618" i="1"/>
  <c r="H617" i="1"/>
  <c r="G617" i="1"/>
  <c r="F617" i="1"/>
  <c r="D617" i="1"/>
  <c r="H616" i="1"/>
  <c r="G616" i="1"/>
  <c r="F616" i="1"/>
  <c r="D616" i="1"/>
  <c r="H615" i="1"/>
  <c r="G615" i="1"/>
  <c r="F615" i="1"/>
  <c r="D615" i="1"/>
  <c r="H614" i="1"/>
  <c r="G614" i="1"/>
  <c r="F614" i="1"/>
  <c r="D614" i="1"/>
  <c r="H613" i="1"/>
  <c r="G612" i="1"/>
  <c r="F612" i="1"/>
  <c r="D612" i="1"/>
  <c r="H612" i="1" s="1"/>
  <c r="G611" i="1"/>
  <c r="F611" i="1"/>
  <c r="D611" i="1"/>
  <c r="G610" i="1"/>
  <c r="F610" i="1"/>
  <c r="D610" i="1"/>
  <c r="G609" i="1"/>
  <c r="F609" i="1"/>
  <c r="D609" i="1"/>
  <c r="H609" i="1" s="1"/>
  <c r="G608" i="1"/>
  <c r="F608" i="1"/>
  <c r="D608" i="1"/>
  <c r="H608" i="1" s="1"/>
  <c r="G607" i="1"/>
  <c r="F607" i="1"/>
  <c r="D607" i="1"/>
  <c r="G606" i="1"/>
  <c r="F606" i="1"/>
  <c r="D606" i="1"/>
  <c r="G605" i="1"/>
  <c r="F605" i="1"/>
  <c r="D605" i="1"/>
  <c r="H605" i="1" s="1"/>
  <c r="G604" i="1"/>
  <c r="F604" i="1"/>
  <c r="D604" i="1"/>
  <c r="H604" i="1" s="1"/>
  <c r="G603" i="1"/>
  <c r="F603" i="1"/>
  <c r="D603" i="1"/>
  <c r="G602" i="1"/>
  <c r="F602" i="1"/>
  <c r="D602" i="1"/>
  <c r="H601" i="1"/>
  <c r="G600" i="1"/>
  <c r="F600" i="1"/>
  <c r="H600" i="1" s="1"/>
  <c r="D600" i="1"/>
  <c r="G599" i="1"/>
  <c r="F599" i="1"/>
  <c r="D599" i="1"/>
  <c r="G598" i="1"/>
  <c r="F598" i="1"/>
  <c r="D598" i="1"/>
  <c r="G597" i="1"/>
  <c r="F597" i="1"/>
  <c r="D597" i="1"/>
  <c r="G596" i="1"/>
  <c r="F596" i="1"/>
  <c r="H596" i="1" s="1"/>
  <c r="D596" i="1"/>
  <c r="G595" i="1"/>
  <c r="F595" i="1"/>
  <c r="D595" i="1"/>
  <c r="G594" i="1"/>
  <c r="F594" i="1"/>
  <c r="D594" i="1"/>
  <c r="G593" i="1"/>
  <c r="F593" i="1"/>
  <c r="D593" i="1"/>
  <c r="G592" i="1"/>
  <c r="F592" i="1"/>
  <c r="D592" i="1"/>
  <c r="G591" i="1"/>
  <c r="F591" i="1"/>
  <c r="D591" i="1"/>
  <c r="H591" i="1" s="1"/>
  <c r="G590" i="1"/>
  <c r="F590" i="1"/>
  <c r="D590" i="1"/>
  <c r="H590" i="1" s="1"/>
  <c r="H589" i="1"/>
  <c r="G588" i="1"/>
  <c r="F588" i="1"/>
  <c r="D588" i="1"/>
  <c r="G587" i="1"/>
  <c r="H587" i="1" s="1"/>
  <c r="F587" i="1"/>
  <c r="D587" i="1"/>
  <c r="G586" i="1"/>
  <c r="F586" i="1"/>
  <c r="D586" i="1"/>
  <c r="G585" i="1"/>
  <c r="F585" i="1"/>
  <c r="D585" i="1"/>
  <c r="G584" i="1"/>
  <c r="F584" i="1"/>
  <c r="D584" i="1"/>
  <c r="G583" i="1"/>
  <c r="F583" i="1"/>
  <c r="D583" i="1"/>
  <c r="G582" i="1"/>
  <c r="F582" i="1"/>
  <c r="D582" i="1"/>
  <c r="G581" i="1"/>
  <c r="F581" i="1"/>
  <c r="D581" i="1"/>
  <c r="H581" i="1" s="1"/>
  <c r="G580" i="1"/>
  <c r="F580" i="1"/>
  <c r="D580" i="1"/>
  <c r="H580" i="1" s="1"/>
  <c r="G579" i="1"/>
  <c r="F579" i="1"/>
  <c r="D579" i="1"/>
  <c r="G578" i="1"/>
  <c r="F578" i="1"/>
  <c r="D578" i="1"/>
  <c r="H577" i="1"/>
  <c r="G576" i="1"/>
  <c r="H576" i="1" s="1"/>
  <c r="F576" i="1"/>
  <c r="D576" i="1"/>
  <c r="G575" i="1"/>
  <c r="H575" i="1" s="1"/>
  <c r="F575" i="1"/>
  <c r="D575" i="1"/>
  <c r="G574" i="1"/>
  <c r="F574" i="1"/>
  <c r="D574" i="1"/>
  <c r="H574" i="1" s="1"/>
  <c r="G573" i="1"/>
  <c r="F573" i="1"/>
  <c r="D573" i="1"/>
  <c r="H573" i="1" s="1"/>
  <c r="G572" i="1"/>
  <c r="F572" i="1"/>
  <c r="D572" i="1"/>
  <c r="H572" i="1" s="1"/>
  <c r="G571" i="1"/>
  <c r="F571" i="1"/>
  <c r="D571" i="1"/>
  <c r="H571" i="1" s="1"/>
  <c r="G570" i="1"/>
  <c r="F570" i="1"/>
  <c r="D570" i="1"/>
  <c r="H570" i="1" s="1"/>
  <c r="G569" i="1"/>
  <c r="F569" i="1"/>
  <c r="D569" i="1"/>
  <c r="H569" i="1" s="1"/>
  <c r="G568" i="1"/>
  <c r="F568" i="1"/>
  <c r="D568" i="1"/>
  <c r="H568" i="1" s="1"/>
  <c r="G567" i="1"/>
  <c r="F567" i="1"/>
  <c r="D567" i="1"/>
  <c r="H567" i="1" s="1"/>
  <c r="G566" i="1"/>
  <c r="F566" i="1"/>
  <c r="D566" i="1"/>
  <c r="H566" i="1" s="1"/>
  <c r="H565" i="1"/>
  <c r="G564" i="1"/>
  <c r="F564" i="1"/>
  <c r="D564" i="1"/>
  <c r="H564" i="1" s="1"/>
  <c r="G563" i="1"/>
  <c r="F563" i="1"/>
  <c r="D563" i="1"/>
  <c r="G562" i="1"/>
  <c r="F562" i="1"/>
  <c r="D562" i="1"/>
  <c r="G561" i="1"/>
  <c r="F561" i="1"/>
  <c r="D561" i="1"/>
  <c r="G560" i="1"/>
  <c r="F560" i="1"/>
  <c r="D560" i="1"/>
  <c r="H560" i="1" s="1"/>
  <c r="G559" i="1"/>
  <c r="F559" i="1"/>
  <c r="D559" i="1"/>
  <c r="G558" i="1"/>
  <c r="F558" i="1"/>
  <c r="D558" i="1"/>
  <c r="G557" i="1"/>
  <c r="F557" i="1"/>
  <c r="D557" i="1"/>
  <c r="G556" i="1"/>
  <c r="F556" i="1"/>
  <c r="D556" i="1"/>
  <c r="H556" i="1" s="1"/>
  <c r="G555" i="1"/>
  <c r="F555" i="1"/>
  <c r="D555" i="1"/>
  <c r="G554" i="1"/>
  <c r="F554" i="1"/>
  <c r="D554" i="1"/>
  <c r="H553" i="1"/>
  <c r="G552" i="1"/>
  <c r="F552" i="1"/>
  <c r="D552" i="1"/>
  <c r="G551" i="1"/>
  <c r="F551" i="1"/>
  <c r="H551" i="1" s="1"/>
  <c r="D551" i="1"/>
  <c r="G550" i="1"/>
  <c r="F550" i="1"/>
  <c r="D550" i="1"/>
  <c r="G549" i="1"/>
  <c r="F549" i="1"/>
  <c r="H549" i="1" s="1"/>
  <c r="D549" i="1"/>
  <c r="G548" i="1"/>
  <c r="F548" i="1"/>
  <c r="D548" i="1"/>
  <c r="G547" i="1"/>
  <c r="F547" i="1"/>
  <c r="H547" i="1" s="1"/>
  <c r="D547" i="1"/>
  <c r="G546" i="1"/>
  <c r="F546" i="1"/>
  <c r="D546" i="1"/>
  <c r="G545" i="1"/>
  <c r="F545" i="1"/>
  <c r="D545" i="1"/>
  <c r="G544" i="1"/>
  <c r="F544" i="1"/>
  <c r="D544" i="1"/>
  <c r="G543" i="1"/>
  <c r="F543" i="1"/>
  <c r="D543" i="1"/>
  <c r="G542" i="1"/>
  <c r="F542" i="1"/>
  <c r="D542" i="1"/>
  <c r="H542" i="1" s="1"/>
  <c r="H541" i="1"/>
  <c r="G540" i="1"/>
  <c r="F540" i="1"/>
  <c r="D540" i="1"/>
  <c r="G539" i="1"/>
  <c r="F539" i="1"/>
  <c r="D539" i="1"/>
  <c r="G538" i="1"/>
  <c r="H538" i="1" s="1"/>
  <c r="F538" i="1"/>
  <c r="D538" i="1"/>
  <c r="G537" i="1"/>
  <c r="F537" i="1"/>
  <c r="H537" i="1" s="1"/>
  <c r="D537" i="1"/>
  <c r="H536" i="1"/>
  <c r="G535" i="1"/>
  <c r="F535" i="1"/>
  <c r="D535" i="1"/>
  <c r="H535" i="1" s="1"/>
  <c r="G534" i="1"/>
  <c r="F534" i="1"/>
  <c r="D534" i="1"/>
  <c r="H534" i="1" s="1"/>
  <c r="G533" i="1"/>
  <c r="F533" i="1"/>
  <c r="D533" i="1"/>
  <c r="H533" i="1" s="1"/>
  <c r="G532" i="1"/>
  <c r="F532" i="1"/>
  <c r="D532" i="1"/>
  <c r="H532" i="1" s="1"/>
  <c r="G531" i="1"/>
  <c r="F531" i="1"/>
  <c r="D531" i="1"/>
  <c r="H531" i="1" s="1"/>
  <c r="G530" i="1"/>
  <c r="F530" i="1"/>
  <c r="D530" i="1"/>
  <c r="H530" i="1" s="1"/>
  <c r="G529" i="1"/>
  <c r="F529" i="1"/>
  <c r="D529" i="1"/>
  <c r="H529" i="1" s="1"/>
  <c r="G528" i="1"/>
  <c r="F528" i="1"/>
  <c r="D528" i="1"/>
  <c r="G527" i="1"/>
  <c r="F527" i="1"/>
  <c r="D527" i="1"/>
  <c r="G526" i="1"/>
  <c r="F526" i="1"/>
  <c r="D526" i="1"/>
  <c r="G525" i="1"/>
  <c r="F525" i="1"/>
  <c r="D525" i="1"/>
  <c r="H525" i="1" s="1"/>
  <c r="H524" i="1"/>
  <c r="G523" i="1"/>
  <c r="F523" i="1"/>
  <c r="D523" i="1"/>
  <c r="H523" i="1" s="1"/>
  <c r="G522" i="1"/>
  <c r="F522" i="1"/>
  <c r="D522" i="1"/>
  <c r="G521" i="1"/>
  <c r="F521" i="1"/>
  <c r="D521" i="1"/>
  <c r="G520" i="1"/>
  <c r="F520" i="1"/>
  <c r="D520" i="1"/>
  <c r="G519" i="1"/>
  <c r="F519" i="1"/>
  <c r="D519" i="1"/>
  <c r="H519" i="1" s="1"/>
  <c r="G518" i="1"/>
  <c r="F518" i="1"/>
  <c r="D518" i="1"/>
  <c r="G517" i="1"/>
  <c r="F517" i="1"/>
  <c r="D517" i="1"/>
  <c r="G516" i="1"/>
  <c r="F516" i="1"/>
  <c r="D516" i="1"/>
  <c r="G515" i="1"/>
  <c r="F515" i="1"/>
  <c r="D515" i="1"/>
  <c r="H515" i="1" s="1"/>
  <c r="G514" i="1"/>
  <c r="F514" i="1"/>
  <c r="D514" i="1"/>
  <c r="G513" i="1"/>
  <c r="F513" i="1"/>
  <c r="D513" i="1"/>
  <c r="H512" i="1"/>
  <c r="G511" i="1"/>
  <c r="F511" i="1"/>
  <c r="D511" i="1"/>
  <c r="G510" i="1"/>
  <c r="F510" i="1"/>
  <c r="H510" i="1" s="1"/>
  <c r="D510" i="1"/>
  <c r="G509" i="1"/>
  <c r="F509" i="1"/>
  <c r="D509" i="1"/>
  <c r="G508" i="1"/>
  <c r="F508" i="1"/>
  <c r="D508" i="1"/>
  <c r="G507" i="1"/>
  <c r="F507" i="1"/>
  <c r="D507" i="1"/>
  <c r="G506" i="1"/>
  <c r="F506" i="1"/>
  <c r="D506" i="1"/>
  <c r="G505" i="1"/>
  <c r="F505" i="1"/>
  <c r="D505" i="1"/>
  <c r="H505" i="1" s="1"/>
  <c r="G504" i="1"/>
  <c r="F504" i="1"/>
  <c r="D504" i="1"/>
  <c r="G503" i="1"/>
  <c r="F503" i="1"/>
  <c r="D503" i="1"/>
  <c r="G502" i="1"/>
  <c r="F502" i="1"/>
  <c r="D502" i="1"/>
  <c r="G501" i="1"/>
  <c r="F501" i="1"/>
  <c r="D501" i="1"/>
  <c r="H501" i="1" s="1"/>
  <c r="H500" i="1"/>
  <c r="G499" i="1"/>
  <c r="F499" i="1"/>
  <c r="D499" i="1"/>
  <c r="G498" i="1"/>
  <c r="F498" i="1"/>
  <c r="D498" i="1"/>
  <c r="G497" i="1"/>
  <c r="F497" i="1"/>
  <c r="D497" i="1"/>
  <c r="G496" i="1"/>
  <c r="F496" i="1"/>
  <c r="D496" i="1"/>
  <c r="G495" i="1"/>
  <c r="F495" i="1"/>
  <c r="D495" i="1"/>
  <c r="H495" i="1" s="1"/>
  <c r="G494" i="1"/>
  <c r="F494" i="1"/>
  <c r="D494" i="1"/>
  <c r="G493" i="1"/>
  <c r="F493" i="1"/>
  <c r="D493" i="1"/>
  <c r="G492" i="1"/>
  <c r="F492" i="1"/>
  <c r="D492" i="1"/>
  <c r="G491" i="1"/>
  <c r="F491" i="1"/>
  <c r="D491" i="1"/>
  <c r="H491" i="1" s="1"/>
  <c r="G490" i="1"/>
  <c r="F490" i="1"/>
  <c r="D490" i="1"/>
  <c r="G489" i="1"/>
  <c r="F489" i="1"/>
  <c r="D489" i="1"/>
  <c r="G488" i="1"/>
  <c r="F488" i="1"/>
  <c r="D488" i="1"/>
  <c r="G487" i="1"/>
  <c r="F487" i="1"/>
  <c r="D487" i="1"/>
  <c r="H487" i="1" s="1"/>
  <c r="G486" i="1"/>
  <c r="F486" i="1"/>
  <c r="D486" i="1"/>
  <c r="G485" i="1"/>
  <c r="F485" i="1"/>
  <c r="D485" i="1"/>
  <c r="G484" i="1"/>
  <c r="F484" i="1"/>
  <c r="D484" i="1"/>
  <c r="G483" i="1"/>
  <c r="F483" i="1"/>
  <c r="D483" i="1"/>
  <c r="H483" i="1" s="1"/>
  <c r="G482" i="1"/>
  <c r="F482" i="1"/>
  <c r="D482" i="1"/>
  <c r="G481" i="1"/>
  <c r="F481" i="1"/>
  <c r="D481" i="1"/>
  <c r="G480" i="1"/>
  <c r="F480" i="1"/>
  <c r="D480" i="1"/>
  <c r="I479" i="1"/>
  <c r="G478" i="1"/>
  <c r="F478" i="1"/>
  <c r="I478" i="1" s="1"/>
  <c r="E478" i="1"/>
  <c r="G477" i="1"/>
  <c r="F477" i="1"/>
  <c r="E477" i="1"/>
  <c r="G476" i="1"/>
  <c r="F476" i="1"/>
  <c r="I476" i="1" s="1"/>
  <c r="E476" i="1"/>
  <c r="G475" i="1"/>
  <c r="F475" i="1"/>
  <c r="E475" i="1"/>
  <c r="G474" i="1"/>
  <c r="F474" i="1"/>
  <c r="I474" i="1" s="1"/>
  <c r="E474" i="1"/>
  <c r="G473" i="1"/>
  <c r="F473" i="1"/>
  <c r="E473" i="1"/>
  <c r="G472" i="1"/>
  <c r="F472" i="1"/>
  <c r="I472" i="1" s="1"/>
  <c r="E472" i="1"/>
  <c r="G471" i="1"/>
  <c r="F471" i="1"/>
  <c r="E471" i="1"/>
  <c r="G470" i="1"/>
  <c r="F470" i="1"/>
  <c r="I470" i="1" s="1"/>
  <c r="E470" i="1"/>
  <c r="G469" i="1"/>
  <c r="F469" i="1"/>
  <c r="E469" i="1"/>
  <c r="I469" i="1" s="1"/>
  <c r="G468" i="1"/>
  <c r="F468" i="1"/>
  <c r="E468" i="1"/>
  <c r="G467" i="1"/>
  <c r="F467" i="1"/>
  <c r="E467" i="1"/>
  <c r="G466" i="1"/>
  <c r="F466" i="1"/>
  <c r="E466" i="1"/>
  <c r="G465" i="1"/>
  <c r="F465" i="1"/>
  <c r="E465" i="1"/>
  <c r="I465" i="1" s="1"/>
  <c r="G464" i="1"/>
  <c r="F464" i="1"/>
  <c r="E464" i="1"/>
  <c r="G463" i="1"/>
  <c r="F463" i="1"/>
  <c r="E463" i="1"/>
  <c r="G462" i="1"/>
  <c r="F462" i="1"/>
  <c r="E462" i="1"/>
  <c r="I461" i="1"/>
  <c r="I460" i="1"/>
  <c r="I459" i="1"/>
  <c r="G459" i="1"/>
  <c r="F459" i="1"/>
  <c r="E459" i="1"/>
  <c r="I458" i="1"/>
  <c r="G458" i="1"/>
  <c r="F458" i="1"/>
  <c r="E458" i="1"/>
  <c r="I457" i="1"/>
  <c r="G457" i="1"/>
  <c r="F457" i="1"/>
  <c r="E457" i="1"/>
  <c r="G456" i="1"/>
  <c r="F456" i="1"/>
  <c r="I456" i="1" s="1"/>
  <c r="E456" i="1"/>
  <c r="G455" i="1"/>
  <c r="F455" i="1"/>
  <c r="I455" i="1" s="1"/>
  <c r="E455" i="1"/>
  <c r="G454" i="1"/>
  <c r="F454" i="1"/>
  <c r="I454" i="1" s="1"/>
  <c r="E454" i="1"/>
  <c r="G453" i="1"/>
  <c r="F453" i="1"/>
  <c r="I453" i="1" s="1"/>
  <c r="E453" i="1"/>
  <c r="G452" i="1"/>
  <c r="F452" i="1"/>
  <c r="I452" i="1" s="1"/>
  <c r="E452" i="1"/>
  <c r="G451" i="1"/>
  <c r="F451" i="1"/>
  <c r="E451" i="1"/>
  <c r="I451" i="1" s="1"/>
  <c r="G450" i="1"/>
  <c r="F450" i="1"/>
  <c r="E450" i="1"/>
  <c r="G449" i="1"/>
  <c r="F449" i="1"/>
  <c r="E449" i="1"/>
  <c r="G448" i="1"/>
  <c r="F448" i="1"/>
  <c r="E448" i="1"/>
  <c r="G447" i="1"/>
  <c r="F447" i="1"/>
  <c r="E447" i="1"/>
  <c r="I447" i="1" s="1"/>
  <c r="G446" i="1"/>
  <c r="F446" i="1"/>
  <c r="E446" i="1"/>
  <c r="G445" i="1"/>
  <c r="F445" i="1"/>
  <c r="E445" i="1"/>
  <c r="G444" i="1"/>
  <c r="F444" i="1"/>
  <c r="E444" i="1"/>
  <c r="I443" i="1"/>
  <c r="I442" i="1"/>
  <c r="I441" i="1"/>
  <c r="I440" i="1"/>
  <c r="G439" i="1"/>
  <c r="F439" i="1"/>
  <c r="E439" i="1"/>
  <c r="I439" i="1" s="1"/>
  <c r="G438" i="1"/>
  <c r="F438" i="1"/>
  <c r="E438" i="1"/>
  <c r="G437" i="1"/>
  <c r="F437" i="1"/>
  <c r="E437" i="1"/>
  <c r="G436" i="1"/>
  <c r="F436" i="1"/>
  <c r="E436" i="1"/>
  <c r="G435" i="1"/>
  <c r="F435" i="1"/>
  <c r="E435" i="1"/>
  <c r="I435" i="1" s="1"/>
  <c r="G434" i="1"/>
  <c r="F434" i="1"/>
  <c r="E434" i="1"/>
  <c r="G433" i="1"/>
  <c r="F433" i="1"/>
  <c r="E433" i="1"/>
  <c r="G432" i="1"/>
  <c r="F432" i="1"/>
  <c r="E432" i="1"/>
  <c r="G431" i="1"/>
  <c r="F431" i="1"/>
  <c r="E431" i="1"/>
  <c r="I431" i="1" s="1"/>
  <c r="G430" i="1"/>
  <c r="F430" i="1"/>
  <c r="E430" i="1"/>
  <c r="G429" i="1"/>
  <c r="F429" i="1"/>
  <c r="E429" i="1"/>
  <c r="G428" i="1"/>
  <c r="F428" i="1"/>
  <c r="E428" i="1"/>
  <c r="G427" i="1"/>
  <c r="F427" i="1"/>
  <c r="E427" i="1"/>
  <c r="I427" i="1" s="1"/>
  <c r="G426" i="1"/>
  <c r="F426" i="1"/>
  <c r="E426" i="1"/>
  <c r="G425" i="1"/>
  <c r="F425" i="1"/>
  <c r="E425" i="1"/>
  <c r="G424" i="1"/>
  <c r="F424" i="1"/>
  <c r="E424" i="1"/>
  <c r="G423" i="1"/>
  <c r="F423" i="1"/>
  <c r="E423" i="1"/>
  <c r="I423" i="1" s="1"/>
  <c r="G422" i="1"/>
  <c r="F422" i="1"/>
  <c r="E422" i="1"/>
  <c r="I421" i="1"/>
  <c r="G420" i="1"/>
  <c r="F420" i="1"/>
  <c r="I420" i="1" s="1"/>
  <c r="E420" i="1"/>
  <c r="G419" i="1"/>
  <c r="F419" i="1"/>
  <c r="E419" i="1"/>
  <c r="G418" i="1"/>
  <c r="F418" i="1"/>
  <c r="I418" i="1" s="1"/>
  <c r="E418" i="1"/>
  <c r="G417" i="1"/>
  <c r="F417" i="1"/>
  <c r="E417" i="1"/>
  <c r="G416" i="1"/>
  <c r="F416" i="1"/>
  <c r="I416" i="1" s="1"/>
  <c r="E416" i="1"/>
  <c r="G415" i="1"/>
  <c r="F415" i="1"/>
  <c r="E415" i="1"/>
  <c r="G414" i="1"/>
  <c r="F414" i="1"/>
  <c r="E414" i="1"/>
  <c r="G413" i="1"/>
  <c r="F413" i="1"/>
  <c r="E413" i="1"/>
  <c r="I413" i="1" s="1"/>
  <c r="G412" i="1"/>
  <c r="F412" i="1"/>
  <c r="E412" i="1"/>
  <c r="G411" i="1"/>
  <c r="F411" i="1"/>
  <c r="E411" i="1"/>
  <c r="G410" i="1"/>
  <c r="F410" i="1"/>
  <c r="E410" i="1"/>
  <c r="G409" i="1"/>
  <c r="F409" i="1"/>
  <c r="E409" i="1"/>
  <c r="I409" i="1" s="1"/>
  <c r="G408" i="1"/>
  <c r="F408" i="1"/>
  <c r="E408" i="1"/>
  <c r="G407" i="1"/>
  <c r="F407" i="1"/>
  <c r="E407" i="1"/>
  <c r="G406" i="1"/>
  <c r="F406" i="1"/>
  <c r="E406" i="1"/>
  <c r="G405" i="1"/>
  <c r="F405" i="1"/>
  <c r="E405" i="1"/>
  <c r="I405" i="1" s="1"/>
  <c r="G404" i="1"/>
  <c r="F404" i="1"/>
  <c r="E404" i="1"/>
  <c r="G403" i="1"/>
  <c r="F403" i="1"/>
  <c r="E403" i="1"/>
  <c r="G402" i="1"/>
  <c r="F402" i="1"/>
  <c r="E402" i="1"/>
  <c r="I401" i="1"/>
  <c r="G400" i="1"/>
  <c r="F400" i="1"/>
  <c r="I400" i="1" s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I395" i="1" s="1"/>
  <c r="G394" i="1"/>
  <c r="F394" i="1"/>
  <c r="E394" i="1"/>
  <c r="G393" i="1"/>
  <c r="F393" i="1"/>
  <c r="E393" i="1"/>
  <c r="G392" i="1"/>
  <c r="F392" i="1"/>
  <c r="E392" i="1"/>
  <c r="I391" i="1"/>
  <c r="G390" i="1"/>
  <c r="F390" i="1"/>
  <c r="E390" i="1"/>
  <c r="I390" i="1" s="1"/>
  <c r="G389" i="1"/>
  <c r="F389" i="1"/>
  <c r="E389" i="1"/>
  <c r="I389" i="1" s="1"/>
  <c r="G388" i="1"/>
  <c r="F388" i="1"/>
  <c r="E388" i="1"/>
  <c r="I388" i="1" s="1"/>
  <c r="G387" i="1"/>
  <c r="F387" i="1"/>
  <c r="E387" i="1"/>
  <c r="I387" i="1" s="1"/>
  <c r="G386" i="1"/>
  <c r="F386" i="1"/>
  <c r="E386" i="1"/>
  <c r="I386" i="1" s="1"/>
  <c r="G385" i="1"/>
  <c r="F385" i="1"/>
  <c r="E385" i="1"/>
  <c r="I385" i="1" s="1"/>
  <c r="G384" i="1"/>
  <c r="F384" i="1"/>
  <c r="E384" i="1"/>
  <c r="I384" i="1" s="1"/>
  <c r="G383" i="1"/>
  <c r="F383" i="1"/>
  <c r="E383" i="1"/>
  <c r="I383" i="1" s="1"/>
  <c r="G382" i="1"/>
  <c r="F382" i="1"/>
  <c r="E382" i="1"/>
  <c r="I382" i="1" s="1"/>
  <c r="I381" i="1"/>
  <c r="G380" i="1"/>
  <c r="F380" i="1"/>
  <c r="E380" i="1"/>
  <c r="I380" i="1" s="1"/>
  <c r="G379" i="1"/>
  <c r="F379" i="1"/>
  <c r="E379" i="1"/>
  <c r="G378" i="1"/>
  <c r="F378" i="1"/>
  <c r="E378" i="1"/>
  <c r="G377" i="1"/>
  <c r="F377" i="1"/>
  <c r="E377" i="1"/>
  <c r="G376" i="1"/>
  <c r="F376" i="1"/>
  <c r="E376" i="1"/>
  <c r="I376" i="1" s="1"/>
  <c r="G375" i="1"/>
  <c r="F375" i="1"/>
  <c r="E375" i="1"/>
  <c r="G374" i="1"/>
  <c r="F374" i="1"/>
  <c r="E374" i="1"/>
  <c r="G373" i="1"/>
  <c r="F373" i="1"/>
  <c r="E373" i="1"/>
  <c r="G372" i="1"/>
  <c r="F372" i="1"/>
  <c r="E372" i="1"/>
  <c r="I372" i="1" s="1"/>
  <c r="I371" i="1"/>
  <c r="I370" i="1"/>
  <c r="I369" i="1"/>
  <c r="I368" i="1"/>
  <c r="G368" i="1"/>
  <c r="F368" i="1"/>
  <c r="E368" i="1"/>
  <c r="I367" i="1"/>
  <c r="G367" i="1"/>
  <c r="F367" i="1"/>
  <c r="E367" i="1"/>
  <c r="G366" i="1"/>
  <c r="F366" i="1"/>
  <c r="I366" i="1" s="1"/>
  <c r="E366" i="1"/>
  <c r="G365" i="1"/>
  <c r="F365" i="1"/>
  <c r="I365" i="1" s="1"/>
  <c r="E365" i="1"/>
  <c r="G364" i="1"/>
  <c r="F364" i="1"/>
  <c r="I364" i="1" s="1"/>
  <c r="E364" i="1"/>
  <c r="G363" i="1"/>
  <c r="F363" i="1"/>
  <c r="I363" i="1" s="1"/>
  <c r="E363" i="1"/>
  <c r="G362" i="1"/>
  <c r="F362" i="1"/>
  <c r="I362" i="1" s="1"/>
  <c r="E362" i="1"/>
  <c r="G361" i="1"/>
  <c r="F361" i="1"/>
  <c r="E361" i="1"/>
  <c r="I361" i="1" s="1"/>
  <c r="I360" i="1"/>
  <c r="I359" i="1"/>
  <c r="I358" i="1"/>
  <c r="I357" i="1"/>
  <c r="G356" i="1"/>
  <c r="F356" i="1"/>
  <c r="E356" i="1"/>
  <c r="I356" i="1" s="1"/>
  <c r="I355" i="1"/>
  <c r="I354" i="1"/>
  <c r="I353" i="1"/>
  <c r="I352" i="1"/>
  <c r="G351" i="1"/>
  <c r="F351" i="1"/>
  <c r="E351" i="1"/>
  <c r="I351" i="1" s="1"/>
  <c r="G350" i="1"/>
  <c r="F350" i="1"/>
  <c r="E350" i="1"/>
  <c r="I350" i="1" s="1"/>
  <c r="G349" i="1"/>
  <c r="F349" i="1"/>
  <c r="E349" i="1"/>
  <c r="I349" i="1" s="1"/>
  <c r="G348" i="1"/>
  <c r="F348" i="1"/>
  <c r="E348" i="1"/>
  <c r="I348" i="1" s="1"/>
  <c r="G347" i="1"/>
  <c r="F347" i="1"/>
  <c r="E347" i="1"/>
  <c r="I347" i="1" s="1"/>
  <c r="G346" i="1"/>
  <c r="F346" i="1"/>
  <c r="E346" i="1"/>
  <c r="I346" i="1" s="1"/>
  <c r="G345" i="1"/>
  <c r="F345" i="1"/>
  <c r="E345" i="1"/>
  <c r="I345" i="1" s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G331" i="1"/>
  <c r="F331" i="1"/>
  <c r="E331" i="1"/>
  <c r="I331" i="1" s="1"/>
  <c r="G330" i="1"/>
  <c r="F330" i="1"/>
  <c r="E330" i="1"/>
  <c r="I330" i="1" s="1"/>
  <c r="G329" i="1"/>
  <c r="F329" i="1"/>
  <c r="E329" i="1"/>
  <c r="G328" i="1"/>
  <c r="F328" i="1"/>
  <c r="E328" i="1"/>
  <c r="G327" i="1"/>
  <c r="F327" i="1"/>
  <c r="E327" i="1"/>
  <c r="I327" i="1" s="1"/>
  <c r="G326" i="1"/>
  <c r="F326" i="1"/>
  <c r="E326" i="1"/>
  <c r="I326" i="1" s="1"/>
  <c r="G325" i="1"/>
  <c r="F325" i="1"/>
  <c r="E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G297" i="1"/>
  <c r="F297" i="1"/>
  <c r="E297" i="1"/>
  <c r="I297" i="1" s="1"/>
  <c r="G296" i="1"/>
  <c r="F296" i="1"/>
  <c r="E296" i="1"/>
  <c r="I296" i="1" s="1"/>
  <c r="G295" i="1"/>
  <c r="F295" i="1"/>
  <c r="E295" i="1"/>
  <c r="I295" i="1" s="1"/>
  <c r="G294" i="1"/>
  <c r="F294" i="1"/>
  <c r="E294" i="1"/>
  <c r="I294" i="1" s="1"/>
  <c r="G293" i="1"/>
  <c r="F293" i="1"/>
  <c r="E293" i="1"/>
  <c r="I293" i="1" s="1"/>
  <c r="G292" i="1"/>
  <c r="F292" i="1"/>
  <c r="E292" i="1"/>
  <c r="I292" i="1" s="1"/>
  <c r="G291" i="1"/>
  <c r="F291" i="1"/>
  <c r="E291" i="1"/>
  <c r="I291" i="1" s="1"/>
  <c r="I290" i="1"/>
  <c r="G289" i="1"/>
  <c r="F289" i="1"/>
  <c r="E289" i="1"/>
  <c r="G288" i="1"/>
  <c r="F288" i="1"/>
  <c r="E288" i="1"/>
  <c r="I288" i="1" s="1"/>
  <c r="G287" i="1"/>
  <c r="F287" i="1"/>
  <c r="E287" i="1"/>
  <c r="I287" i="1" s="1"/>
  <c r="G286" i="1"/>
  <c r="F286" i="1"/>
  <c r="E286" i="1"/>
  <c r="G285" i="1"/>
  <c r="F285" i="1"/>
  <c r="E285" i="1"/>
  <c r="G284" i="1"/>
  <c r="F284" i="1"/>
  <c r="E284" i="1"/>
  <c r="I284" i="1" s="1"/>
  <c r="G283" i="1"/>
  <c r="F283" i="1"/>
  <c r="E283" i="1"/>
  <c r="I283" i="1" s="1"/>
  <c r="G282" i="1"/>
  <c r="F282" i="1"/>
  <c r="E282" i="1"/>
  <c r="G281" i="1"/>
  <c r="F281" i="1"/>
  <c r="E281" i="1"/>
  <c r="G280" i="1"/>
  <c r="F280" i="1"/>
  <c r="E280" i="1"/>
  <c r="I280" i="1" s="1"/>
  <c r="H279" i="1"/>
  <c r="G278" i="1"/>
  <c r="F278" i="1"/>
  <c r="D278" i="1"/>
  <c r="G277" i="1"/>
  <c r="F277" i="1"/>
  <c r="D277" i="1"/>
  <c r="G276" i="1"/>
  <c r="F276" i="1"/>
  <c r="D276" i="1"/>
  <c r="G275" i="1"/>
  <c r="F275" i="1"/>
  <c r="H275" i="1" s="1"/>
  <c r="D275" i="1"/>
  <c r="G274" i="1"/>
  <c r="F274" i="1"/>
  <c r="D274" i="1"/>
  <c r="G273" i="1"/>
  <c r="F273" i="1"/>
  <c r="D273" i="1"/>
  <c r="H273" i="1" s="1"/>
  <c r="G272" i="1"/>
  <c r="F272" i="1"/>
  <c r="D272" i="1"/>
  <c r="G271" i="1"/>
  <c r="F271" i="1"/>
  <c r="D271" i="1"/>
  <c r="G270" i="1"/>
  <c r="F270" i="1"/>
  <c r="D270" i="1"/>
  <c r="H270" i="1" s="1"/>
  <c r="G269" i="1"/>
  <c r="F269" i="1"/>
  <c r="D269" i="1"/>
  <c r="H269" i="1" s="1"/>
  <c r="G268" i="1"/>
  <c r="F268" i="1"/>
  <c r="D268" i="1"/>
  <c r="G267" i="1"/>
  <c r="F267" i="1"/>
  <c r="D267" i="1"/>
  <c r="G266" i="1"/>
  <c r="F266" i="1"/>
  <c r="D266" i="1"/>
  <c r="H266" i="1" s="1"/>
  <c r="G265" i="1"/>
  <c r="F265" i="1"/>
  <c r="D265" i="1"/>
  <c r="H265" i="1" s="1"/>
  <c r="G264" i="1"/>
  <c r="F264" i="1"/>
  <c r="D264" i="1"/>
  <c r="G263" i="1"/>
  <c r="F263" i="1"/>
  <c r="D263" i="1"/>
  <c r="G262" i="1"/>
  <c r="F262" i="1"/>
  <c r="D262" i="1"/>
  <c r="H262" i="1" s="1"/>
  <c r="G261" i="1"/>
  <c r="F261" i="1"/>
  <c r="D261" i="1"/>
  <c r="H261" i="1" s="1"/>
  <c r="H260" i="1"/>
  <c r="G259" i="1"/>
  <c r="F259" i="1"/>
  <c r="D259" i="1"/>
  <c r="G258" i="1"/>
  <c r="F258" i="1"/>
  <c r="D258" i="1"/>
  <c r="G257" i="1"/>
  <c r="F257" i="1"/>
  <c r="H257" i="1" s="1"/>
  <c r="D257" i="1"/>
  <c r="G256" i="1"/>
  <c r="F256" i="1"/>
  <c r="D256" i="1"/>
  <c r="G255" i="1"/>
  <c r="F255" i="1"/>
  <c r="D255" i="1"/>
  <c r="G254" i="1"/>
  <c r="F254" i="1"/>
  <c r="D254" i="1"/>
  <c r="G253" i="1"/>
  <c r="F253" i="1"/>
  <c r="H253" i="1" s="1"/>
  <c r="D253" i="1"/>
  <c r="G252" i="1"/>
  <c r="F252" i="1"/>
  <c r="D252" i="1"/>
  <c r="H251" i="1"/>
  <c r="G250" i="1"/>
  <c r="F250" i="1"/>
  <c r="D250" i="1"/>
  <c r="H249" i="1"/>
  <c r="G248" i="1"/>
  <c r="F248" i="1"/>
  <c r="D248" i="1"/>
  <c r="H248" i="1" s="1"/>
  <c r="H247" i="1"/>
  <c r="G246" i="1"/>
  <c r="F246" i="1"/>
  <c r="D246" i="1"/>
  <c r="G245" i="1"/>
  <c r="F245" i="1"/>
  <c r="D245" i="1"/>
  <c r="G244" i="1"/>
  <c r="F244" i="1"/>
  <c r="D244" i="1"/>
  <c r="H244" i="1" s="1"/>
  <c r="G243" i="1"/>
  <c r="F243" i="1"/>
  <c r="D243" i="1"/>
  <c r="G242" i="1"/>
  <c r="F242" i="1"/>
  <c r="D242" i="1"/>
  <c r="G241" i="1"/>
  <c r="F241" i="1"/>
  <c r="D241" i="1"/>
  <c r="G240" i="1"/>
  <c r="F240" i="1"/>
  <c r="D240" i="1"/>
  <c r="H240" i="1" s="1"/>
  <c r="G239" i="1"/>
  <c r="F239" i="1"/>
  <c r="D239" i="1"/>
  <c r="G238" i="1"/>
  <c r="F238" i="1"/>
  <c r="D238" i="1"/>
  <c r="G237" i="1"/>
  <c r="F237" i="1"/>
  <c r="D237" i="1"/>
  <c r="G236" i="1"/>
  <c r="F236" i="1"/>
  <c r="D236" i="1"/>
  <c r="H236" i="1" s="1"/>
  <c r="H235" i="1"/>
  <c r="G234" i="1"/>
  <c r="F234" i="1"/>
  <c r="D234" i="1"/>
  <c r="H233" i="1"/>
  <c r="G232" i="1"/>
  <c r="F232" i="1"/>
  <c r="D232" i="1"/>
  <c r="H231" i="1"/>
  <c r="G230" i="1"/>
  <c r="F230" i="1"/>
  <c r="D230" i="1"/>
  <c r="H230" i="1" s="1"/>
  <c r="H229" i="1"/>
  <c r="G228" i="1"/>
  <c r="F228" i="1"/>
  <c r="D228" i="1"/>
  <c r="H228" i="1" s="1"/>
  <c r="G227" i="1"/>
  <c r="F227" i="1"/>
  <c r="D227" i="1"/>
  <c r="G226" i="1"/>
  <c r="F226" i="1"/>
  <c r="D226" i="1"/>
  <c r="G225" i="1"/>
  <c r="F225" i="1"/>
  <c r="D225" i="1"/>
  <c r="G224" i="1"/>
  <c r="F224" i="1"/>
  <c r="D224" i="1"/>
  <c r="H224" i="1" s="1"/>
  <c r="G223" i="1"/>
  <c r="F223" i="1"/>
  <c r="D223" i="1"/>
  <c r="G222" i="1"/>
  <c r="F222" i="1"/>
  <c r="D222" i="1"/>
  <c r="G221" i="1"/>
  <c r="F221" i="1"/>
  <c r="D221" i="1"/>
  <c r="G220" i="1"/>
  <c r="F220" i="1"/>
  <c r="D220" i="1"/>
  <c r="G219" i="1"/>
  <c r="F219" i="1"/>
  <c r="D219" i="1"/>
  <c r="H219" i="1" s="1"/>
  <c r="G218" i="1"/>
  <c r="F218" i="1"/>
  <c r="D218" i="1"/>
  <c r="G217" i="1"/>
  <c r="F217" i="1"/>
  <c r="D217" i="1"/>
  <c r="G216" i="1"/>
  <c r="F216" i="1"/>
  <c r="D216" i="1"/>
  <c r="G215" i="1"/>
  <c r="F215" i="1"/>
  <c r="D215" i="1"/>
  <c r="H215" i="1" s="1"/>
  <c r="G214" i="1"/>
  <c r="F214" i="1"/>
  <c r="D214" i="1"/>
  <c r="G213" i="1"/>
  <c r="F213" i="1"/>
  <c r="D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G197" i="1"/>
  <c r="F197" i="1"/>
  <c r="D197" i="1"/>
  <c r="G196" i="1"/>
  <c r="F196" i="1"/>
  <c r="D196" i="1"/>
  <c r="G195" i="1"/>
  <c r="F195" i="1"/>
  <c r="D195" i="1"/>
  <c r="G194" i="1"/>
  <c r="F194" i="1"/>
  <c r="H194" i="1" s="1"/>
  <c r="D194" i="1"/>
  <c r="H193" i="1"/>
  <c r="G192" i="1"/>
  <c r="F192" i="1"/>
  <c r="D192" i="1"/>
  <c r="H192" i="1" s="1"/>
  <c r="G191" i="1"/>
  <c r="F191" i="1"/>
  <c r="D191" i="1"/>
  <c r="H191" i="1" s="1"/>
  <c r="G190" i="1"/>
  <c r="F190" i="1"/>
  <c r="D190" i="1"/>
  <c r="G189" i="1"/>
  <c r="F189" i="1"/>
  <c r="D189" i="1"/>
  <c r="H188" i="1"/>
  <c r="G187" i="1"/>
  <c r="F187" i="1"/>
  <c r="D187" i="1"/>
  <c r="H186" i="1"/>
  <c r="G185" i="1"/>
  <c r="F185" i="1"/>
  <c r="D185" i="1"/>
  <c r="G184" i="1"/>
  <c r="F184" i="1"/>
  <c r="D184" i="1"/>
  <c r="H184" i="1" s="1"/>
  <c r="G183" i="1"/>
  <c r="F183" i="1"/>
  <c r="D183" i="1"/>
  <c r="H183" i="1" s="1"/>
  <c r="G182" i="1"/>
  <c r="F182" i="1"/>
  <c r="D182" i="1"/>
  <c r="G181" i="1"/>
  <c r="F181" i="1"/>
  <c r="D181" i="1"/>
  <c r="G180" i="1"/>
  <c r="F180" i="1"/>
  <c r="D180" i="1"/>
  <c r="H180" i="1" s="1"/>
  <c r="G179" i="1"/>
  <c r="F179" i="1"/>
  <c r="D179" i="1"/>
  <c r="H179" i="1" s="1"/>
  <c r="G178" i="1"/>
  <c r="F178" i="1"/>
  <c r="D178" i="1"/>
  <c r="G177" i="1"/>
  <c r="F177" i="1"/>
  <c r="D177" i="1"/>
  <c r="G176" i="1"/>
  <c r="F176" i="1"/>
  <c r="D176" i="1"/>
  <c r="H176" i="1" s="1"/>
  <c r="G175" i="1"/>
  <c r="F175" i="1"/>
  <c r="D175" i="1"/>
  <c r="H175" i="1" s="1"/>
  <c r="H174" i="1"/>
  <c r="G173" i="1"/>
  <c r="F173" i="1"/>
  <c r="D173" i="1"/>
  <c r="H172" i="1"/>
  <c r="G171" i="1"/>
  <c r="F171" i="1"/>
  <c r="D171" i="1"/>
  <c r="H171" i="1" s="1"/>
  <c r="H170" i="1"/>
  <c r="H169" i="1"/>
  <c r="H168" i="1"/>
  <c r="H167" i="1"/>
  <c r="H166" i="1"/>
  <c r="G165" i="1"/>
  <c r="F165" i="1"/>
  <c r="D165" i="1"/>
  <c r="H165" i="1" s="1"/>
  <c r="G164" i="1"/>
  <c r="F164" i="1"/>
  <c r="D164" i="1"/>
  <c r="H164" i="1" s="1"/>
  <c r="G163" i="1"/>
  <c r="F163" i="1"/>
  <c r="D163" i="1"/>
  <c r="H163" i="1" s="1"/>
  <c r="G162" i="1"/>
  <c r="F162" i="1"/>
  <c r="D162" i="1"/>
  <c r="H162" i="1" s="1"/>
  <c r="G161" i="1"/>
  <c r="F161" i="1"/>
  <c r="D161" i="1"/>
  <c r="H161" i="1" s="1"/>
  <c r="G160" i="1"/>
  <c r="F160" i="1"/>
  <c r="D160" i="1"/>
  <c r="H160" i="1" s="1"/>
  <c r="G159" i="1"/>
  <c r="F159" i="1"/>
  <c r="D159" i="1"/>
  <c r="H159" i="1" s="1"/>
  <c r="G158" i="1"/>
  <c r="F158" i="1"/>
  <c r="D158" i="1"/>
  <c r="H158" i="1" s="1"/>
  <c r="G157" i="1"/>
  <c r="F157" i="1"/>
  <c r="D157" i="1"/>
  <c r="H157" i="1" s="1"/>
  <c r="H156" i="1"/>
  <c r="H155" i="1"/>
  <c r="H154" i="1"/>
  <c r="G153" i="1"/>
  <c r="F153" i="1"/>
  <c r="D153" i="1"/>
  <c r="G152" i="1"/>
  <c r="F152" i="1"/>
  <c r="D152" i="1"/>
  <c r="G151" i="1"/>
  <c r="F151" i="1"/>
  <c r="D151" i="1"/>
  <c r="H151" i="1" s="1"/>
  <c r="G150" i="1"/>
  <c r="F150" i="1"/>
  <c r="D150" i="1"/>
  <c r="H150" i="1" s="1"/>
  <c r="H149" i="1"/>
  <c r="G148" i="1"/>
  <c r="F148" i="1"/>
  <c r="D148" i="1"/>
  <c r="G147" i="1"/>
  <c r="F147" i="1"/>
  <c r="D147" i="1"/>
  <c r="G146" i="1"/>
  <c r="F146" i="1"/>
  <c r="H146" i="1" s="1"/>
  <c r="D146" i="1"/>
  <c r="G145" i="1"/>
  <c r="F145" i="1"/>
  <c r="D145" i="1"/>
  <c r="H144" i="1"/>
  <c r="G143" i="1"/>
  <c r="F143" i="1"/>
  <c r="D143" i="1"/>
  <c r="H143" i="1" s="1"/>
  <c r="G142" i="1"/>
  <c r="F142" i="1"/>
  <c r="D142" i="1"/>
  <c r="H142" i="1" s="1"/>
  <c r="G141" i="1"/>
  <c r="F141" i="1"/>
  <c r="D141" i="1"/>
  <c r="G140" i="1"/>
  <c r="F140" i="1"/>
  <c r="D140" i="1"/>
  <c r="G139" i="1"/>
  <c r="F139" i="1"/>
  <c r="D139" i="1"/>
  <c r="H139" i="1" s="1"/>
  <c r="G138" i="1"/>
  <c r="F138" i="1"/>
  <c r="D138" i="1"/>
  <c r="H138" i="1" s="1"/>
  <c r="G137" i="1"/>
  <c r="F137" i="1"/>
  <c r="D137" i="1"/>
  <c r="G136" i="1"/>
  <c r="F136" i="1"/>
  <c r="D136" i="1"/>
  <c r="G135" i="1"/>
  <c r="F135" i="1"/>
  <c r="D135" i="1"/>
  <c r="H135" i="1" s="1"/>
  <c r="G134" i="1"/>
  <c r="F134" i="1"/>
  <c r="D134" i="1"/>
  <c r="H134" i="1" s="1"/>
  <c r="G133" i="1"/>
  <c r="F133" i="1"/>
  <c r="D133" i="1"/>
  <c r="G132" i="1"/>
  <c r="F132" i="1"/>
  <c r="D132" i="1"/>
  <c r="G131" i="1"/>
  <c r="F131" i="1"/>
  <c r="D131" i="1"/>
  <c r="H131" i="1" s="1"/>
  <c r="G130" i="1"/>
  <c r="F130" i="1"/>
  <c r="D130" i="1"/>
  <c r="H130" i="1" s="1"/>
  <c r="G129" i="1"/>
  <c r="F129" i="1"/>
  <c r="D129" i="1"/>
  <c r="G128" i="1"/>
  <c r="F128" i="1"/>
  <c r="D128" i="1"/>
  <c r="H127" i="1"/>
  <c r="G126" i="1"/>
  <c r="F126" i="1"/>
  <c r="H126" i="1" s="1"/>
  <c r="D126" i="1"/>
  <c r="H125" i="1"/>
  <c r="H124" i="1"/>
  <c r="H123" i="1"/>
  <c r="H122" i="1"/>
  <c r="H121" i="1"/>
  <c r="H120" i="1"/>
  <c r="H119" i="1"/>
  <c r="G119" i="1"/>
  <c r="F119" i="1"/>
  <c r="D119" i="1"/>
  <c r="H118" i="1"/>
  <c r="G117" i="1"/>
  <c r="F117" i="1"/>
  <c r="D117" i="1"/>
  <c r="H117" i="1" s="1"/>
  <c r="H116" i="1"/>
  <c r="H115" i="1"/>
  <c r="H114" i="1"/>
  <c r="H113" i="1"/>
  <c r="G112" i="1"/>
  <c r="F112" i="1"/>
  <c r="D112" i="1"/>
  <c r="G111" i="1"/>
  <c r="F111" i="1"/>
  <c r="D111" i="1"/>
  <c r="G110" i="1"/>
  <c r="F110" i="1"/>
  <c r="D110" i="1"/>
  <c r="H110" i="1" s="1"/>
  <c r="G109" i="1"/>
  <c r="F109" i="1"/>
  <c r="D109" i="1"/>
  <c r="H109" i="1" s="1"/>
  <c r="G108" i="1"/>
  <c r="F108" i="1"/>
  <c r="D108" i="1"/>
  <c r="G107" i="1"/>
  <c r="F107" i="1"/>
  <c r="D107" i="1"/>
  <c r="G106" i="1"/>
  <c r="F106" i="1"/>
  <c r="D106" i="1"/>
  <c r="H106" i="1" s="1"/>
  <c r="G105" i="1"/>
  <c r="F105" i="1"/>
  <c r="D105" i="1"/>
  <c r="H105" i="1" s="1"/>
  <c r="G104" i="1"/>
  <c r="F104" i="1"/>
  <c r="D104" i="1"/>
  <c r="G103" i="1"/>
  <c r="F103" i="1"/>
  <c r="D103" i="1"/>
  <c r="G102" i="1"/>
  <c r="F102" i="1"/>
  <c r="D102" i="1"/>
  <c r="H102" i="1" s="1"/>
  <c r="H101" i="1"/>
  <c r="G100" i="1"/>
  <c r="F100" i="1"/>
  <c r="D100" i="1"/>
  <c r="H99" i="1"/>
  <c r="G98" i="1"/>
  <c r="F98" i="1"/>
  <c r="D98" i="1"/>
  <c r="H98" i="1" s="1"/>
  <c r="H97" i="1"/>
  <c r="H96" i="1"/>
  <c r="H95" i="1"/>
  <c r="H94" i="1"/>
  <c r="G93" i="1"/>
  <c r="F93" i="1"/>
  <c r="D93" i="1"/>
  <c r="H93" i="1" s="1"/>
  <c r="H92" i="1"/>
  <c r="H91" i="1"/>
  <c r="H90" i="1"/>
  <c r="H89" i="1"/>
  <c r="G88" i="1"/>
  <c r="F88" i="1"/>
  <c r="D88" i="1"/>
  <c r="G87" i="1"/>
  <c r="F87" i="1"/>
  <c r="D87" i="1"/>
  <c r="G86" i="1"/>
  <c r="F86" i="1"/>
  <c r="D86" i="1"/>
  <c r="H86" i="1" s="1"/>
  <c r="G85" i="1"/>
  <c r="F85" i="1"/>
  <c r="D85" i="1"/>
  <c r="H85" i="1" s="1"/>
  <c r="G84" i="1"/>
  <c r="F84" i="1"/>
  <c r="D84" i="1"/>
  <c r="G83" i="1"/>
  <c r="F83" i="1"/>
  <c r="D83" i="1"/>
  <c r="G82" i="1"/>
  <c r="F82" i="1"/>
  <c r="D82" i="1"/>
  <c r="H82" i="1" s="1"/>
  <c r="G81" i="1"/>
  <c r="F81" i="1"/>
  <c r="D81" i="1"/>
  <c r="H81" i="1" s="1"/>
  <c r="G80" i="1"/>
  <c r="F80" i="1"/>
  <c r="D80" i="1"/>
  <c r="G79" i="1"/>
  <c r="F79" i="1"/>
  <c r="D79" i="1"/>
  <c r="G78" i="1"/>
  <c r="F78" i="1"/>
  <c r="D78" i="1"/>
  <c r="H78" i="1" s="1"/>
  <c r="G77" i="1"/>
  <c r="F77" i="1"/>
  <c r="D77" i="1"/>
  <c r="H77" i="1" s="1"/>
  <c r="H76" i="1"/>
  <c r="G75" i="1"/>
  <c r="F75" i="1"/>
  <c r="D75" i="1"/>
  <c r="H75" i="1" s="1"/>
  <c r="G74" i="1"/>
  <c r="F74" i="1"/>
  <c r="D74" i="1"/>
  <c r="H74" i="1" s="1"/>
  <c r="G73" i="1"/>
  <c r="F73" i="1"/>
  <c r="D73" i="1"/>
  <c r="G72" i="1"/>
  <c r="F72" i="1"/>
  <c r="D72" i="1"/>
  <c r="H72" i="1" s="1"/>
  <c r="G71" i="1"/>
  <c r="F71" i="1"/>
  <c r="D71" i="1"/>
  <c r="H71" i="1" s="1"/>
  <c r="G70" i="1"/>
  <c r="F70" i="1"/>
  <c r="D70" i="1"/>
  <c r="H70" i="1" s="1"/>
  <c r="G69" i="1"/>
  <c r="F69" i="1"/>
  <c r="D69" i="1"/>
  <c r="G68" i="1"/>
  <c r="F68" i="1"/>
  <c r="D68" i="1"/>
  <c r="H68" i="1" s="1"/>
  <c r="H67" i="1"/>
  <c r="H66" i="1"/>
  <c r="H65" i="1"/>
  <c r="H64" i="1"/>
  <c r="H63" i="1"/>
  <c r="H62" i="1"/>
  <c r="H61" i="1"/>
  <c r="H60" i="1"/>
  <c r="H59" i="1"/>
  <c r="G58" i="1"/>
  <c r="F58" i="1"/>
  <c r="D58" i="1"/>
  <c r="H58" i="1" s="1"/>
  <c r="G57" i="1"/>
  <c r="F57" i="1"/>
  <c r="D57" i="1"/>
  <c r="H57" i="1" s="1"/>
  <c r="G56" i="1"/>
  <c r="F56" i="1"/>
  <c r="D56" i="1"/>
  <c r="G55" i="1"/>
  <c r="F55" i="1"/>
  <c r="D55" i="1"/>
  <c r="G54" i="1"/>
  <c r="F54" i="1"/>
  <c r="D54" i="1"/>
  <c r="H54" i="1" s="1"/>
  <c r="G53" i="1"/>
  <c r="F53" i="1"/>
  <c r="D53" i="1"/>
  <c r="H53" i="1" s="1"/>
  <c r="G52" i="1"/>
  <c r="F52" i="1"/>
  <c r="D52" i="1"/>
  <c r="G51" i="1"/>
  <c r="F51" i="1"/>
  <c r="D51" i="1"/>
  <c r="H50" i="1"/>
  <c r="G49" i="1"/>
  <c r="F49" i="1"/>
  <c r="H49" i="1" s="1"/>
  <c r="D49" i="1"/>
  <c r="G48" i="1"/>
  <c r="F48" i="1"/>
  <c r="D48" i="1"/>
  <c r="G47" i="1"/>
  <c r="F47" i="1"/>
  <c r="D47" i="1"/>
  <c r="G46" i="1"/>
  <c r="F46" i="1"/>
  <c r="D46" i="1"/>
  <c r="G45" i="1"/>
  <c r="F45" i="1"/>
  <c r="H45" i="1" s="1"/>
  <c r="D45" i="1"/>
  <c r="G44" i="1"/>
  <c r="F44" i="1"/>
  <c r="D44" i="1"/>
  <c r="G43" i="1"/>
  <c r="F43" i="1"/>
  <c r="D43" i="1"/>
  <c r="H42" i="1"/>
  <c r="H41" i="1"/>
  <c r="H40" i="1"/>
  <c r="H39" i="1"/>
  <c r="H38" i="1"/>
  <c r="H37" i="1"/>
  <c r="H36" i="1"/>
  <c r="H35" i="1"/>
  <c r="G34" i="1"/>
  <c r="F34" i="1"/>
  <c r="D34" i="1"/>
  <c r="G33" i="1"/>
  <c r="F33" i="1"/>
  <c r="H33" i="1" s="1"/>
  <c r="D33" i="1"/>
  <c r="G32" i="1"/>
  <c r="F32" i="1"/>
  <c r="D32" i="1"/>
  <c r="G31" i="1"/>
  <c r="F31" i="1"/>
  <c r="D31" i="1"/>
  <c r="G30" i="1"/>
  <c r="F30" i="1"/>
  <c r="D30" i="1"/>
  <c r="G29" i="1"/>
  <c r="F29" i="1"/>
  <c r="H29" i="1" s="1"/>
  <c r="D29" i="1"/>
  <c r="G28" i="1"/>
  <c r="F28" i="1"/>
  <c r="D28" i="1"/>
  <c r="G27" i="1"/>
  <c r="F27" i="1"/>
  <c r="D27" i="1"/>
  <c r="G26" i="1"/>
  <c r="F26" i="1"/>
  <c r="D26" i="1"/>
  <c r="H25" i="1"/>
  <c r="H24" i="1"/>
  <c r="H23" i="1"/>
  <c r="G22" i="1"/>
  <c r="F22" i="1"/>
  <c r="D22" i="1"/>
  <c r="H22" i="1" s="1"/>
  <c r="G21" i="1"/>
  <c r="F21" i="1"/>
  <c r="D21" i="1"/>
  <c r="H21" i="1" s="1"/>
  <c r="G20" i="1"/>
  <c r="F20" i="1"/>
  <c r="D20" i="1"/>
  <c r="G19" i="1"/>
  <c r="F19" i="1"/>
  <c r="D19" i="1"/>
  <c r="G18" i="1"/>
  <c r="F18" i="1"/>
  <c r="D18" i="1"/>
  <c r="H18" i="1" s="1"/>
  <c r="G17" i="1"/>
  <c r="F17" i="1"/>
  <c r="D17" i="1"/>
  <c r="H17" i="1" s="1"/>
  <c r="G16" i="1"/>
  <c r="F16" i="1"/>
  <c r="D16" i="1"/>
  <c r="G15" i="1"/>
  <c r="F15" i="1"/>
  <c r="D15" i="1"/>
  <c r="G14" i="1"/>
  <c r="F14" i="1"/>
  <c r="D14" i="1"/>
  <c r="H14" i="1" s="1"/>
  <c r="G13" i="1"/>
  <c r="F13" i="1"/>
  <c r="D13" i="1"/>
  <c r="H13" i="1" s="1"/>
  <c r="G12" i="1"/>
  <c r="F12" i="1"/>
  <c r="D12" i="1"/>
  <c r="H28" i="1" l="1"/>
  <c r="H44" i="1"/>
  <c r="H48" i="1"/>
  <c r="H12" i="1"/>
  <c r="H16" i="1"/>
  <c r="H20" i="1"/>
  <c r="H27" i="1"/>
  <c r="H32" i="1"/>
  <c r="H15" i="1"/>
  <c r="H19" i="1"/>
  <c r="H1511" i="1"/>
  <c r="B1513" i="1" s="1"/>
  <c r="H26" i="1"/>
  <c r="H30" i="1"/>
  <c r="H69" i="1"/>
  <c r="H73" i="1"/>
  <c r="H100" i="1"/>
  <c r="H145" i="1"/>
  <c r="H252" i="1"/>
  <c r="H256" i="1"/>
  <c r="H274" i="1"/>
  <c r="H278" i="1"/>
  <c r="I374" i="1"/>
  <c r="I378" i="1"/>
  <c r="I463" i="1"/>
  <c r="I467" i="1"/>
  <c r="H481" i="1"/>
  <c r="H485" i="1"/>
  <c r="H489" i="1"/>
  <c r="H493" i="1"/>
  <c r="H497" i="1"/>
  <c r="H503" i="1"/>
  <c r="H507" i="1"/>
  <c r="H513" i="1"/>
  <c r="H517" i="1"/>
  <c r="H521" i="1"/>
  <c r="H527" i="1"/>
  <c r="H579" i="1"/>
  <c r="H583" i="1"/>
  <c r="H584" i="1"/>
  <c r="H593" i="1"/>
  <c r="H594" i="1"/>
  <c r="H598" i="1"/>
  <c r="H603" i="1"/>
  <c r="H607" i="1"/>
  <c r="H611" i="1"/>
  <c r="H626" i="1"/>
  <c r="H630" i="1"/>
  <c r="H636" i="1"/>
  <c r="H640" i="1"/>
  <c r="H645" i="1"/>
  <c r="H650" i="1"/>
  <c r="H654" i="1"/>
  <c r="H658" i="1"/>
  <c r="H677" i="1"/>
  <c r="H683" i="1"/>
  <c r="H687" i="1"/>
  <c r="H692" i="1"/>
  <c r="H696" i="1"/>
  <c r="H701" i="1"/>
  <c r="H705" i="1"/>
  <c r="H709" i="1"/>
  <c r="H713" i="1"/>
  <c r="H714" i="1"/>
  <c r="H720" i="1"/>
  <c r="H727" i="1"/>
  <c r="H733" i="1"/>
  <c r="H737" i="1"/>
  <c r="H742" i="1"/>
  <c r="H747" i="1"/>
  <c r="H752" i="1"/>
  <c r="H757" i="1"/>
  <c r="H31" i="1"/>
  <c r="H43" i="1"/>
  <c r="H47" i="1"/>
  <c r="H52" i="1"/>
  <c r="H56" i="1"/>
  <c r="H80" i="1"/>
  <c r="H84" i="1"/>
  <c r="H88" i="1"/>
  <c r="H104" i="1"/>
  <c r="H108" i="1"/>
  <c r="H112" i="1"/>
  <c r="H129" i="1"/>
  <c r="H133" i="1"/>
  <c r="H137" i="1"/>
  <c r="H141" i="1"/>
  <c r="H148" i="1"/>
  <c r="H153" i="1"/>
  <c r="H173" i="1"/>
  <c r="H178" i="1"/>
  <c r="H182" i="1"/>
  <c r="H190" i="1"/>
  <c r="H197" i="1"/>
  <c r="H234" i="1"/>
  <c r="H239" i="1"/>
  <c r="H243" i="1"/>
  <c r="H250" i="1"/>
  <c r="H255" i="1"/>
  <c r="H259" i="1"/>
  <c r="H268" i="1"/>
  <c r="H272" i="1"/>
  <c r="H277" i="1"/>
  <c r="I282" i="1"/>
  <c r="I286" i="1"/>
  <c r="I1511" i="1"/>
  <c r="I325" i="1"/>
  <c r="I329" i="1"/>
  <c r="I373" i="1"/>
  <c r="I377" i="1"/>
  <c r="I394" i="1"/>
  <c r="I398" i="1"/>
  <c r="I399" i="1"/>
  <c r="I404" i="1"/>
  <c r="I408" i="1"/>
  <c r="I412" i="1"/>
  <c r="I417" i="1"/>
  <c r="I422" i="1"/>
  <c r="I426" i="1"/>
  <c r="I430" i="1"/>
  <c r="I434" i="1"/>
  <c r="I438" i="1"/>
  <c r="I446" i="1"/>
  <c r="I450" i="1"/>
  <c r="I462" i="1"/>
  <c r="I466" i="1"/>
  <c r="I471" i="1"/>
  <c r="I475" i="1"/>
  <c r="H480" i="1"/>
  <c r="H484" i="1"/>
  <c r="H488" i="1"/>
  <c r="H492" i="1"/>
  <c r="H496" i="1"/>
  <c r="H502" i="1"/>
  <c r="H506" i="1"/>
  <c r="H516" i="1"/>
  <c r="H520" i="1"/>
  <c r="H526" i="1"/>
  <c r="H545" i="1"/>
  <c r="H546" i="1"/>
  <c r="H550" i="1"/>
  <c r="H555" i="1"/>
  <c r="H559" i="1"/>
  <c r="H563" i="1"/>
  <c r="H578" i="1"/>
  <c r="H582" i="1"/>
  <c r="H588" i="1"/>
  <c r="H592" i="1"/>
  <c r="H597" i="1"/>
  <c r="H602" i="1"/>
  <c r="H606" i="1"/>
  <c r="H610" i="1"/>
  <c r="H629" i="1"/>
  <c r="H635" i="1"/>
  <c r="H639" i="1"/>
  <c r="H644" i="1"/>
  <c r="H648" i="1"/>
  <c r="H653" i="1"/>
  <c r="H657" i="1"/>
  <c r="H676" i="1"/>
  <c r="H686" i="1"/>
  <c r="H691" i="1"/>
  <c r="H695" i="1"/>
  <c r="H700" i="1"/>
  <c r="H704" i="1"/>
  <c r="H708" i="1"/>
  <c r="H712" i="1"/>
  <c r="H719" i="1"/>
  <c r="H726" i="1"/>
  <c r="H736" i="1"/>
  <c r="H740" i="1"/>
  <c r="H741" i="1"/>
  <c r="H746" i="1"/>
  <c r="H751" i="1"/>
  <c r="H756" i="1"/>
  <c r="H760" i="1"/>
  <c r="H767" i="1"/>
  <c r="H771" i="1"/>
  <c r="H779" i="1"/>
  <c r="H804" i="1"/>
  <c r="H34" i="1"/>
  <c r="H46" i="1"/>
  <c r="H51" i="1"/>
  <c r="H55" i="1"/>
  <c r="H79" i="1"/>
  <c r="H83" i="1"/>
  <c r="H87" i="1"/>
  <c r="H103" i="1"/>
  <c r="H107" i="1"/>
  <c r="H111" i="1"/>
  <c r="H128" i="1"/>
  <c r="H132" i="1"/>
  <c r="H136" i="1"/>
  <c r="H140" i="1"/>
  <c r="H147" i="1"/>
  <c r="H152" i="1"/>
  <c r="H177" i="1"/>
  <c r="H181" i="1"/>
  <c r="H185" i="1"/>
  <c r="H189" i="1"/>
  <c r="H196" i="1"/>
  <c r="H221" i="1"/>
  <c r="H225" i="1"/>
  <c r="H232" i="1"/>
  <c r="H254" i="1"/>
  <c r="H258" i="1"/>
  <c r="H276" i="1"/>
  <c r="I281" i="1"/>
  <c r="I285" i="1"/>
  <c r="I289" i="1"/>
  <c r="I328" i="1"/>
  <c r="I393" i="1"/>
  <c r="I397" i="1"/>
  <c r="I403" i="1"/>
  <c r="I407" i="1"/>
  <c r="I411" i="1"/>
  <c r="I415" i="1"/>
  <c r="I425" i="1"/>
  <c r="I429" i="1"/>
  <c r="I433" i="1"/>
  <c r="I437" i="1"/>
  <c r="I445" i="1"/>
  <c r="I449" i="1"/>
  <c r="H540" i="1"/>
  <c r="H544" i="1"/>
  <c r="H554" i="1"/>
  <c r="H558" i="1"/>
  <c r="H562" i="1"/>
  <c r="H187" i="1"/>
  <c r="H195" i="1"/>
  <c r="I375" i="1"/>
  <c r="I379" i="1"/>
  <c r="I392" i="1"/>
  <c r="I396" i="1"/>
  <c r="I402" i="1"/>
  <c r="I406" i="1"/>
  <c r="I410" i="1"/>
  <c r="I414" i="1"/>
  <c r="I419" i="1"/>
  <c r="I424" i="1"/>
  <c r="I428" i="1"/>
  <c r="I432" i="1"/>
  <c r="I436" i="1"/>
  <c r="I444" i="1"/>
  <c r="I448" i="1"/>
  <c r="I464" i="1"/>
  <c r="I468" i="1"/>
  <c r="I473" i="1"/>
  <c r="I477" i="1"/>
  <c r="H482" i="1"/>
  <c r="H486" i="1"/>
  <c r="H490" i="1"/>
  <c r="H494" i="1"/>
  <c r="H498" i="1"/>
  <c r="H499" i="1"/>
  <c r="H509" i="1"/>
  <c r="H514" i="1"/>
  <c r="H518" i="1"/>
  <c r="H528" i="1"/>
  <c r="H539" i="1"/>
  <c r="H543" i="1"/>
  <c r="H548" i="1"/>
  <c r="H552" i="1"/>
  <c r="H557" i="1"/>
  <c r="H561" i="1"/>
  <c r="H585" i="1"/>
  <c r="H586" i="1"/>
  <c r="H595" i="1"/>
  <c r="H599" i="1"/>
  <c r="H632" i="1"/>
  <c r="H633" i="1"/>
  <c r="H642" i="1"/>
  <c r="H646" i="1"/>
  <c r="H674" i="1"/>
  <c r="H678" i="1"/>
  <c r="H680" i="1"/>
  <c r="H684" i="1"/>
  <c r="H688" i="1"/>
  <c r="H689" i="1"/>
  <c r="H693" i="1"/>
  <c r="H698" i="1"/>
  <c r="H702" i="1"/>
  <c r="H706" i="1"/>
  <c r="H710" i="1"/>
  <c r="H716" i="1"/>
  <c r="H724" i="1"/>
  <c r="H728" i="1"/>
  <c r="H729" i="1"/>
  <c r="H734" i="1"/>
  <c r="H738" i="1"/>
  <c r="H744" i="1"/>
  <c r="H748" i="1"/>
  <c r="H753" i="1"/>
  <c r="H758" i="1"/>
  <c r="H764" i="1"/>
  <c r="H769" i="1"/>
  <c r="H777" i="1"/>
  <c r="H781" i="1"/>
  <c r="H786" i="1"/>
  <c r="H791" i="1"/>
  <c r="H797" i="1"/>
  <c r="H801" i="1"/>
  <c r="H811" i="1"/>
  <c r="H812" i="1"/>
  <c r="H816" i="1"/>
  <c r="H820" i="1"/>
  <c r="H821" i="1"/>
  <c r="H825" i="1"/>
  <c r="H830" i="1"/>
  <c r="H836" i="1"/>
  <c r="H840" i="1"/>
  <c r="H845" i="1"/>
  <c r="H850" i="1"/>
  <c r="H854" i="1"/>
  <c r="H857" i="1"/>
  <c r="H861" i="1"/>
  <c r="H865" i="1"/>
  <c r="H870" i="1"/>
  <c r="H874" i="1"/>
  <c r="H895" i="1"/>
  <c r="H900" i="1"/>
  <c r="H904" i="1"/>
  <c r="H908" i="1"/>
  <c r="H913" i="1"/>
  <c r="H917" i="1"/>
  <c r="H932" i="1"/>
  <c r="H938" i="1"/>
  <c r="H943" i="1"/>
  <c r="H947" i="1"/>
  <c r="H952" i="1"/>
  <c r="H956" i="1"/>
  <c r="H960" i="1"/>
  <c r="H975" i="1"/>
  <c r="H981" i="1"/>
  <c r="H986" i="1"/>
  <c r="H990" i="1"/>
  <c r="H994" i="1"/>
  <c r="H999" i="1"/>
  <c r="H1024" i="1"/>
  <c r="H1028" i="1"/>
  <c r="H1032" i="1"/>
  <c r="H1034" i="1"/>
  <c r="H1039" i="1"/>
  <c r="H1043" i="1"/>
  <c r="H1047" i="1"/>
  <c r="H1051" i="1"/>
  <c r="H1056" i="1"/>
  <c r="H1060" i="1"/>
  <c r="H1064" i="1"/>
  <c r="H1068" i="1"/>
  <c r="H1088" i="1"/>
  <c r="H1092" i="1"/>
  <c r="H1096" i="1"/>
  <c r="H1100" i="1"/>
  <c r="H1103" i="1"/>
  <c r="H1107" i="1"/>
  <c r="H1111" i="1"/>
  <c r="H1115" i="1"/>
  <c r="H1221" i="1"/>
  <c r="H768" i="1"/>
  <c r="H776" i="1"/>
  <c r="H780" i="1"/>
  <c r="H784" i="1"/>
  <c r="H785" i="1"/>
  <c r="H790" i="1"/>
  <c r="H796" i="1"/>
  <c r="H800" i="1"/>
  <c r="H810" i="1"/>
  <c r="H819" i="1"/>
  <c r="H824" i="1"/>
  <c r="H829" i="1"/>
  <c r="H834" i="1"/>
  <c r="H839" i="1"/>
  <c r="H843" i="1"/>
  <c r="H844" i="1"/>
  <c r="H849" i="1"/>
  <c r="H853" i="1"/>
  <c r="H856" i="1"/>
  <c r="H860" i="1"/>
  <c r="H864" i="1"/>
  <c r="H869" i="1"/>
  <c r="H873" i="1"/>
  <c r="H894" i="1"/>
  <c r="H898" i="1"/>
  <c r="H903" i="1"/>
  <c r="H907" i="1"/>
  <c r="H912" i="1"/>
  <c r="H916" i="1"/>
  <c r="H935" i="1"/>
  <c r="H937" i="1"/>
  <c r="H942" i="1"/>
  <c r="H946" i="1"/>
  <c r="H950" i="1"/>
  <c r="H955" i="1"/>
  <c r="H959" i="1"/>
  <c r="H974" i="1"/>
  <c r="H980" i="1"/>
  <c r="H985" i="1"/>
  <c r="H989" i="1"/>
  <c r="H993" i="1"/>
  <c r="H998" i="1"/>
  <c r="H1002" i="1"/>
  <c r="H1023" i="1"/>
  <c r="H1027" i="1"/>
  <c r="H1031" i="1"/>
  <c r="H1033" i="1"/>
  <c r="H1038" i="1"/>
  <c r="H1042" i="1"/>
  <c r="H1046" i="1"/>
  <c r="H1050" i="1"/>
  <c r="H1055" i="1"/>
  <c r="H1059" i="1"/>
  <c r="H1063" i="1"/>
  <c r="H1067" i="1"/>
  <c r="H1087" i="1"/>
  <c r="H1091" i="1"/>
  <c r="H1095" i="1"/>
  <c r="H1099" i="1"/>
  <c r="H1101" i="1"/>
  <c r="H1106" i="1"/>
  <c r="H1110" i="1"/>
  <c r="H1114" i="1"/>
  <c r="H1137" i="1"/>
  <c r="H1141" i="1"/>
  <c r="H1145" i="1"/>
  <c r="H1149" i="1"/>
  <c r="H1224" i="1"/>
  <c r="H1228" i="1"/>
  <c r="H783" i="1"/>
  <c r="H789" i="1"/>
  <c r="H794" i="1"/>
  <c r="H799" i="1"/>
  <c r="H803" i="1"/>
  <c r="H808" i="1"/>
  <c r="H809" i="1"/>
  <c r="H818" i="1"/>
  <c r="H823" i="1"/>
  <c r="H828" i="1"/>
  <c r="H833" i="1"/>
  <c r="H838" i="1"/>
  <c r="H842" i="1"/>
  <c r="H848" i="1"/>
  <c r="H852" i="1"/>
  <c r="H859" i="1"/>
  <c r="H863" i="1"/>
  <c r="H868" i="1"/>
  <c r="H872" i="1"/>
  <c r="H902" i="1"/>
  <c r="H906" i="1"/>
  <c r="H910" i="1"/>
  <c r="H915" i="1"/>
  <c r="H934" i="1"/>
  <c r="H941" i="1"/>
  <c r="H945" i="1"/>
  <c r="H949" i="1"/>
  <c r="H954" i="1"/>
  <c r="H958" i="1"/>
  <c r="H962" i="1"/>
  <c r="H973" i="1"/>
  <c r="H977" i="1"/>
  <c r="H984" i="1"/>
  <c r="H988" i="1"/>
  <c r="H992" i="1"/>
  <c r="H997" i="1"/>
  <c r="H1001" i="1"/>
  <c r="H1022" i="1"/>
  <c r="H1026" i="1"/>
  <c r="H1030" i="1"/>
  <c r="H1041" i="1"/>
  <c r="H1045" i="1"/>
  <c r="H1049" i="1"/>
  <c r="H1054" i="1"/>
  <c r="H1058" i="1"/>
  <c r="H1062" i="1"/>
  <c r="H1066" i="1"/>
  <c r="H1090" i="1"/>
  <c r="H1094" i="1"/>
  <c r="H1098" i="1"/>
  <c r="H1105" i="1"/>
  <c r="H1109" i="1"/>
  <c r="H1113" i="1"/>
  <c r="H1117" i="1"/>
  <c r="H1122" i="1"/>
  <c r="H1126" i="1"/>
  <c r="H1130" i="1"/>
  <c r="H1134" i="1"/>
  <c r="H1136" i="1"/>
  <c r="H1140" i="1"/>
  <c r="H1144" i="1"/>
  <c r="H1148" i="1"/>
  <c r="H1223" i="1"/>
  <c r="H1227" i="1"/>
  <c r="H1294" i="1"/>
  <c r="H1298" i="1"/>
  <c r="H1302" i="1"/>
  <c r="H1307" i="1"/>
  <c r="H1312" i="1"/>
  <c r="H1316" i="1"/>
  <c r="H1320" i="1"/>
  <c r="H1321" i="1"/>
  <c r="H1325" i="1"/>
  <c r="H1330" i="1"/>
  <c r="H1334" i="1"/>
  <c r="H1339" i="1"/>
  <c r="H1345" i="1"/>
  <c r="H1360" i="1"/>
  <c r="H1364" i="1"/>
  <c r="H1369" i="1"/>
  <c r="H1373" i="1"/>
  <c r="H1378" i="1"/>
  <c r="H1382" i="1"/>
  <c r="H1386" i="1"/>
  <c r="H1391" i="1"/>
  <c r="H1396" i="1"/>
  <c r="H1400" i="1"/>
  <c r="H1404" i="1"/>
  <c r="H1411" i="1"/>
  <c r="H1413" i="1"/>
  <c r="H1417" i="1"/>
  <c r="H1167" i="1"/>
  <c r="H1195" i="1"/>
  <c r="H1199" i="1"/>
  <c r="H1204" i="1"/>
  <c r="H1208" i="1"/>
  <c r="H1212" i="1"/>
  <c r="H1216" i="1"/>
  <c r="H1258" i="1"/>
  <c r="H1262" i="1"/>
  <c r="H1266" i="1"/>
  <c r="H1436" i="1"/>
  <c r="H1440" i="1"/>
  <c r="H1483" i="1"/>
  <c r="H1487" i="1"/>
  <c r="H1491" i="1"/>
  <c r="H1120" i="1"/>
  <c r="H1124" i="1"/>
  <c r="H1128" i="1"/>
  <c r="H1132" i="1"/>
  <c r="H1156" i="1"/>
  <c r="H1160" i="1"/>
  <c r="H1166" i="1"/>
  <c r="H1194" i="1"/>
  <c r="H1198" i="1"/>
  <c r="H1203" i="1"/>
  <c r="H1207" i="1"/>
  <c r="H1211" i="1"/>
  <c r="H1215" i="1"/>
  <c r="H1256" i="1"/>
  <c r="H1261" i="1"/>
  <c r="H1265" i="1"/>
  <c r="H1270" i="1"/>
  <c r="H1274" i="1"/>
  <c r="H1278" i="1"/>
  <c r="H1282" i="1"/>
  <c r="H1305" i="1"/>
  <c r="H1323" i="1"/>
  <c r="H1343" i="1"/>
  <c r="H1347" i="1"/>
  <c r="H1348" i="1"/>
  <c r="H1349" i="1"/>
  <c r="H1367" i="1"/>
  <c r="H1371" i="1"/>
  <c r="H1376" i="1"/>
  <c r="H1380" i="1"/>
  <c r="H1384" i="1"/>
  <c r="H1389" i="1"/>
  <c r="H1407" i="1"/>
  <c r="H1415" i="1"/>
  <c r="H1426" i="1"/>
  <c r="H1430" i="1"/>
  <c r="H1435" i="1"/>
  <c r="H1439" i="1"/>
  <c r="H1444" i="1"/>
  <c r="H1448" i="1"/>
  <c r="H1452" i="1"/>
  <c r="H1456" i="1"/>
  <c r="H1457" i="1"/>
  <c r="H1462" i="1"/>
  <c r="H1466" i="1"/>
  <c r="H1470" i="1"/>
  <c r="H1474" i="1"/>
  <c r="H1482" i="1"/>
  <c r="H1486" i="1"/>
  <c r="H1490" i="1"/>
  <c r="H1496" i="1"/>
  <c r="I1502" i="1"/>
  <c r="H1118" i="1"/>
  <c r="H1123" i="1"/>
  <c r="H1127" i="1"/>
  <c r="H1131" i="1"/>
  <c r="H1155" i="1"/>
  <c r="H1159" i="1"/>
  <c r="H1163" i="1"/>
  <c r="H1165" i="1"/>
  <c r="H1197" i="1"/>
  <c r="H1202" i="1"/>
  <c r="H1206" i="1"/>
  <c r="H1210" i="1"/>
  <c r="H1214" i="1"/>
  <c r="H1218" i="1"/>
  <c r="H1260" i="1"/>
  <c r="H1264" i="1"/>
  <c r="H1268" i="1"/>
  <c r="H1273" i="1"/>
  <c r="H1277" i="1"/>
  <c r="H1281" i="1"/>
  <c r="H1322" i="1"/>
  <c r="H1327" i="1"/>
  <c r="H1331" i="1"/>
  <c r="H1335" i="1"/>
  <c r="H1340" i="1"/>
  <c r="H1346" i="1"/>
  <c r="H1352" i="1"/>
  <c r="H1361" i="1"/>
  <c r="H1365" i="1"/>
  <c r="H1370" i="1"/>
  <c r="H1374" i="1"/>
  <c r="H1379" i="1"/>
  <c r="H1383" i="1"/>
  <c r="H1387" i="1"/>
  <c r="H1393" i="1"/>
  <c r="H1397" i="1"/>
  <c r="H1401" i="1"/>
  <c r="H1405" i="1"/>
  <c r="H1406" i="1"/>
  <c r="H1412" i="1"/>
  <c r="H1414" i="1"/>
  <c r="H1429" i="1"/>
  <c r="H1434" i="1"/>
  <c r="H1438" i="1"/>
  <c r="H1443" i="1"/>
  <c r="H1447" i="1"/>
  <c r="H1451" i="1"/>
  <c r="H1455" i="1"/>
  <c r="H1461" i="1"/>
  <c r="H1465" i="1"/>
  <c r="H1469" i="1"/>
  <c r="H1473" i="1"/>
  <c r="H1481" i="1"/>
  <c r="H1485" i="1"/>
  <c r="H1489" i="1"/>
  <c r="H1493" i="1"/>
  <c r="H1495" i="1"/>
  <c r="H223" i="1"/>
  <c r="H227" i="1"/>
  <c r="H238" i="1"/>
  <c r="H242" i="1"/>
  <c r="H246" i="1"/>
  <c r="H264" i="1"/>
  <c r="H214" i="1"/>
  <c r="H218" i="1"/>
  <c r="H222" i="1"/>
  <c r="H226" i="1"/>
  <c r="H237" i="1"/>
  <c r="H241" i="1"/>
  <c r="H245" i="1"/>
  <c r="H263" i="1"/>
  <c r="H267" i="1"/>
  <c r="H271" i="1"/>
  <c r="H213" i="1"/>
  <c r="H217" i="1"/>
  <c r="H216" i="1"/>
  <c r="H220" i="1"/>
  <c r="H511" i="1"/>
  <c r="H504" i="1"/>
  <c r="H508" i="1"/>
  <c r="H522" i="1"/>
  <c r="H891" i="1"/>
  <c r="H858" i="1"/>
  <c r="H862" i="1"/>
  <c r="H866" i="1"/>
  <c r="H890" i="1"/>
  <c r="H889" i="1"/>
  <c r="H888" i="1"/>
  <c r="H1170" i="1"/>
  <c r="H1174" i="1"/>
  <c r="H1178" i="1"/>
  <c r="H1182" i="1"/>
  <c r="H1238" i="1"/>
  <c r="H1242" i="1"/>
  <c r="H1246" i="1"/>
  <c r="H1250" i="1"/>
  <c r="H1296" i="1"/>
  <c r="H1300" i="1"/>
  <c r="H1169" i="1"/>
  <c r="H1173" i="1"/>
  <c r="H1177" i="1"/>
  <c r="H1181" i="1"/>
  <c r="H1237" i="1"/>
  <c r="H1241" i="1"/>
  <c r="H1245" i="1"/>
  <c r="H1249" i="1"/>
  <c r="H1255" i="1"/>
  <c r="H1295" i="1"/>
  <c r="H1299" i="1"/>
  <c r="H1303" i="1"/>
  <c r="H1304" i="1"/>
  <c r="H1308" i="1"/>
  <c r="H1313" i="1"/>
  <c r="H1317" i="1"/>
</calcChain>
</file>

<file path=xl/sharedStrings.xml><?xml version="1.0" encoding="utf-8"?>
<sst xmlns="http://schemas.openxmlformats.org/spreadsheetml/2006/main" count="4513" uniqueCount="1931">
  <si>
    <t>DEBE</t>
  </si>
  <si>
    <t>HABER</t>
  </si>
  <si>
    <t>C U E N T A</t>
  </si>
  <si>
    <t>C O N C E P T O</t>
  </si>
  <si>
    <t>SALDOS ACUMULADOS</t>
  </si>
  <si>
    <t>M O V I M I E N T O S</t>
  </si>
  <si>
    <t>SALDOS INICIALES</t>
  </si>
  <si>
    <t>H. AYUNTAMIENTO MUNICIPAL DE JOSE JOAQUIN DE HERRERA, GRO.</t>
  </si>
  <si>
    <t>TESORERIA MUNICIPAL</t>
  </si>
  <si>
    <t>GASTO CORRIENTE</t>
  </si>
  <si>
    <t/>
  </si>
  <si>
    <t xml:space="preserve">BALANZA DE COMPROBACIÓN DEL 1 DE ENERO AL 30 DE JUNIO DEL 2024 </t>
  </si>
  <si>
    <t>AL 1 DE ENERO DE 2024</t>
  </si>
  <si>
    <t>ENERO - JUNIO 2024</t>
  </si>
  <si>
    <t>AL 30 DE JUNIO DE 2024</t>
  </si>
  <si>
    <t>1</t>
  </si>
  <si>
    <t>ACTIVO</t>
  </si>
  <si>
    <t>1 1</t>
  </si>
  <si>
    <t>ACTIVO CIRCULANTE</t>
  </si>
  <si>
    <t>1 1 1</t>
  </si>
  <si>
    <t>EFECTIVO Y EQUIVALENTES</t>
  </si>
  <si>
    <t>1 1 1 2</t>
  </si>
  <si>
    <t>BANCOS/TESORERÍA</t>
  </si>
  <si>
    <t>1 1 1 2 1</t>
  </si>
  <si>
    <t>BANCOS MONEDA NACIONAL</t>
  </si>
  <si>
    <t>1 1 1 2 1 12</t>
  </si>
  <si>
    <t>GUERRERO</t>
  </si>
  <si>
    <t>1 1 1 2 1 12 31111</t>
  </si>
  <si>
    <t>ORGANO EJECUTIVO MUNICIPAL (AYUNTAMIENTO)</t>
  </si>
  <si>
    <t>1 1 1 2 1 12 31111 6</t>
  </si>
  <si>
    <t>SECTOR PÚBLICO MUNICIPAL</t>
  </si>
  <si>
    <t>1 1 1 2 1 12 31111 6 M78</t>
  </si>
  <si>
    <t>JOSÉ JOAQUÍN DE HERRERA</t>
  </si>
  <si>
    <t>1 1 1 2 1 12 31111 6 M78 00001</t>
  </si>
  <si>
    <t>1 1 1 2 1 12 31111 6 M78 00001 002</t>
  </si>
  <si>
    <t>ADMINISTRACION 2018-2021</t>
  </si>
  <si>
    <t>1 1 1 2 1 12 31111 6 M78 00001 002 001</t>
  </si>
  <si>
    <t>BANAMEX 7009 8442349 GASTO CORRIENTE</t>
  </si>
  <si>
    <t>0</t>
  </si>
  <si>
    <t>1 1 1 2 1 12 31111 6 M78 00001 002 002</t>
  </si>
  <si>
    <t>BANAMEX 7009 8442357 (GAS Y DIESEL)</t>
  </si>
  <si>
    <t>1 1 1 2 1 12 31111 6 M78 00001 002 004</t>
  </si>
  <si>
    <t>BANAMEX 9811887193 CUENTA EJE DE INVERSION EMPRESARIAL.</t>
  </si>
  <si>
    <t>1 1 2</t>
  </si>
  <si>
    <t>DERECHOS A RECIBIR EFECTIVO O EQUIVALENTES</t>
  </si>
  <si>
    <t>1 1 2 2</t>
  </si>
  <si>
    <t>CUENTAS POR COBRAR A CORTO PLAZO</t>
  </si>
  <si>
    <t>1 1 2 2 5</t>
  </si>
  <si>
    <t>CUENTAS POR COBRAR A LA FEDERACIÓN</t>
  </si>
  <si>
    <t>1 1 2 2 5 12</t>
  </si>
  <si>
    <t>1 1 2 2 5 12 31111</t>
  </si>
  <si>
    <t>1 1 2 2 5 12 31111 6</t>
  </si>
  <si>
    <t>1 1 2 2 5 12 31111 6 M78</t>
  </si>
  <si>
    <t>1 1 2 2 5 12 31111 6 M78 00001</t>
  </si>
  <si>
    <t>1 1 2 2 5 12 31111 6 M78 00001 002</t>
  </si>
  <si>
    <t>1 1 2 2 5 12 31111 6 M78 00001 002 001</t>
  </si>
  <si>
    <t>FONDO GENERAL DE PARTICIPACIONES FEDERALES</t>
  </si>
  <si>
    <t>1 1 2 2 5 12 31111 6 M78 00001 002 002</t>
  </si>
  <si>
    <t>FONDO DE FOMENTO MUNICIPAL</t>
  </si>
  <si>
    <t>1 1 2 2 5 12 31111 6 M78 00001 002 003</t>
  </si>
  <si>
    <t>SUBSIDIO PARA EL EMPLEO</t>
  </si>
  <si>
    <t>1 1 2 2 5 12 31111 6 M78 00001 002 004</t>
  </si>
  <si>
    <t>FONDO PARA LA INFRAESTRUCTURA A MUNICIPIOS</t>
  </si>
  <si>
    <t>1 1 2 2 5 12 31111 6 M78 00001 002 005</t>
  </si>
  <si>
    <t>FONDO DE APORTACIONES ESTATALES PARA LA INFRAESTRUCTURA SOCIAL MUNICIPAL</t>
  </si>
  <si>
    <t>1 1 2 2 5 12 31111 6 M78 00001 002 006</t>
  </si>
  <si>
    <t>SUBSIDIOS PARA EL EMPLEO FORTAMUN</t>
  </si>
  <si>
    <t>1 1 2 2 5 12 31111 6 M78 00001 002 007</t>
  </si>
  <si>
    <t>SUBSIDIO PARA EL MEPLEO GAASTO CORRIENTE 2024</t>
  </si>
  <si>
    <t>1 1 2 2 5 12 31111 6 M78 00001 002 008</t>
  </si>
  <si>
    <t>SUBSIDIO PARA EL MEPLEO FORTAMUN 2024</t>
  </si>
  <si>
    <t>1 1 2 2 9</t>
  </si>
  <si>
    <t>OTRAS CUENTAS POR COBRAR</t>
  </si>
  <si>
    <t>1 1 2 2 9 12</t>
  </si>
  <si>
    <t>1 1 2 2 9 12 31111</t>
  </si>
  <si>
    <t>1 1 2 2 9 12 31111 6</t>
  </si>
  <si>
    <t>1 1 2 2 9 12 31111 6 M78</t>
  </si>
  <si>
    <t>1 1 2 2 9 12 31111 6 M78 00001</t>
  </si>
  <si>
    <t>1 1 2 2 9 12 31111 6 M78 00001 002</t>
  </si>
  <si>
    <t>1 1 2 2 9 12 31111 6 M78 00001 002 001</t>
  </si>
  <si>
    <t>APORTACIONES ESTATALES EXTRAORDINARIAS</t>
  </si>
  <si>
    <t>1 1 2 3</t>
  </si>
  <si>
    <t>DEUDORES DIVERSOS POR COBRAR A CORTO PLAZO</t>
  </si>
  <si>
    <t>1 1 2 3 1</t>
  </si>
  <si>
    <t>DEUDORES DIVERSOS POR COBRAR A CP</t>
  </si>
  <si>
    <t>1 1 2 3 1 12</t>
  </si>
  <si>
    <t>1 1 2 3 1 12 31111</t>
  </si>
  <si>
    <t>1 1 2 3 1 12 31111 6</t>
  </si>
  <si>
    <t>1 1 2 3 1 12 31111 6 M78</t>
  </si>
  <si>
    <t>1 1 2 3 1 12 31111 6 M78 00001</t>
  </si>
  <si>
    <t>1 1 2 3 1 12 31111 6 M78 00001 002</t>
  </si>
  <si>
    <t>ADMINISTRACION 2018 - 2021</t>
  </si>
  <si>
    <t>1 1 2 3 1 12 31111 6 M78 00001 002 001</t>
  </si>
  <si>
    <t>ALBERTO CASTRO FLORES</t>
  </si>
  <si>
    <t>1 1 2 3 1 12 31111 6 M78 00001 002 002</t>
  </si>
  <si>
    <t>ALBERTO CASTRO FLORES (FONDO)</t>
  </si>
  <si>
    <t>1 1 2 3 1 12 31111 6 M78 00001 002 004</t>
  </si>
  <si>
    <t>SALVADOR FLORES CASTILLO</t>
  </si>
  <si>
    <t>1 1 2 3 1 12 31111 6 M78 00001 002 020</t>
  </si>
  <si>
    <t>FAISM 2021</t>
  </si>
  <si>
    <t>1 1 2 3 1 12 31111 6 M78 00001 002 021</t>
  </si>
  <si>
    <t>FORTAMUN 2022</t>
  </si>
  <si>
    <t>1 1 2 3 1 12 31111 6 M78 00001 002 024</t>
  </si>
  <si>
    <t>PATRICIA VICENTE GARCÍA</t>
  </si>
  <si>
    <t>1 1 2 3 1 12 31111 6 M78 00001 002 025</t>
  </si>
  <si>
    <t>ORQUIDIA HERNANDEZ MENDOZA</t>
  </si>
  <si>
    <t>1 1 2 3 1 12 31111 6 M78 00001 002 029</t>
  </si>
  <si>
    <t>FONSOL 2024</t>
  </si>
  <si>
    <t>1 1 2 3 1 12 31111 6 M78 00001 002 030</t>
  </si>
  <si>
    <t>FORTAMUN 2024</t>
  </si>
  <si>
    <t>1 1 2 4</t>
  </si>
  <si>
    <t>INGRESOS POR RECUPERAR A CORTO PLAZO</t>
  </si>
  <si>
    <t>1 1 2 4 4</t>
  </si>
  <si>
    <t>PRODUCTOS POR COBRAR</t>
  </si>
  <si>
    <t>1 1 2 4 4 12</t>
  </si>
  <si>
    <t>1 1 2 4 4 12 31111</t>
  </si>
  <si>
    <t>1 1 2 4 4 12 31111 6</t>
  </si>
  <si>
    <t>1 1 2 4 4 12 31111 6 M78</t>
  </si>
  <si>
    <t>1 1 2 4 4 12 31111 6 M78 00001</t>
  </si>
  <si>
    <t>1 1 2 4 4 12 31111 6 M78 00001 002</t>
  </si>
  <si>
    <t>ADMINISTRACION 2015 - 2018</t>
  </si>
  <si>
    <t>1 1 2 4 4 12 31111 6 M78 00001 002 003</t>
  </si>
  <si>
    <t>PRODUCTOS</t>
  </si>
  <si>
    <t>1 2</t>
  </si>
  <si>
    <t>ACTIVO NO CIRCULANTE</t>
  </si>
  <si>
    <t>1 2 4</t>
  </si>
  <si>
    <t>BIENES MUEBLES</t>
  </si>
  <si>
    <t>1 2 4 1</t>
  </si>
  <si>
    <t>MOBILIARIO Y EQUIPO DE ADMINISTRACIÓN</t>
  </si>
  <si>
    <t>1 2 4 1 1</t>
  </si>
  <si>
    <t>MUEBLES DE OFICINA Y ESTANTERÍA</t>
  </si>
  <si>
    <t>1 2 4 1 1 12</t>
  </si>
  <si>
    <t>1 2 4 1 1 12 31111</t>
  </si>
  <si>
    <t>1 2 4 1 1 12 31111 6</t>
  </si>
  <si>
    <t>1 2 4 1 1 12 31111 6 M78</t>
  </si>
  <si>
    <t>1 2 4 1 1 12 31111 6 M78 00000</t>
  </si>
  <si>
    <t>SIN ETIQUETA - 0 - 000</t>
  </si>
  <si>
    <t>1 2 4 1 1 12 31111 6 M78 00000 001</t>
  </si>
  <si>
    <t>1 2 4 1 1 12 31111 6 M78 00000 001 001</t>
  </si>
  <si>
    <t>ADMINISTRACION ANTERIOR</t>
  </si>
  <si>
    <t>1 2 4 1 1 12 31111 6 M78 00000 001 001 001</t>
  </si>
  <si>
    <t>1 2 4 1 1 12 31111 6 M78 00000 001 001 001 00001</t>
  </si>
  <si>
    <t>MESA EJECUTIVA COLOR VINO PARA JUNTAS</t>
  </si>
  <si>
    <t>1 2 4 1 1 12 31111 6 M78 00000 001 001 001 00002</t>
  </si>
  <si>
    <t>FRIGOBAR 4 PIES</t>
  </si>
  <si>
    <t>1 2 4 1 1 12 31111 6 M78 00000 001 001 001 00003</t>
  </si>
  <si>
    <t>CENTRO DE TRABAJO EJECUTIVO</t>
  </si>
  <si>
    <t>1 2 4 1 1 12 31111 6 M78 00000 001 001 001 00004</t>
  </si>
  <si>
    <t>MAQUINA DE ESCRIBIR ELECTRICA MARCA BROTHER</t>
  </si>
  <si>
    <t>1 2 4 1 1 12 31111 6 M78 00000 001 001 002</t>
  </si>
  <si>
    <t>TESORERIA</t>
  </si>
  <si>
    <t>1 2 4 1 1 12 31111 6 M78 00000 001 001 002 00001</t>
  </si>
  <si>
    <t>ARCHIVERO METALICO DE 4 GAVETAS</t>
  </si>
  <si>
    <t>1 2 4 1 1 12 31111 6 M78 00000 001 001 002 00002</t>
  </si>
  <si>
    <t>CAJA FUERTE DIGITAL</t>
  </si>
  <si>
    <t>1 2 4 1 1 12 31111 6 M78 00000 001 001 002 00003</t>
  </si>
  <si>
    <t>DESPACHADOR DE AGUA</t>
  </si>
  <si>
    <t>1 2 4 1 1 12 31111 6 M78 00000 001 001 002 00004</t>
  </si>
  <si>
    <t>ARCHIVERO DE 4 GAVETAS COLOR BEIGE</t>
  </si>
  <si>
    <t>1 2 4 1 1 12 31111 6 M78 00000 001 001 003</t>
  </si>
  <si>
    <t>DESARROLLO RURAL</t>
  </si>
  <si>
    <t>1 2 4 1 1 12 31111 6 M78 00000 001 001 003 00001</t>
  </si>
  <si>
    <t>1 2 4 1 1 12 31111 6 M78 00000 001 001 004</t>
  </si>
  <si>
    <t>REGISTRO CIVIL</t>
  </si>
  <si>
    <t>1 2 4 1 1 12 31111 6 M78 00000 001 001 004 00001</t>
  </si>
  <si>
    <t>ANAQUEL DE MADERA GRANDE PARA LIBROS</t>
  </si>
  <si>
    <t>1 2 4 1 1 12 31111 6 M78 07000</t>
  </si>
  <si>
    <t>1 2 4 1 1 12 31111 6 M78 07000 151</t>
  </si>
  <si>
    <t>ASUNTOS FINANCIEROS</t>
  </si>
  <si>
    <t>1 2 4 1 1 12 31111 6 M78 07000 151 00C</t>
  </si>
  <si>
    <t>PARTICIPACIONES A ENTIDADES FEDERATIVAS Y MUNICIPIOS</t>
  </si>
  <si>
    <t>1 2 4 1 1 12 31111 6 M78 07000 151 00C 002</t>
  </si>
  <si>
    <t>GASTO DE CAPITAL</t>
  </si>
  <si>
    <t>1 2 4 1 1 12 31111 6 M78 07000 151 00C 002 51101</t>
  </si>
  <si>
    <t>MOBILIARIO.</t>
  </si>
  <si>
    <t>1 2 4 1 1 12 31111 6 M78 07000 151 00C 002 51101 015</t>
  </si>
  <si>
    <t>15 - RECURSOS FEDERALES</t>
  </si>
  <si>
    <t>1 2 4 1 1 12 31111 6 M78 07000 151 00C 002 51101 015 2112000</t>
  </si>
  <si>
    <t>COMPRA DE BIENES Y SERVICIOS</t>
  </si>
  <si>
    <t>1 2 4 1 1 12 31111 6 M78 07000 151 00C 002 51101 015 2112000 2019</t>
  </si>
  <si>
    <t>EJERCICIO 2019</t>
  </si>
  <si>
    <t>1 2 4 1 1 12 31111 6 M78 07000 151 00C 002 51101 015 2112000 2019 00000000</t>
  </si>
  <si>
    <t>SIN PRIORIDAD</t>
  </si>
  <si>
    <t>1 2 4 1 1 12 31111 6 M78 07000 151 00C 002 51101 015 2112000 2019 00000000 001</t>
  </si>
  <si>
    <t>1 2 4 1 1 12 31111 6 M78 07000 151 00C 002 51101 015 2112000 2019 00000000 001 001</t>
  </si>
  <si>
    <t>AREA DE PRESIDENCIA</t>
  </si>
  <si>
    <t>1 2 4 1 1 12 31111 6 M78 07000 151 00C 002 51101 015 2112000 2019 00000000 001 001 001</t>
  </si>
  <si>
    <t>SILLA TIPO PIEL RED TOP EJECUTIVA, ALTURA AJUSTABLE</t>
  </si>
  <si>
    <t>1 2 4 1 1 12 31111 6 M78 07000 151 00C 002 51101 015 2112000 2019 00000000 001 001 002</t>
  </si>
  <si>
    <t>ESCRITORIO EJECUTIVO SUDER SELECT, CEREZO MELAMINA, 3 CAJONES.</t>
  </si>
  <si>
    <t>1 2 4 1 1 12 31111 6 M78 07000 151 00C 002 51101 015 2112000 2019 00000000 001 001 003</t>
  </si>
  <si>
    <t>CREDENZA SAUDER SELEC, CEREZO, MADERA, 7 CAJONES.</t>
  </si>
  <si>
    <t>1 2 4 1 1 12 31111 6 M78 07000 151 00C 002 51101 015 2112000 2019 00000000 001 001 004</t>
  </si>
  <si>
    <t>ORGANIZADOR SAUDER SELECT, CEREZO, MELAMINA, 3 CAJONES.</t>
  </si>
  <si>
    <t>1 2 4 1 1 12 31111 6 M78 07000 151 00C 002 51101 015 2112000 2019 00000000 001 002</t>
  </si>
  <si>
    <t>AREA DE SINDICATURA</t>
  </si>
  <si>
    <t>1 2 4 1 1 12 31111 6 M78 07000 151 00C 002 51101 015 2112000 2019 00000000 001 002 001</t>
  </si>
  <si>
    <t>SILLA EJECUTIVA SPOR ERGO, CABECERA ACOJINADA.</t>
  </si>
  <si>
    <t>1 2 4 1 1 12 31111 6 M78 07000 151 00C 002 51101 015 2112000 2019 00000000 001 007</t>
  </si>
  <si>
    <t>AREA DE TESORERIA MUNICIPAL</t>
  </si>
  <si>
    <t>1 2 4 1 1 12 31111 6 M78 07000 151 00C 002 51101 015 2112000 2019 00000000 001 007 001</t>
  </si>
  <si>
    <t>CAJA FUERTE DE 1.23 CU FT.</t>
  </si>
  <si>
    <t>1 2 4 1 1 12 31111 6 M78 07000 151 00C 002 51101 015 2112000 2019 00000000 001 007 002</t>
  </si>
  <si>
    <t>4 MESAS RECTANG DE PLASTICO</t>
  </si>
  <si>
    <t>1 2 4 1 1 12 31111 6 M78 07000 151 00C 002 51101 015 2112000 2019 00000000 001 007 003</t>
  </si>
  <si>
    <t>6 ASIENTOS PLEGABLES SILL/PLE/VIN</t>
  </si>
  <si>
    <t>1 2 4 1 1 12 31111 6 M78 07000 151 00C 002 51101 015 2112000 2019 00000000 001 007 004</t>
  </si>
  <si>
    <t>48 SILLAS TIPO PIEL RED TOP, PIEL, RESPALDO ALTO ACOLCHADO (SOPORTE LUMBAR)</t>
  </si>
  <si>
    <t>1 2 4 1 1 12 31111 6 M78 07000 151 00C 002 51101 015 2112000 2019 00000000 001 007 005</t>
  </si>
  <si>
    <t>11 ARCHIVEROS OFFICE DESING CON 4 GAVETAS.</t>
  </si>
  <si>
    <t>1 2 4 1 1 12 31111 6 M78 07000 151 00C 002 51101 015 2112000 2019 00000000 001 007 006</t>
  </si>
  <si>
    <t>20 ESCRITORIOS EN "L" RED TOP VELVET.</t>
  </si>
  <si>
    <t>1 2 4 1 1 12 31111 6 M78 07000 151 00C 002 51101 015 2112000 2019 00000000 001 014</t>
  </si>
  <si>
    <t>AREA DE SERVICIOS PUBLICOS</t>
  </si>
  <si>
    <t>1 2 4 1 1 12 31111 6 M78 07000 151 00C 002 51101 015 2112000 2019 00000000 001 014 001</t>
  </si>
  <si>
    <t>200 SILLAS PLEGABLES OFFICE DEPOT, RESPALDO MEDIO, MECANISMO PLEGABLE.</t>
  </si>
  <si>
    <t>1 2 4 1 2</t>
  </si>
  <si>
    <t>MUEBLES, EXCEPTO DE OFICINA Y ESTANTERÍA</t>
  </si>
  <si>
    <t>1 2 4 1 2 12</t>
  </si>
  <si>
    <t>1 2 4 1 2 12 31111</t>
  </si>
  <si>
    <t>1 2 4 1 2 12 31111 6</t>
  </si>
  <si>
    <t>SECTOR PUBLICO MUNICIPAL</t>
  </si>
  <si>
    <t>1 2 4 1 2 12 31111 6 M78</t>
  </si>
  <si>
    <t>JOSÈ JOAQUPIN DE HERRERA</t>
  </si>
  <si>
    <t>1 2 4 1 2 12 31111 6 M78 07000</t>
  </si>
  <si>
    <t>1 2 4 1 2 12 31111 6 M78 07000 151</t>
  </si>
  <si>
    <t>1 2 4 1 2 12 31111 6 M78 07000 151 00C</t>
  </si>
  <si>
    <t>1 2 4 1 2 12 31111 6 M78 07000 151 00C 002</t>
  </si>
  <si>
    <t>1 2 4 1 2 12 31111 6 M78 07000 151 00C 002 51201</t>
  </si>
  <si>
    <t>MUEBLES, EXCEPTO DE OFICINA Y ESTANTERIA.</t>
  </si>
  <si>
    <t>1 2 4 1 2 12 31111 6 M78 07000 151 00C 002 51201 015</t>
  </si>
  <si>
    <t>1 2 4 1 2 12 31111 6 M78 07000 151 00C 002 51201 015 2112000</t>
  </si>
  <si>
    <t>1 2 4 1 2 12 31111 6 M78 07000 151 00C 002 51201 015 2112000 2020</t>
  </si>
  <si>
    <t>EJERCICIO 2020</t>
  </si>
  <si>
    <t>1 2 4 1 2 12 31111 6 M78 07000 151 00C 002 51201 015 2112000 2020 00000000</t>
  </si>
  <si>
    <t>1 2 4 1 2 12 31111 6 M78 07000 151 00C 002 51201 015 2112000 2020 00000000 001</t>
  </si>
  <si>
    <t>1 2 4 1 2 12 31111 6 M78 07000 151 00C 002 51201 015 2112000 2020 00000000 001 012</t>
  </si>
  <si>
    <t>DIF MUNICIPAL</t>
  </si>
  <si>
    <t>1 2 4 1 2 12 31111 6 M78 07000 151 00C 002 51201 015 2112000 2020 00000000 001 012 001</t>
  </si>
  <si>
    <t>ESTUFA DE MABE EM7672MSCFX0 30</t>
  </si>
  <si>
    <t>1 2 4 1 2 12 31111 6 M78 07000 151 00C 002 51201 015 2112000 2021</t>
  </si>
  <si>
    <t>EJERCICIO 2021</t>
  </si>
  <si>
    <t>1 2 4 1 2 12 31111 6 M78 07000 151 00C 002 51201 015 2112000 2021 00000000</t>
  </si>
  <si>
    <t>1 2 4 1 2 12 31111 6 M78 07000 151 00C 002 51201 015 2112000 2021 00000000 001</t>
  </si>
  <si>
    <t>1 2 4 1 2 12 31111 6 M78 07000 151 00C 002 51201 015 2112000 2021 00000000 001 012</t>
  </si>
  <si>
    <t>1 2 4 1 2 12 31111 6 M78 07000 151 00C 002 51201 015 2112000 2021 00000000 001 012 002</t>
  </si>
  <si>
    <t>REFRIGERADOR</t>
  </si>
  <si>
    <t>1 2 4 1 2 12 31111 6 M78 07000 151 00C 002 51201 015 2112000 2024</t>
  </si>
  <si>
    <t>EJERCICIO 2024</t>
  </si>
  <si>
    <t>1 2 4 1 2 12 31111 6 M78 07000 151 00C 002 51201 015 2112000 2024 00000000</t>
  </si>
  <si>
    <t>1 2 4 1 2 12 31111 6 M78 07000 151 00C 002 51201 015 2112000 2024 00000000 001</t>
  </si>
  <si>
    <t>1 2 4 1 2 12 31111 6 M78 07000 151 00C 002 51201 015 2112000 2024 00000000 001 012</t>
  </si>
  <si>
    <t>1 2 4 1 2 12 31111 6 M78 07000 151 00C 002 51201 015 2112000 2024 00000000 001 012 003</t>
  </si>
  <si>
    <t>AIRE ACONDICIONADO MINI SPLIT MARCA MIRAGE MODELO ELF20Q COLOR BLANCO NUMERO SERIE ELF120Q7071936712</t>
  </si>
  <si>
    <t>1 2 4 1 2 12 31111 6 M78 07000 151 00C 002 51201 015 2112000 2024 00000000 001 012 004</t>
  </si>
  <si>
    <t>AIRE ACONDICIONADO MINI SPLIT MARCA MIRAGE MODELO ELF20Q COLOR BLANCO NUMERO SERIE ELF120Q707193599</t>
  </si>
  <si>
    <t>1 2 4 1 2 12 31111 6 M78 07000 151 00C 002 51201 015 2112000 2024 00000000 001 012 006</t>
  </si>
  <si>
    <t>AIRE ACONDICIONADO MINI SPLIT MARCA MIRAGE MODELO ELF20Q COLOR BLANCO NUMERO SERIE ELF120Q7071936704</t>
  </si>
  <si>
    <t>1 2 4 1 3</t>
  </si>
  <si>
    <t>EQUIPO DE CÓMPUTO Y DE TECNOLOGÍAS DE LA INFORMACIÓN</t>
  </si>
  <si>
    <t>1 2 4 1 3 12</t>
  </si>
  <si>
    <t>1 2 4 1 3 12 31111</t>
  </si>
  <si>
    <t>1 2 4 1 3 12 31111 6</t>
  </si>
  <si>
    <t>1 2 4 1 3 12 31111 6 M78</t>
  </si>
  <si>
    <t>1 2 4 1 3 12 31111 6 M78 00000</t>
  </si>
  <si>
    <t>1 2 4 1 3 12 31111 6 M78 00000 001</t>
  </si>
  <si>
    <t>BIENES INFORMATICOS</t>
  </si>
  <si>
    <t>1 2 4 1 3 12 31111 6 M78 00000 001 001</t>
  </si>
  <si>
    <t>1 2 4 1 3 12 31111 6 M78 00000 001 001 004</t>
  </si>
  <si>
    <t>1 2 4 1 3 12 31111 6 M78 00000 001 001 004 00001</t>
  </si>
  <si>
    <t>COMPUTADORA ENSAMBLADA</t>
  </si>
  <si>
    <t>1 2 4 1 3 12 31111 6 M78 00000 001 001 004 00002</t>
  </si>
  <si>
    <t>LAPTOP MOD. 245</t>
  </si>
  <si>
    <t>1 2 4 1 3 12 31111 6 M78 00000 001 001 004 00003</t>
  </si>
  <si>
    <t>1 2 4 1 3 12 31111 6 M78 00000 001 001 004 00004</t>
  </si>
  <si>
    <t>VIDEO PROYECTOR SONY</t>
  </si>
  <si>
    <t>1 2 4 1 3 12 31111 6 M78 00000 001 001 004 00005</t>
  </si>
  <si>
    <t>IMPRESORA MULTIFUNCIONAL</t>
  </si>
  <si>
    <t>1 2 4 1 3 12 31111 6 M78 00000 001 001 005</t>
  </si>
  <si>
    <t>1 2 4 1 3 12 31111 6 M78 00000 001 001 005 00001</t>
  </si>
  <si>
    <t>LAPTOP TOSHIBA PROCESADOR INTEL CORE 8 GB RAM 1TB PANTALLA TACTIL</t>
  </si>
  <si>
    <t>1 2 4 1 3 12 31111 6 M78 00000 001 001 006</t>
  </si>
  <si>
    <t>1 2 4 1 3 12 31111 6 M78 00000 001 001 006 00001</t>
  </si>
  <si>
    <t>LAPTOP DEL PROCESADOR INTEL CORE R5 PANTALLA TACTIL</t>
  </si>
  <si>
    <t>1 2 4 1 3 12 31111 6 M78 07000</t>
  </si>
  <si>
    <t>1 2 4 1 3 12 31111 6 M78 07000 151</t>
  </si>
  <si>
    <t>1 2 4 1 3 12 31111 6 M78 07000 151 00C</t>
  </si>
  <si>
    <t>1 2 4 1 3 12 31111 6 M78 07000 151 00C 002</t>
  </si>
  <si>
    <t>1 2 4 1 3 12 31111 6 M78 07000 151 00C 002 51501</t>
  </si>
  <si>
    <t>BIENES INFORMATICOS.</t>
  </si>
  <si>
    <t>1 2 4 1 3 12 31111 6 M78 07000 151 00C 002 51501 015</t>
  </si>
  <si>
    <t>1 2 4 1 3 12 31111 6 M78 07000 151 00C 002 51501 015 2112000</t>
  </si>
  <si>
    <t>1 2 4 1 3 12 31111 6 M78 07000 151 00C 002 51501 015 2112000 2019</t>
  </si>
  <si>
    <t>1 2 4 1 3 12 31111 6 M78 07000 151 00C 002 51501 015 2112000 2019 00000000</t>
  </si>
  <si>
    <t>1 2 4 1 3 12 31111 6 M78 07000 151 00C 002 51501 015 2112000 2019 00000000 001</t>
  </si>
  <si>
    <t>1 2 4 1 3 12 31111 6 M78 07000 151 00C 002 51501 015 2112000 2019 00000000 001 007</t>
  </si>
  <si>
    <t>1 2 4 1 3 12 31111 6 M78 07000 151 00C 002 51501 015 2112000 2019 00000000 001 007 001</t>
  </si>
  <si>
    <t>MULTI CANON PIXMAG4111 + TINTA</t>
  </si>
  <si>
    <t>1 2 4 1 3 12 31111 6 M78 07000 151 00C 002 51501 015 2112000 2019 00000000 001 019</t>
  </si>
  <si>
    <t>DIRECCION DE DESARROLLO RURAL</t>
  </si>
  <si>
    <t>1 2 4 1 3 12 31111 6 M78 07000 151 00C 002 51501 015 2112000 2019 00000000 001 019 001</t>
  </si>
  <si>
    <t>4 LECTORES BIOMETRICOS IKON TOUCH 710</t>
  </si>
  <si>
    <t>1 2 4 1 3 12 31111 6 M78 07000 151 00C 002 51501 015 2112000 2023</t>
  </si>
  <si>
    <t>EJERCICIO 2023</t>
  </si>
  <si>
    <t>1 2 4 1 3 12 31111 6 M78 07000 151 00C 002 51501 015 2112000 2023 00000000</t>
  </si>
  <si>
    <t>1 2 4 1 3 12 31111 6 M78 07000 151 00C 002 51501 015 2112000 2023 00000000 001</t>
  </si>
  <si>
    <t>1 2 4 1 3 12 31111 6 M78 07000 151 00C 002 51501 015 2112000 2023 00000000 001 007</t>
  </si>
  <si>
    <t>1 2 4 1 3 12 31111 6 M78 07000 151 00C 002 51501 015 2112000 2023 00000000 001 007 002</t>
  </si>
  <si>
    <t>IMPRESORA DE ETIQUETAS MARCA ZEBRA ZD220 CON SOFTWARE PARA INSTALARSE EN PC</t>
  </si>
  <si>
    <t>1 2 4 1 3 12 31111 6 M78 07000 151 00C 002 51501 015 2112000 2024</t>
  </si>
  <si>
    <t>1 2 4 1 3 12 31111 6 M78 07000 151 00C 002 51501 015 2112000 2024 00000000</t>
  </si>
  <si>
    <t>1 2 4 1 3 12 31111 6 M78 07000 151 00C 002 51501 015 2112000 2024 00000000 001</t>
  </si>
  <si>
    <t>1 2 4 1 3 12 31111 6 M78 07000 151 00C 002 51501 015 2112000 2024 00000000 001 007</t>
  </si>
  <si>
    <t>1 2 4 1 3 12 31111 6 M78 07000 151 00C 002 51501 015 2112000 2024 00000000 001 007 003</t>
  </si>
  <si>
    <t>HP PAVILLON ALL IN ONE 24-R 19LA COLOR BLANCA, NUMERO DE SERIE 8CC90448GG</t>
  </si>
  <si>
    <t>1 2 4 1 3 12 31111 6 M78 07000 151 00C 002 51501 015 2112000 2024 00000000 001 007 004</t>
  </si>
  <si>
    <t>COMPUTADORA HP ALL IN ONE PS22  COLOR BLANCA, NUMERO DE SERIE 8CC852146M</t>
  </si>
  <si>
    <t>1 2 4 1 3 12 31111 6 M78 07000 151 00C 002 51501 015 2112000 2024 00000000 001 007 005</t>
  </si>
  <si>
    <t>COMPUTADORA HP ALL IN ONE Pc22-DD0520LA  COLOR BLANCA, NUMERO DE SERIE 8CC3022HRM</t>
  </si>
  <si>
    <t>1 2 4 1 3 12 31111 6 M78 07000 151 00C 002 51501 015 2112000 2024 00000000 001 007 006</t>
  </si>
  <si>
    <t>COMPUTADORA HP ALL IN ONE PC22-C007LA  COLOR NEGRA, NUMERO DE SERIE 8CC2091F48</t>
  </si>
  <si>
    <t>1 2 4 1 3 12 31111 6 M78 07000 151 00C 002 51501 015 2112000 2024 00000000 001 007 007</t>
  </si>
  <si>
    <t>COMPUTADORA HP ALL IN ONE PC22-C007LA  COLOR NEGRA, NUMERO DE SERIE 8CC2091F4G</t>
  </si>
  <si>
    <t>1 2 4 1 3 12 31111 6 M78 07000 151 00C 002 51501 015 2112000 2024 00000000 001 007 008</t>
  </si>
  <si>
    <t>PIXMA INK EFFICIENT LAM IMPRESORA MULTIFUNCIONALCOLOR NEGRO COPIAS BLANCO Y NEGRO Y COLOR, MARCA CANON NUMERO DE SERIE KNGB98594</t>
  </si>
  <si>
    <t>1 2 4 1 3 12 31111 6 M78 07000 151 00C 002 51501 015 2112000 2024 00000000 001 007 009</t>
  </si>
  <si>
    <t>PIXMA INK EFFICIENT LAM IMPRESORA MULTIFUNCIONALCOLOR NEGRO COPIAS BLANCO Y NEGRO Y COLOR, MARCA CANON NUMERO DE SERIE KLMT41301</t>
  </si>
  <si>
    <t>1 2 4 1 3 12 31111 6 M78 07000 151 00C 002 51501 015 2112000 2024 00000000 001 007 010</t>
  </si>
  <si>
    <t>PIXMA INK EFFICIENT LAM IMPRESORA MULTIFUNCIONALCOLOR NEGRO COPIAS BLANCO Y NEGRO Y COLOR, MARCA CANON NUMERO DE SERIE KLYH90805</t>
  </si>
  <si>
    <t>1 2 4 1 3 12 31111 6 M78 07000 151 00C 002 51501 015 2112000 2024 00000000 001 007 011</t>
  </si>
  <si>
    <t>PIXMA INK EFFICIENT LAM IMPRESORA MULTIFUNCIONALCOLOR NEGRO COPIAS BLANCO Y NEGRO Y COLOR, MARCA CANON NUMERO DE SERIE KLMT29877</t>
  </si>
  <si>
    <t>1 2 4 1 3 12 31111 6 M78 07000 151 00C 002 51501 015 2112000 2024 00000000 001 007 012</t>
  </si>
  <si>
    <t>PIXMA INK EFFICIENT LAM IMPRESORA MULTIFUNCIONALCOLOR NEGRO COPIAS BLANCO Y NEGRO Y COLOR, MARCA CANON NUMERO DE SERIE KLMT7942</t>
  </si>
  <si>
    <t>1 2 4 1 3 12 31111 6 M78 07000 151 00C 002 51501 015 2112000 2024 00000000 001 007 013</t>
  </si>
  <si>
    <t>PIXMA INK EFFICIENT LAM IMPRESORA MULTIFUNCIONALCOLOR NEGRO COPIAS BLANCO Y NEGRO Y COLOR, MARCA CANON NUMERO DE SERIE KLMT41575</t>
  </si>
  <si>
    <t>1 2 4 1 3 12 31111 6 M78 07000 151 00C 002 51501 015 2112000 2024 00000000 001 007 014</t>
  </si>
  <si>
    <t>PIXMA INK EFFICIENT LAM IMPRESORA MULTIFUNCIONALCOLOR NEGRO COPIAS BLANCO Y NEGRO Y COLOR, MARCA CANON NUMERO DE SERIE KLMT35615</t>
  </si>
  <si>
    <t>1 2 4 1 3 12 31111 6 M78 07000 151 00C 002 51501 015 2112000 2024 00000000 001 007 015</t>
  </si>
  <si>
    <t>PIXMA INK EFFICIENT LAM IMPRESORA MULTIFUNCIONALCOLOR NEGRO COPIAS BLANCO Y NEGRO Y COLOR, MARCA CANON NUMERO DE SERIE KLMT29794</t>
  </si>
  <si>
    <t>1 2 4 1 3 12 31111 6 M78 07000 151 00C 002 51501 015 2112000 2024 00000000 001 007 016</t>
  </si>
  <si>
    <t>PIXMA INK EFFICIENT LAM IMPRESORA MULTIFUNCIONALCOLOR NEGRO COPIAS BLANCO Y NEGRO Y COLOR, MARCA CANON NUMERO DE SERIE KLMT41589</t>
  </si>
  <si>
    <t>1 2 4 1 3 12 31111 6 M78 07000 151 00C 002 51501 015 2112000 2024 00000000 001 007 017</t>
  </si>
  <si>
    <t>PIXMA INK EFFICIENT LAM IMPRESORA MULTIFUNCIONALCOLOR NEGRO COPIAS BLANCO Y NEGRO Y COLOR, MARCA CANON NUMERO DE SERIE KLMT02712</t>
  </si>
  <si>
    <t>1 2 4 1 9</t>
  </si>
  <si>
    <t>OTROS MOBILIARIOS Y EQUIPOS DE ADMINISTRACIÓN</t>
  </si>
  <si>
    <t>1 2 4 1 9 12</t>
  </si>
  <si>
    <t>1 2 4 1 9 12 31111</t>
  </si>
  <si>
    <t>1 2 4 1 9 12 31111 6</t>
  </si>
  <si>
    <t>1 2 4 1 9 12 31111 6 M78</t>
  </si>
  <si>
    <t>1 2 4 1 9 12 31111 6 M78 07000</t>
  </si>
  <si>
    <t>1 2 4 1 9 12 31111 6 M78 07000 151</t>
  </si>
  <si>
    <t>1 2 4 1 9 12 31111 6 M78 07000 151 00C</t>
  </si>
  <si>
    <t>1 2 4 1 9 12 31111 6 M78 07000 151 00C 002</t>
  </si>
  <si>
    <t>1 2 4 1 9 12 31111 6 M78 07000 151 00C 002 51901</t>
  </si>
  <si>
    <t>EQUIPO DE ADMINISTRACION.</t>
  </si>
  <si>
    <t>1 2 4 1 9 12 31111 6 M78 07000 151 00C 002 51901 015</t>
  </si>
  <si>
    <t>1 2 4 1 9 12 31111 6 M78 07000 151 00C 002 51901 015 2112000</t>
  </si>
  <si>
    <t>1 2 4 1 9 12 31111 6 M78 07000 151 00C 002 51901 015 2112000 2019</t>
  </si>
  <si>
    <t>1 2 4 1 9 12 31111 6 M78 07000 151 00C 002 51901 015 2112000 2019 00000000</t>
  </si>
  <si>
    <t>1 2 4 1 9 12 31111 6 M78 07000 151 00C 002 51901 015 2112000 2019 00000000 001</t>
  </si>
  <si>
    <t>1 2 4 1 9 12 31111 6 M78 07000 151 00C 002 51901 015 2112000 2019 00000000 001 001</t>
  </si>
  <si>
    <t>1 2 4 1 9 12 31111 6 M78 07000 151 00C 002 51901 015 2112000 2019 00000000 001 001 001</t>
  </si>
  <si>
    <t>DESPACHADOR DE AGUA PARA PISO WHIRPOOL</t>
  </si>
  <si>
    <t>1 2 4 1 9 12 31111 6 M78 07000 151 00C 002 51901 015 2112000 2019 00000000 001 002</t>
  </si>
  <si>
    <t>1 2 4 1 9 12 31111 6 M78 07000 151 00C 002 51901 015 2112000 2019 00000000 001 002 001</t>
  </si>
  <si>
    <t>1 2 4 1 9 12 31111 6 M78 07000 151 00C 002 51901 015 2112000 2019 00000000 001 007</t>
  </si>
  <si>
    <t>AREA DE TESORERIA</t>
  </si>
  <si>
    <t>1 2 4 1 9 12 31111 6 M78 07000 151 00C 002 51901 015 2112000 2019 00000000 001 007 001</t>
  </si>
  <si>
    <t>1 2 4 1 9 12 31111 6 M78 07000 151 00C 002 51901 015 2112000 2019 00000000 001 009</t>
  </si>
  <si>
    <t>AREA DE OBRAS PUBLICAS</t>
  </si>
  <si>
    <t>1 2 4 1 9 12 31111 6 M78 07000 151 00C 002 51901 015 2112000 2019 00000000 001 009 001</t>
  </si>
  <si>
    <t>1 2 4 4</t>
  </si>
  <si>
    <t>VEHÍCULOS Y EQUIPO DE TRANSPORTE</t>
  </si>
  <si>
    <t>1 2 4 4 1</t>
  </si>
  <si>
    <t>AUTOMÓVILES Y EQUIPO TERRESTRE</t>
  </si>
  <si>
    <t>1 2 4 4 1 12</t>
  </si>
  <si>
    <t>1 2 4 4 1 12 31111</t>
  </si>
  <si>
    <t>1 2 4 4 1 12 31111 6</t>
  </si>
  <si>
    <t>1 2 4 4 1 12 31111 6 M78</t>
  </si>
  <si>
    <t>1 2 4 4 1 12 31111 6 M78 00000</t>
  </si>
  <si>
    <t>1 2 4 4 1 12 31111 6 M78 00000 001</t>
  </si>
  <si>
    <t>1 2 4 4 1 12 31111 6 M78 00000 001 001</t>
  </si>
  <si>
    <t>1 2 4 4 1 12 31111 6 M78 00000 001 001 001</t>
  </si>
  <si>
    <t>DE PERSONAL</t>
  </si>
  <si>
    <t>1 2 4 4 1 12 31111 6 M78 00000 001 001 001 00001</t>
  </si>
  <si>
    <t>1 2 4 4 1 12 31111 6 M78 00000 001 001 001 00001 001</t>
  </si>
  <si>
    <t>NISSAN NP300 DE LUJO BLANCA 2014</t>
  </si>
  <si>
    <t>1 2 4 4 1 12 31111 6 M78 00000 001 001 001 00002</t>
  </si>
  <si>
    <t>1 2 4 4 1 12 31111 6 M78 00000 001 001 001 00002 001</t>
  </si>
  <si>
    <t>CAMIONETA NISSAN EQUIPADA CON RECOLECTOR DE 3MTS</t>
  </si>
  <si>
    <t>1 2 4 4 1 12 31111 6 M78 00000 001 001 001 00003</t>
  </si>
  <si>
    <t>1 2 4 4 1 12 31111 6 M78 00000 001 001 001 00003 001</t>
  </si>
  <si>
    <t>CAMIONETA RANGER</t>
  </si>
  <si>
    <t>1 2 4 4 1 12 31111 6 M78 07000</t>
  </si>
  <si>
    <t>1 2 4 4 1 12 31111 6 M78 07000 151</t>
  </si>
  <si>
    <t>1 2 4 4 1 12 31111 6 M78 07000 151 00C</t>
  </si>
  <si>
    <t>1 2 4 4 1 12 31111 6 M78 07000 151 00C 002</t>
  </si>
  <si>
    <t>1 2 4 4 1 12 31111 6 M78 07000 151 00C 002 54105</t>
  </si>
  <si>
    <t>VEHICULOS Y EQUIPOS TERRESTRES</t>
  </si>
  <si>
    <t>1 2 4 4 1 12 31111 6 M78 07000 151 00C 002 54105 015</t>
  </si>
  <si>
    <t>15.- RECURSOS FEDERALES</t>
  </si>
  <si>
    <t>1 2 4 4 1 12 31111 6 M78 07000 151 00C 002 54105 015 2222100</t>
  </si>
  <si>
    <t>EQUIPO DE TRANSPORTE</t>
  </si>
  <si>
    <t>1 2 4 4 1 12 31111 6 M78 07000 151 00C 002 54105 015 2222100 2022</t>
  </si>
  <si>
    <t>EJERCICIO 2022</t>
  </si>
  <si>
    <t>1 2 4 4 1 12 31111 6 M78 07000 151 00C 002 54105 015 2222100 2022 00000000</t>
  </si>
  <si>
    <t>CAMIONETA TOYOTA, MODELO 2022, HILUX, DOBLE CABINA, SR4X2, COLOR ESTERIOR BLANCO, TRANSMISIÓN, No. PUERTAS 4, No. MOTOR 2TR-A914997, SERIE MR0CX3DDXN1327578</t>
  </si>
  <si>
    <t>1 2 5</t>
  </si>
  <si>
    <t>ACTIVOS INTANGIBLES</t>
  </si>
  <si>
    <t>1 2 5 1</t>
  </si>
  <si>
    <t>SOFTWARE</t>
  </si>
  <si>
    <t>1 2 5 1 1</t>
  </si>
  <si>
    <t>1 2 5 1 1 12</t>
  </si>
  <si>
    <t>1 2 5 1 1 12 31111</t>
  </si>
  <si>
    <t>1 2 5 1 1 12 31111 6</t>
  </si>
  <si>
    <t>SECTOR PÙBLICO MUNICIPAL</t>
  </si>
  <si>
    <t>1 2 5 1 1 12 31111 6 M78</t>
  </si>
  <si>
    <t>1 2 5 1 1 12 31111 6 M78 07000</t>
  </si>
  <si>
    <t>1 2 5 1 1 12 31111 6 M78 07000 151</t>
  </si>
  <si>
    <t>1 2 5 1 1 12 31111 6 M78 07000 151 00C</t>
  </si>
  <si>
    <t>1 2 5 1 1 12 31111 6 M78 07000 151 00C 002</t>
  </si>
  <si>
    <t>1 2 5 1 1 12 31111 6 M78 07000 151 00C 002 59101</t>
  </si>
  <si>
    <t>SOFTWARE.</t>
  </si>
  <si>
    <t>1 2 5 1 1 12 31111 6 M78 07000 151 00C 002 59101 015</t>
  </si>
  <si>
    <t>1 2 5 1 1 12 31111 6 M78 07000 151 00C 002 59101 015 2225300</t>
  </si>
  <si>
    <t>PROGRAMAS DE INFORMÁTICA Y BASE DE DATOS</t>
  </si>
  <si>
    <t>1 2 5 1 1 12 31111 6 M78 07000 151 00C 002 59101 015 2225300 2019</t>
  </si>
  <si>
    <t>1 2 5 1 1 12 31111 6 M78 07000 151 00C 002 59101 015 2225300 2019 00000000</t>
  </si>
  <si>
    <t>1 2 5 1 1 12 31111 6 M78 07000 151 00C 002 59101 015 2225300 2019 00000000 001</t>
  </si>
  <si>
    <t>1 2 5 1 1 12 31111 6 M78 07000 151 00C 002 59101 015 2225300 2019 00000000 001 009</t>
  </si>
  <si>
    <t>1 2 5 1 1 12 31111 6 M78 07000 151 00C 002 59101 015 2225300 2019 00000000 001 009 001</t>
  </si>
  <si>
    <t>LICENCIA DE USO POR ESCRITO DEL SISTEMA, 1 SENTINEL (LLAVE DE PROTECCION).</t>
  </si>
  <si>
    <t>2</t>
  </si>
  <si>
    <t>PASIVO</t>
  </si>
  <si>
    <t>2 1</t>
  </si>
  <si>
    <t>PASIVO CIRCULANTE</t>
  </si>
  <si>
    <t>2 1 1</t>
  </si>
  <si>
    <t>CUENTAS POR PAGAR A CORTO PLAZO</t>
  </si>
  <si>
    <t>2 1 1 1</t>
  </si>
  <si>
    <t>SERVICIOS PERSONALES POR PAGAR A CORTO PLAZO</t>
  </si>
  <si>
    <t>2 1 1 1 1</t>
  </si>
  <si>
    <t>REMUNERACIÓN POR PAGAR AL PERSONAL DE CARÁCTER PERMANENTE A CP</t>
  </si>
  <si>
    <t>2 1 1 1 1 12</t>
  </si>
  <si>
    <t>2 1 1 1 1 12 31111</t>
  </si>
  <si>
    <t>2 1 1 1 1 12 31111 6</t>
  </si>
  <si>
    <t>2 1 1 1 1 12 31111 6 M78</t>
  </si>
  <si>
    <t>2 1 1 1 1 12 31111 6 M78 00001</t>
  </si>
  <si>
    <t>2 1 1 1 1 12 31111 6 M78 00001 007</t>
  </si>
  <si>
    <t>SUELDOS POR PAGAR</t>
  </si>
  <si>
    <t>2 1 1 2</t>
  </si>
  <si>
    <t>PROVEEDORES POR PAGAR A CORTO PLAZO</t>
  </si>
  <si>
    <t>2 1 1 2 1</t>
  </si>
  <si>
    <t>DEUDAS POR ADQUISICIÓN DE BIENES Y CONTRATACIÓN DE SERVICIOS POR PAGAR A CP</t>
  </si>
  <si>
    <t>2 1 1 2 1 12</t>
  </si>
  <si>
    <t>2 1 1 2 1 12 31111</t>
  </si>
  <si>
    <t>2 1 1 2 1 12 31111 6</t>
  </si>
  <si>
    <t>2 1 1 2 1 12 31111 6 M78</t>
  </si>
  <si>
    <t>2 1 1 2 1 12 31111 6 M78 00001</t>
  </si>
  <si>
    <t>2 1 1 2 1 12 31111 6 M78 00001 001</t>
  </si>
  <si>
    <t>2 1 1 2 1 12 31111 6 M78 00001 003</t>
  </si>
  <si>
    <t>JUAN JESÚS PLATA SÁNCHEZ</t>
  </si>
  <si>
    <t>2 1 1 2 1 12 31111 6 M78 00001 006</t>
  </si>
  <si>
    <t>2 1 1 2 1 12 31111 6 M78 00001 008</t>
  </si>
  <si>
    <t>SECRETARIA DE FINANZAS Y ADMINISTRACIÓN DEL ESTADO DE GUERRERO</t>
  </si>
  <si>
    <t>2 1 1 2 1 12 31111 6 M78 00001 010</t>
  </si>
  <si>
    <t>2 1 1 2 1 12 31111 6 M78 00001 015</t>
  </si>
  <si>
    <t>SERVICIO MONTAÑAS DEL SUR S.A DE C.V</t>
  </si>
  <si>
    <t>2 1 1 2 1 12 31111 6 M78 00001 022</t>
  </si>
  <si>
    <t>HECTOR RICARDO ARRIAGA TAPIA</t>
  </si>
  <si>
    <t>2 1 1 2 1 12 31111 6 M78 00001 024</t>
  </si>
  <si>
    <t>ENRRIQUE GONZALEZ GUERRERO</t>
  </si>
  <si>
    <t>2 1 1 2 1 12 31111 6 M78 00001 026</t>
  </si>
  <si>
    <t>BERTA BARRERA GUTIERREZ</t>
  </si>
  <si>
    <t>2 1 1 2 1 12 31111 6 M78 00001 030</t>
  </si>
  <si>
    <t>ELEUTERIO HERNANDEZ RAMIREZ</t>
  </si>
  <si>
    <t>2 1 1 2 1 12 31111 6 M78 00001 042</t>
  </si>
  <si>
    <t>ANA SHASHENKA RUIZ HERNANDEZ</t>
  </si>
  <si>
    <t>2 1 1 2 1 12 31111 6 M78 00001 067</t>
  </si>
  <si>
    <t>JOSE MIGUEL DIAZ HERNANDEZ</t>
  </si>
  <si>
    <t>2 1 1 2 1 12 31111 6 M78 00001 087</t>
  </si>
  <si>
    <t>JOSE CARLOS BELLO SILVA</t>
  </si>
  <si>
    <t>2 1 1 2 1 12 31111 6 M78 00001 091</t>
  </si>
  <si>
    <t>JOSE ALBERTO SANCHEZ CRESPO</t>
  </si>
  <si>
    <t>2 1 1 2 1 12 31111 6 M78 00001 093</t>
  </si>
  <si>
    <t>JESUS SAIDT HERNANDEZ RIVERA</t>
  </si>
  <si>
    <t>2 1 1 2 1 12 31111 6 M78 00001 094</t>
  </si>
  <si>
    <t>JUAN CARLOS MORALES MENESES</t>
  </si>
  <si>
    <t>2 1 1 2 1 12 31111 6 M78 00001 115</t>
  </si>
  <si>
    <t>AUTOMOTRIZ TOY, S.A. DE C.V.</t>
  </si>
  <si>
    <t>2 1 1 2 1 12 31111 6 M78 00001 118</t>
  </si>
  <si>
    <t>LUZ SELENA BOLAÑOS GUZMAN</t>
  </si>
  <si>
    <t>2 1 1 2 1 12 31111 6 M78 00001 123</t>
  </si>
  <si>
    <t>COMERCIALIZADORA BEROM, S.A. DE C.V.</t>
  </si>
  <si>
    <t>2 1 1 2 1 12 31111 6 M78 00001 128</t>
  </si>
  <si>
    <t>ESTEBAN REY RAMOS HOLANDA</t>
  </si>
  <si>
    <t>2 1 1 2 1 12 31111 6 M78 00001 130</t>
  </si>
  <si>
    <t>DIEGO CASTRO MARTINEZ</t>
  </si>
  <si>
    <t>2 1 1 2 1 12 31111 6 M78 00001 131</t>
  </si>
  <si>
    <t>MIGUEL ANGEL SALMERON GARCIA</t>
  </si>
  <si>
    <t>2 1 1 2 1 12 31111 6 M78 00001 136</t>
  </si>
  <si>
    <t>VIOLETA ADAME FERNAN</t>
  </si>
  <si>
    <t>2 1 1 2 1 12 31111 6 M78 00001 139</t>
  </si>
  <si>
    <t>CHRISTIAN GRE ADAME TEOFILO</t>
  </si>
  <si>
    <t>2 1 1 2 1 12 31111 6 M78 00001 141</t>
  </si>
  <si>
    <t>ULISES HERNANDEZ TEPEC</t>
  </si>
  <si>
    <t>2 1 1 2 1 12 31111 6 M78 00001 142</t>
  </si>
  <si>
    <t>MONICA MOTA TENORIO</t>
  </si>
  <si>
    <t>2 1 1 2 1 12 31111 6 M78 00001 143</t>
  </si>
  <si>
    <t>CINTHYA GUADALUPE SANCHEZ CARRILLO</t>
  </si>
  <si>
    <t>2 1 1 5</t>
  </si>
  <si>
    <t>TRANSFERENCIAS OTORGADAS POR PAGAR A CORTO PLAZO</t>
  </si>
  <si>
    <t>2 1 1 5 6</t>
  </si>
  <si>
    <t>AYUDAS SOCIALES</t>
  </si>
  <si>
    <t>2 1 1 5 6 12</t>
  </si>
  <si>
    <t>2 1 1 5 6 12 31111</t>
  </si>
  <si>
    <t>2 1 1 5 6 12 31111 6</t>
  </si>
  <si>
    <t>2 1 1 5 6 12 31111 6 M78</t>
  </si>
  <si>
    <t>2 1 1 5 6 12 31111 6 M78 00001</t>
  </si>
  <si>
    <t>2 1 1 5 6 12 31111 6 M78 00001 002</t>
  </si>
  <si>
    <t>2 1 1 5 6 12 31111 6 M78 00001 007</t>
  </si>
  <si>
    <t>VICENTE MORALES CARBALLO</t>
  </si>
  <si>
    <t>2 1 1 5 6 12 31111 6 M78 00001 013</t>
  </si>
  <si>
    <t>ERNESTO RAMOS BERNAL</t>
  </si>
  <si>
    <t>2 1 1 5 6 12 31111 6 M78 00001 014</t>
  </si>
  <si>
    <t>LUCIA CARBALLO RODRIGUEZ</t>
  </si>
  <si>
    <t>2 1 1 5 6 12 31111 6 M78 00001 015</t>
  </si>
  <si>
    <t>REYNA HERNANDEZ RIOS</t>
  </si>
  <si>
    <t>2 1 1 5 6 12 31111 6 M78 00001 016</t>
  </si>
  <si>
    <t>2 1 1 5 6 12 31111 6 M78 00001 018</t>
  </si>
  <si>
    <t>BLANCA ISABEL GUERRERO SANATAN</t>
  </si>
  <si>
    <t>2 1 1 5 6 12 31111 6 M78 00001 019</t>
  </si>
  <si>
    <t>2 1 1 5 6 12 31111 6 M78 00001 020</t>
  </si>
  <si>
    <t>JOSE ALBERTO CAMPOS CRESPO</t>
  </si>
  <si>
    <t>2 1 1 5 6 12 31111 6 M78 00001 021</t>
  </si>
  <si>
    <t>2 1 1 5 6 12 31111 6 M78 00001 022</t>
  </si>
  <si>
    <t>2 1 1 5 6 12 31111 6 M78 00001 023</t>
  </si>
  <si>
    <t>DULCE BELEN GOMEZ GERVACIO</t>
  </si>
  <si>
    <t>2 1 1 5 6 12 31111 6 M78 00001 024</t>
  </si>
  <si>
    <t>EUGENIO HERNANDEZ JAIMES</t>
  </si>
  <si>
    <t>2 1 1 7</t>
  </si>
  <si>
    <t>RETENCIONES Y CONTRIBUCIONES POR PAGAR A CORTO PLAZO</t>
  </si>
  <si>
    <t>2 1 1 7 1</t>
  </si>
  <si>
    <t>RETENCIONES DE IMPUESTOS POR PAGAR A CP</t>
  </si>
  <si>
    <t>2 1 1 7 1 12</t>
  </si>
  <si>
    <t>2 1 1 7 1 12 31111</t>
  </si>
  <si>
    <t>2 1 1 7 1 12 31111 6</t>
  </si>
  <si>
    <t>2 1 1 7 1 12 31111 6 M78</t>
  </si>
  <si>
    <t>2 1 1 7 1 12 31111 6 M78 00001</t>
  </si>
  <si>
    <t>2 1 1 7 1 12 31111 6 M78 00001 001</t>
  </si>
  <si>
    <t>ISR GASTO CORRIENTE 2018</t>
  </si>
  <si>
    <t>2 1 1 7 1 12 31111 6 M78 00001 002</t>
  </si>
  <si>
    <t>ISR GASTO CORRIENTE 2019</t>
  </si>
  <si>
    <t>2 1 1 7 1 12 31111 6 M78 00001 003</t>
  </si>
  <si>
    <t>ISR GASTO CORRIENTE 2020</t>
  </si>
  <si>
    <t>2 1 1 7 1 12 31111 6 M78 00001 008</t>
  </si>
  <si>
    <t>ISR OTROS FONDOS (FORTAMUN, OBRA PUBLICA Y CONVENIOS)</t>
  </si>
  <si>
    <t>2 1 1 7 1 12 31111 6 M78 00001 009</t>
  </si>
  <si>
    <t>ISR GASTO CORRIENTE 2022</t>
  </si>
  <si>
    <t>2 1 1 7 1 12 31111 6 M78 00001 009 011</t>
  </si>
  <si>
    <t>GASTO CORRIENTE ISR 2023</t>
  </si>
  <si>
    <t>2 1 1 7 1 12 31111 6 M78 00001 009 012</t>
  </si>
  <si>
    <t xml:space="preserve">GASTO CORRIENTE ISR 2024
</t>
  </si>
  <si>
    <t>2 1 1 7 1 12 31111 6 M78 00001 012</t>
  </si>
  <si>
    <t>ISR FORTAMUN2024</t>
  </si>
  <si>
    <t>2 1 1 7 9</t>
  </si>
  <si>
    <t>OTRAS RETENCIONES Y CONTRIBUCIONES POR PAGAR A CP</t>
  </si>
  <si>
    <t>2 1 1 9</t>
  </si>
  <si>
    <t>OTRAS CUENTAS POR PAGAR A CORTO PLAZO</t>
  </si>
  <si>
    <t>2 1 1 9 9</t>
  </si>
  <si>
    <t>OTRAS CUENTAS POR PAGAR A CP</t>
  </si>
  <si>
    <t>2 1 1 9 9 12</t>
  </si>
  <si>
    <t>2 1 1 9 9 12 31111</t>
  </si>
  <si>
    <t>2 1 1 9 9 12 31111 6</t>
  </si>
  <si>
    <t>2 1 1 9 9 12 31111 6 M78</t>
  </si>
  <si>
    <t>2 1 1 9 9 12 31111 6 M78 00001</t>
  </si>
  <si>
    <t>2 1 1 9 9 12 31111 6 M78 00001 001</t>
  </si>
  <si>
    <t>2 1 1 9 9 12 31111 6 M78 00001 001 003</t>
  </si>
  <si>
    <t>FORTAMUN POR PRESTAMOS</t>
  </si>
  <si>
    <t>2 1 1 9 9 12 31111 6 M78 00001 001 004</t>
  </si>
  <si>
    <t>TRASPASO DE FONDOS DEL FORTAMUN PARA PAGO ISR 2022</t>
  </si>
  <si>
    <t>2 1 1 9 9 12 31111 6 M78 00001 001 005</t>
  </si>
  <si>
    <t>TRASPASO DE FONDOS DE INGRESOS FISCALES</t>
  </si>
  <si>
    <t>2 1 9</t>
  </si>
  <si>
    <t>OTROS PASIVOS A CORTO PLAZO</t>
  </si>
  <si>
    <t>2 1 9 2</t>
  </si>
  <si>
    <t>RECAUDACIÓN POR PARTICIPAR</t>
  </si>
  <si>
    <t>2 1 9 2 1</t>
  </si>
  <si>
    <t>INGRESOS COORDINADOS DERIVADOS DE LA COLABOACIÓN FISCAL</t>
  </si>
  <si>
    <t>2 1 9 2 1 12</t>
  </si>
  <si>
    <t>2 1 9 2 1 12 31111</t>
  </si>
  <si>
    <t>2 1 9 2 1 12 31111 6</t>
  </si>
  <si>
    <t>2 1 9 2 1 12 31111 6 M78</t>
  </si>
  <si>
    <t>2 1 9 2 1 12 31111 6 M78 00001</t>
  </si>
  <si>
    <t>2 1 9 2 1 12 31111 6 M78 00001 002</t>
  </si>
  <si>
    <t>2 1 9 2 1 12 31111 6 M78 00001 002 001</t>
  </si>
  <si>
    <t>FONDO DE RECAUDACION DEL IMPUESTO SOBRE LA RENTA</t>
  </si>
  <si>
    <t>3</t>
  </si>
  <si>
    <t>HACIENDA PÚBLICA/ PATRIMONIO</t>
  </si>
  <si>
    <t>3 1</t>
  </si>
  <si>
    <t>HACIENDA PÚBLICA/PATRIMONIO CONTRIBUIDO</t>
  </si>
  <si>
    <t>3 1 1</t>
  </si>
  <si>
    <t>APORTACIONES</t>
  </si>
  <si>
    <t>3 1 1 1</t>
  </si>
  <si>
    <t>3 1 1 1 1</t>
  </si>
  <si>
    <t>3 1 1 1 1 12</t>
  </si>
  <si>
    <t>3 1 1 1 1 12 31111</t>
  </si>
  <si>
    <t>3 1 1 1 1 12 31111 6</t>
  </si>
  <si>
    <t>3 1 1 1 1 12 31111 6 M78</t>
  </si>
  <si>
    <t>3 1 1 1 1 12 31111 6 M78 00001</t>
  </si>
  <si>
    <t>3 2</t>
  </si>
  <si>
    <t>HACIENDA PÚBLICA /PATRIMONIO GENERADO</t>
  </si>
  <si>
    <t>3 2 2</t>
  </si>
  <si>
    <t>RESULTADOS DE EJERCICIOS ANTERIORES</t>
  </si>
  <si>
    <t>3 2 2 1</t>
  </si>
  <si>
    <t>3 2 2 1 1</t>
  </si>
  <si>
    <t>RESULTADOS DEL EJERCICIO ANTERIOR</t>
  </si>
  <si>
    <t>3 2 2 1 1 12</t>
  </si>
  <si>
    <t>3 2 2 1 1 12 31111</t>
  </si>
  <si>
    <t>3 2 2 1 1 12 31111 6</t>
  </si>
  <si>
    <t>3 2 2 1 1 12 31111 6 M78</t>
  </si>
  <si>
    <t>3 2 2 1 1 12 31111 6 M78 00000</t>
  </si>
  <si>
    <t>3 2 2 1 1 12 31111 6 M78 00000 001</t>
  </si>
  <si>
    <t>4</t>
  </si>
  <si>
    <t>INGRESOS Y OTROS BENEFICIOS</t>
  </si>
  <si>
    <t>4 1</t>
  </si>
  <si>
    <t>INGRESOS DE GESTIÓN</t>
  </si>
  <si>
    <t>4 1 5</t>
  </si>
  <si>
    <t>4 1 5 1</t>
  </si>
  <si>
    <t>4 1 5 1 1</t>
  </si>
  <si>
    <t>PRODUCTOS DERIVADOS DEL USO Y APROVACHAMIENTO DE BIENES NO SUJETOS A REGIMEN DE DOMINIO PUBLICO</t>
  </si>
  <si>
    <t>4 1 5 1 1 12</t>
  </si>
  <si>
    <t>4 1 5 1 1 12 31111</t>
  </si>
  <si>
    <t>4 1 5 1 1 12 31111 6</t>
  </si>
  <si>
    <t>4 1 5 1 1 12 31111 6 M78</t>
  </si>
  <si>
    <t>4 1 5 1 1 12 31111 6 M78 07000</t>
  </si>
  <si>
    <t>4 1 5 1 1 12 31111 6 M78 07000 151</t>
  </si>
  <si>
    <t>4 1 5 1 1 12 31111 6 M78 07000 151 00C</t>
  </si>
  <si>
    <t>4 1 5 1 1 12 31111 6 M78 07000 151 00C 001</t>
  </si>
  <si>
    <t>4 1 5 1 1 12 31111 6 M78 07000 151 00C 001 00051</t>
  </si>
  <si>
    <t>4 1 5 1 1 12 31111 6 M78 07000 151 00C 001 00051 015</t>
  </si>
  <si>
    <t>4 1 5 1 1 12 31111 6 M78 07000 151 00C 001 00051 015 1151100</t>
  </si>
  <si>
    <t>INTERNOS</t>
  </si>
  <si>
    <t>4 1 5 1 1 12 31111 6 M78 07000 151 00C 001 00051 015 1151100 2024</t>
  </si>
  <si>
    <t>4 1 5 1 1 12 31111 6 M78 07000 151 00C 001 00051 015 1151100 2024 00000000</t>
  </si>
  <si>
    <t>4 1 5 1 1 12 31111 6 M78 07000 151 00C 001 00051 015 1151100 2024 00000000 001</t>
  </si>
  <si>
    <t>4 1 5 1 1 12 31111 6 M78 07000 151 00C 001 00051 015 1151100 2024 00000000 001 001</t>
  </si>
  <si>
    <t>INTERESES POR PRODUCTOS FINANCIEROS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</si>
  <si>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</si>
  <si>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</si>
  <si>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</si>
  <si>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</si>
  <si>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4 2 1 1</t>
  </si>
  <si>
    <t>PARTICIPACIONES</t>
  </si>
  <si>
    <t>4 2 1 1 1</t>
  </si>
  <si>
    <t>4 2 1 1 1 12</t>
  </si>
  <si>
    <t>4 2 1 1 1 12 31111</t>
  </si>
  <si>
    <t>4 2 1 1 1 12 31111 6</t>
  </si>
  <si>
    <t>4 2 1 1 1 12 31111 6 M78</t>
  </si>
  <si>
    <t>4 2 1 1 1 12 31111 6 M78 07000</t>
  </si>
  <si>
    <t>4 2 1 1 1 12 31111 6 M78 07000 151</t>
  </si>
  <si>
    <t>4 2 1 1 1 12 31111 6 M78 07000 151 00C</t>
  </si>
  <si>
    <t>4 2 1 1 1 12 31111 6 M78 07000 151 00C 001</t>
  </si>
  <si>
    <t>4 2 1 1 1 12 31111 6 M78 07000 151 00C 001 00081</t>
  </si>
  <si>
    <t>4 2 1 1 1 12 31111 6 M78 07000 151 00C 001 00081 015</t>
  </si>
  <si>
    <t>4 2 1 1 1 12 31111 6 M78 07000 151 00C 001 00081 015 1190000</t>
  </si>
  <si>
    <t>4 2 1 1 1 12 31111 6 M78 07000 151 00C 001 00081 015 1190000 2024</t>
  </si>
  <si>
    <t>4 2 1 1 1 12 31111 6 M78 07000 151 00C 001 00081 015 1190000 2024 00000000</t>
  </si>
  <si>
    <t>4 2 1 1 1 12 31111 6 M78 07000 151 00C 001 00081 015 1190000 2024 00000000 001</t>
  </si>
  <si>
    <t>4 2 1 1 1 12 31111 6 M78 07000 151 00C 001 00081 015 1190000 2024 00000000 001 001</t>
  </si>
  <si>
    <t>FONDO GENERAL</t>
  </si>
  <si>
    <t>4 2 1 1 1 12 31111 6 M78 07000 151 00C 001 00081 015 1190000 2024 00000000 001 002</t>
  </si>
  <si>
    <t>4 2 1 1 1 12 31111 6 M78 07000 151 00C 001 00081 015 1190000 2024 00000000 001 003</t>
  </si>
  <si>
    <t>FONDO DE INFRAESTRUCTURA A MUNICIPIOS</t>
  </si>
  <si>
    <t>4 2 1 1 1 12 31111 6 M78 07000 151 00C 001 00081 015 1190000 2024 00000000 001 004</t>
  </si>
  <si>
    <t>4 2 1 4</t>
  </si>
  <si>
    <t>INCENTIVOS DERIVADOS DE LA COLABORACIÓN FISCAL</t>
  </si>
  <si>
    <t>4 2 1 4 1</t>
  </si>
  <si>
    <t>4 2 1 4 1 12</t>
  </si>
  <si>
    <t>4 2 1 4 1 12 31111</t>
  </si>
  <si>
    <t>4 2 1 4 1 12 31111 6</t>
  </si>
  <si>
    <t>SERVICIO PÙBLICO MUNICIPAL</t>
  </si>
  <si>
    <t>4 2 1 4 1 12 31111 6 M78</t>
  </si>
  <si>
    <t>JOSÈ JOAQUÌN DE HERRERA</t>
  </si>
  <si>
    <t>4 2 1 4 1 12 31111 6 M78 07000</t>
  </si>
  <si>
    <t>4 2 1 4 1 12 31111 6 M78 07000 151</t>
  </si>
  <si>
    <t>4 2 1 4 1 12 31111 6 M78 07000 151 00C</t>
  </si>
  <si>
    <t>4 2 1 4 1 12 31111 6 M78 07000 151 00C 001</t>
  </si>
  <si>
    <t>4 2 1 4 1 12 31111 6 M78 07000 151 00C 001 00084</t>
  </si>
  <si>
    <t>4 2 1 4 1 12 31111 6 M78 07000 151 00C 001 00084 015</t>
  </si>
  <si>
    <t>4 2 1 4 1 12 31111 6 M78 07000 151 00C 001 00084 015 1190000</t>
  </si>
  <si>
    <t>4 2 1 4 1 12 31111 6 M78 07000 151 00C 001 00084 015 1190000 2024</t>
  </si>
  <si>
    <t>4 2 1 4 1 12 31111 6 M78 07000 151 00C 001 00084 015 1190000 2024 00000000</t>
  </si>
  <si>
    <t>4 2 1 4 1 12 31111 6 M78 07000 151 00C 001 00084 015 1190000 2024 00000000 001</t>
  </si>
  <si>
    <t>4 2 1 4 1 12 31111 6 M78 07000 151 00C 001 00084 015 1190000 2024 00000000 001 001</t>
  </si>
  <si>
    <t>4 2 1 4 1 12 31111 6 M78 07000 151 00C 001 00084 015 1190000 2024 00000000 001 002</t>
  </si>
  <si>
    <t>FONDO DE RECAUDACION DEL IMPUESTO SOBRE LA RENTA, SOBRE BIENES INMUEBLES</t>
  </si>
  <si>
    <t>4 2 2</t>
  </si>
  <si>
    <t>TRANSFERENCIAS, ASIGNACIONES, SUBSIDIOS Y SUBVENCIONES, Y PENSIONES Y JUBILACIONES</t>
  </si>
  <si>
    <t>4 2 2 3</t>
  </si>
  <si>
    <t>SUBSIDIOS Y SUBVENCIONES</t>
  </si>
  <si>
    <t>4 2 2 3 1</t>
  </si>
  <si>
    <t>4 2 2 3 1 12</t>
  </si>
  <si>
    <t>4 2 2 3 1 12 31111</t>
  </si>
  <si>
    <t>4 2 2 3 1 12 31111 6</t>
  </si>
  <si>
    <t>4 2 2 3 1 12 31111 6 M78</t>
  </si>
  <si>
    <t>4 2 2 3 1 12 31111 6 M78 07000</t>
  </si>
  <si>
    <t>4 2 2 3 1 12 31111 6 M78 07000 151</t>
  </si>
  <si>
    <t>4 2 2 3 1 12 31111 6 M78 07000 151 00C</t>
  </si>
  <si>
    <t>4 2 2 3 1 12 31111 6 M78 07000 151 00C 001</t>
  </si>
  <si>
    <t>4 2 2 3 1 12 31111 6 M78 07000 151 00C 001 00093</t>
  </si>
  <si>
    <t>4 2 2 3 1 12 31111 6 M78 07000 151 00C 001 00093 016</t>
  </si>
  <si>
    <t>16 - RECURSOS ESTATALES</t>
  </si>
  <si>
    <t>4 2 2 3 1 12 31111 6 M78 07000 151 00C 001 00093 016 1171000</t>
  </si>
  <si>
    <t>SUBSIDIOS Y SUBVENCIONES RECIBIDOS POR ENTIDADES EMPRESARIALES PÚBLICAS NO FINANCIERAS</t>
  </si>
  <si>
    <t>4 2 2 3 1 12 31111 6 M78 07000 151 00C 001 00093 016 1171000 2024</t>
  </si>
  <si>
    <t>4 2 2 3 1 12 31111 6 M78 07000 151 00C 001 00093 016 1171000 2024 00000000</t>
  </si>
  <si>
    <t>4 2 2 3 1 12 31111 6 M78 07000 151 00C 001 00093 016 1171000 2024 00000000 001</t>
  </si>
  <si>
    <t>4 2 2 3 1 12 31111 6 M78 07000 151 00C 001 00093 016 1171000 2024 00000000 001 002</t>
  </si>
  <si>
    <t>APORTACIÓN ESTATAL EXTRAORDINARIA 2021</t>
  </si>
  <si>
    <t>5</t>
  </si>
  <si>
    <t>GASTOS Y OTRAS PÉRDIDAS</t>
  </si>
  <si>
    <t>5 1</t>
  </si>
  <si>
    <t>GASTOS DE FUNCIONAMIENTO</t>
  </si>
  <si>
    <t>5 1 1</t>
  </si>
  <si>
    <t>SERVICIOS PERSONALES</t>
  </si>
  <si>
    <t>5 1 1 1</t>
  </si>
  <si>
    <t>REMUNERACIONES AL PERSONAL DE CARÁCTER PERMANENTE</t>
  </si>
  <si>
    <t>5 1 1 1 3</t>
  </si>
  <si>
    <t>SUELDOS BASE AL PERSONAL PERMANENTE</t>
  </si>
  <si>
    <t>5 1 1 1 3 12</t>
  </si>
  <si>
    <t>5 1 1 1 3 12 31111</t>
  </si>
  <si>
    <t>5 1 1 1 3 12 31111 6</t>
  </si>
  <si>
    <t>5 1 1 1 3 12 31111 6 M78</t>
  </si>
  <si>
    <t>XXX CAMBIO DE ETIQUETA PRESUPUESTAL XXX</t>
  </si>
  <si>
    <t>5 1 1 1 3 12 31111 6 M78 01000</t>
  </si>
  <si>
    <t>PRESIDENCIA MUNICIPAL</t>
  </si>
  <si>
    <t>5 1 1 1 3 12 31111 6 M78 01000 131</t>
  </si>
  <si>
    <t>PRESIDENCIA / GUBERNATURA</t>
  </si>
  <si>
    <t>5 1 1 1 3 12 31111 6 M78 01000 131 00C</t>
  </si>
  <si>
    <t>5 1 1 1 3 12 31111 6 M78 01000 131 00C 001</t>
  </si>
  <si>
    <t>5 1 1 1 3 12 31111 6 M78 01000 131 00C 001 11301</t>
  </si>
  <si>
    <t>SUELDOS BASE.</t>
  </si>
  <si>
    <t>5 1 1 1 3 12 31111 6 M78 01000 131 00C 001 11301 015</t>
  </si>
  <si>
    <t>5 1 1 1 3 12 31111 6 M78 01000 131 00C 001 11301 015 2111100</t>
  </si>
  <si>
    <t>SUELDOS Y SALARIOS</t>
  </si>
  <si>
    <t>5 1 1 1 3 12 31111 6 M78 01000 131 00C 001 11301 015 2111100 2024</t>
  </si>
  <si>
    <t>5 1 1 1 3 12 31111 6 M78 01000 131 00C 001 11301 015 2111100 2024 00000000</t>
  </si>
  <si>
    <t>5 1 1 1 3 12 31111 6 M78 01000 131 00C 001 11301 015 2111100 2024 00000000 001</t>
  </si>
  <si>
    <t>5 1 1 1 3 12 31111 6 M78 01000 131 00C 001 11301 015 2111100 2024 00000000 001 001</t>
  </si>
  <si>
    <t>EMPLEADOS PRESIDENCIA</t>
  </si>
  <si>
    <t>5 1 1 1 3 12 31111 6 M78 01000 131 00C 001 11301 015 2111100 2024 00000000 001 001 001</t>
  </si>
  <si>
    <t>SUELDO BASE</t>
  </si>
  <si>
    <t>5 1 1 1 3 12 31111 6 M78 02000</t>
  </si>
  <si>
    <t>SINDICATURA MUNICIPAL</t>
  </si>
  <si>
    <t>5 1 1 1 3 12 31111 6 M78 02000 122</t>
  </si>
  <si>
    <t>PROCURACIÓN DE JUSTICIA</t>
  </si>
  <si>
    <t>5 1 1 1 3 12 31111 6 M78 02000 122 00C</t>
  </si>
  <si>
    <t>5 1 1 1 3 12 31111 6 M78 02000 122 00C 001</t>
  </si>
  <si>
    <t>5 1 1 1 3 12 31111 6 M78 02000 122 00C 001 11301</t>
  </si>
  <si>
    <t>5 1 1 1 3 12 31111 6 M78 02000 122 00C 001 11301 015</t>
  </si>
  <si>
    <t>5 1 1 1 3 12 31111 6 M78 02000 122 00C 001 11301 015 2111100</t>
  </si>
  <si>
    <t>5 1 1 1 3 12 31111 6 M78 02000 122 00C 001 11301 015 2111100 2024</t>
  </si>
  <si>
    <t>5 1 1 1 3 12 31111 6 M78 02000 122 00C 001 11301 015 2111100 2024 00000000</t>
  </si>
  <si>
    <t>5 1 1 1 3 12 31111 6 M78 02000 122 00C 001 11301 015 2111100 2024 00000000 001</t>
  </si>
  <si>
    <t>5 1 1 1 3 12 31111 6 M78 02000 122 00C 001 11301 015 2111100 2024 00000000 001 001</t>
  </si>
  <si>
    <t>EMPLEADOS SINDICATURA</t>
  </si>
  <si>
    <t>5 1 1 1 3 12 31111 6 M78 02000 122 00C 001 11301 015 2111100 2024 00000000 001 001 002</t>
  </si>
  <si>
    <t>5 1 1 1 3 12 31111 6 M78 05000</t>
  </si>
  <si>
    <t>REGIDURIAS</t>
  </si>
  <si>
    <t>5 1 1 1 3 12 31111 6 M78 05000 111</t>
  </si>
  <si>
    <t>LEGISLACIÓN</t>
  </si>
  <si>
    <t>5 1 1 1 3 12 31111 6 M78 05000 111 00C</t>
  </si>
  <si>
    <t>5 1 1 1 3 12 31111 6 M78 05000 111 00C 001</t>
  </si>
  <si>
    <t>5 1 1 1 3 12 31111 6 M78 05000 111 00C 001 11301</t>
  </si>
  <si>
    <t>5 1 1 1 3 12 31111 6 M78 05000 111 00C 001 11301 015</t>
  </si>
  <si>
    <t>5 1 1 1 3 12 31111 6 M78 05000 111 00C 001 11301 015 2111100</t>
  </si>
  <si>
    <t>5 1 1 1 3 12 31111 6 M78 05000 111 00C 001 11301 015 2111100 2024</t>
  </si>
  <si>
    <t>5 1 1 1 3 12 31111 6 M78 05000 111 00C 001 11301 015 2111100 2024 00000000</t>
  </si>
  <si>
    <t>5 1 1 1 3 12 31111 6 M78 05000 111 00C 001 11301 015 2111100 2024 00000000 001</t>
  </si>
  <si>
    <t>5 1 1 1 3 12 31111 6 M78 05000 111 00C 001 11301 015 2111100 2024 00000000 001 001</t>
  </si>
  <si>
    <t>EMPLEADOS REGIDURIAS</t>
  </si>
  <si>
    <t>5 1 1 1 3 12 31111 6 M78 05000 111 00C 001 11301 015 2111100 2024 00000000 001 001 005</t>
  </si>
  <si>
    <t>5 1 1 1 3 12 31111 6 M78 06000</t>
  </si>
  <si>
    <t>SECRETARIA GENERAL</t>
  </si>
  <si>
    <t>5 1 1 1 3 12 31111 6 M78 06000 132</t>
  </si>
  <si>
    <t>POLÍTICA INTERIOR</t>
  </si>
  <si>
    <t>5 1 1 1 3 12 31111 6 M78 06000 132 00C</t>
  </si>
  <si>
    <t>5 1 1 1 3 12 31111 6 M78 06000 132 00C 001</t>
  </si>
  <si>
    <t>5 1 1 1 3 12 31111 6 M78 06000 132 00C 001 11301</t>
  </si>
  <si>
    <t>5 1 1 1 3 12 31111 6 M78 06000 132 00C 001 11301 015</t>
  </si>
  <si>
    <t>5 1 1 1 3 12 31111 6 M78 06000 132 00C 001 11301 015 2111100</t>
  </si>
  <si>
    <t>5 1 1 1 3 12 31111 6 M78 06000 132 00C 001 11301 015 2111100 2024</t>
  </si>
  <si>
    <t>5 1 1 1 3 12 31111 6 M78 06000 132 00C 001 11301 015 2111100 2024 00000000</t>
  </si>
  <si>
    <t>5 1 1 1 3 12 31111 6 M78 06000 132 00C 001 11301 015 2111100 2024 00000000 001</t>
  </si>
  <si>
    <t>5 1 1 1 3 12 31111 6 M78 06000 132 00C 001 11301 015 2111100 2024 00000000 001 001</t>
  </si>
  <si>
    <t>EMPLEADOS SECRETARIA GENERAL</t>
  </si>
  <si>
    <t>5 1 1 1 3 12 31111 6 M78 06000 132 00C 001 11301 015 2111100 2024 00000000 001 001 006</t>
  </si>
  <si>
    <t>5 1 1 1 3 12 31111 6 M78 06000 132 00C 001 13403</t>
  </si>
  <si>
    <t>COMPENSACIONES POR SEDRVICIOS ESPECIALESD</t>
  </si>
  <si>
    <t>5 1 1 1 3 12 31111 6 M78 06000 132 00C 001 13403 015</t>
  </si>
  <si>
    <t>5 1 1 1 3 12 31111 6 M78 06000 132 00C 001 13403 015 2111100</t>
  </si>
  <si>
    <t>5 1 1 1 3 12 31111 6 M78 06000 132 00C 001 13403 015 2111100 2024</t>
  </si>
  <si>
    <t>5 1 1 1 3 12 31111 6 M78 06000 132 00C 001 13403 015 2111100 2024 00000000</t>
  </si>
  <si>
    <t>5 1 1 1 3 12 31111 6 M78 07000</t>
  </si>
  <si>
    <t>5 1 1 1 3 12 31111 6 M78 07000 151</t>
  </si>
  <si>
    <t>5 1 1 1 3 12 31111 6 M78 07000 151 00C</t>
  </si>
  <si>
    <t>5 1 1 1 3 12 31111 6 M78 07000 151 00C 001</t>
  </si>
  <si>
    <t>5 1 1 1 3 12 31111 6 M78 07000 151 00C 001 11301</t>
  </si>
  <si>
    <t>5 1 1 1 3 12 31111 6 M78 07000 151 00C 001 11301 015</t>
  </si>
  <si>
    <t>5 1 1 1 3 12 31111 6 M78 07000 151 00C 001 11301 015 2111100</t>
  </si>
  <si>
    <t>5 1 1 1 3 12 31111 6 M78 07000 151 00C 001 11301 015 2111100 2024</t>
  </si>
  <si>
    <t>5 1 1 1 3 12 31111 6 M78 07000 151 00C 001 11301 015 2111100 2024 00000000</t>
  </si>
  <si>
    <t>5 1 1 1 3 12 31111 6 M78 07000 151 00C 001 11301 015 2111100 2024 00000000 001</t>
  </si>
  <si>
    <t>5 1 1 1 3 12 31111 6 M78 07000 151 00C 001 11301 015 2111100 2024 00000000 001 001</t>
  </si>
  <si>
    <t>EMPLEADOS TESORERIA</t>
  </si>
  <si>
    <t>5 1 1 1 3 12 31111 6 M78 07000 151 00C 001 11301 015 2111100 2024 00000000 001 001 007</t>
  </si>
  <si>
    <t>5 1 1 1 3 12 31111 6 M78 08000</t>
  </si>
  <si>
    <t>ORGANO DE CONTROL INTERNO MUNICIPAL</t>
  </si>
  <si>
    <t>5 1 1 1 3 12 31111 6 M78 08000 134</t>
  </si>
  <si>
    <t>FUNCIÓN PÚBLICA</t>
  </si>
  <si>
    <t>5 1 1 1 3 12 31111 6 M78 08000 134 00C</t>
  </si>
  <si>
    <t>5 1 1 1 3 12 31111 6 M78 08000 134 00C 001</t>
  </si>
  <si>
    <t>5 1 1 1 3 12 31111 6 M78 08000 134 00C 001 11301</t>
  </si>
  <si>
    <t>5 1 1 1 3 12 31111 6 M78 08000 134 00C 001 11301 015</t>
  </si>
  <si>
    <t>5 1 1 1 3 12 31111 6 M78 08000 134 00C 001 11301 015 2111100</t>
  </si>
  <si>
    <t>5 1 1 1 3 12 31111 6 M78 08000 134 00C 001 11301 015 2111100 2024</t>
  </si>
  <si>
    <t>5 1 1 1 3 12 31111 6 M78 08000 134 00C 001 11301 015 2111100 2024 00000000</t>
  </si>
  <si>
    <t>5 1 1 1 3 12 31111 6 M78 08000 134 00C 001 11301 015 2111100 2024 00000000 001</t>
  </si>
  <si>
    <t>5 1 1 1 3 12 31111 6 M78 08000 134 00C 001 11301 015 2111100 2024 00000000 001 001</t>
  </si>
  <si>
    <t>EMPLEADOS CONTRALORIA</t>
  </si>
  <si>
    <t>5 1 1 1 3 12 31111 6 M78 08000 134 00C 001 11301 015 2111100 2024 00000000 001 001 008</t>
  </si>
  <si>
    <t>5 1 1 1 3 12 31111 6 M78 09000</t>
  </si>
  <si>
    <t>DIRECCION DE OBRAS PUBLICAS Y DESARROLLO URBANO</t>
  </si>
  <si>
    <t>5 1 1 1 3 12 31111 6 M78 09000 134</t>
  </si>
  <si>
    <t>5 1 1 1 3 12 31111 6 M78 09000 134 00C</t>
  </si>
  <si>
    <t>5 1 1 1 3 12 31111 6 M78 09000 134 00C 001</t>
  </si>
  <si>
    <t>5 1 1 1 3 12 31111 6 M78 09000 134 00C 001 11301</t>
  </si>
  <si>
    <t>5 1 1 1 3 12 31111 6 M78 09000 134 00C 001 11301 015</t>
  </si>
  <si>
    <t>5 1 1 1 3 12 31111 6 M78 09000 134 00C 001 11301 015 2111100</t>
  </si>
  <si>
    <t>5 1 1 1 3 12 31111 6 M78 09000 134 00C 001 11301 015 2111100 2024</t>
  </si>
  <si>
    <t>5 1 1 1 3 12 31111 6 M78 09000 134 00C 001 11301 015 2111100 2024 00000000</t>
  </si>
  <si>
    <t>5 1 1 1 3 12 31111 6 M78 09000 134 00C 001 11301 015 2111100 2024 00000000 001</t>
  </si>
  <si>
    <t>5 1 1 1 3 12 31111 6 M78 09000 134 00C 001 11301 015 2111100 2024 00000000 001 001</t>
  </si>
  <si>
    <t>EMPLEADOS OBRAS PUBLICAS</t>
  </si>
  <si>
    <t>5 1 1 1 3 12 31111 6 M78 09000 134 00C 001 11301 015 2111100 2024 00000000 001 001 008</t>
  </si>
  <si>
    <t>5 1 1 1 3 12 31111 6 M78 11000</t>
  </si>
  <si>
    <t>DIRECCION DE DESARROLLO SOCIAL</t>
  </si>
  <si>
    <t>5 1 1 1 3 12 31111 6 M78 11000 263</t>
  </si>
  <si>
    <t>FAMILIA E HIJOS</t>
  </si>
  <si>
    <t>5 1 1 1 3 12 31111 6 M78 11000 263 00C</t>
  </si>
  <si>
    <t>5 1 1 1 3 12 31111 6 M78 11000 263 00C 001</t>
  </si>
  <si>
    <t>5 1 1 1 3 12 31111 6 M78 11000 263 00C 001 11301</t>
  </si>
  <si>
    <t>5 1 1 1 3 12 31111 6 M78 11000 263 00C 001 11301 015</t>
  </si>
  <si>
    <t>5 1 1 1 3 12 31111 6 M78 11000 263 00C 001 11301 015 2111100</t>
  </si>
  <si>
    <t>5 1 1 1 3 12 31111 6 M78 11000 263 00C 001 11301 015 2111100 2024</t>
  </si>
  <si>
    <t>5 1 1 1 3 12 31111 6 M78 11000 263 00C 001 11301 015 2111100 2024 00000000</t>
  </si>
  <si>
    <t>5 1 1 1 3 12 31111 6 M78 11000 263 00C 001 11301 015 2111100 2024 00000000 001</t>
  </si>
  <si>
    <t>5 1 1 1 3 12 31111 6 M78 11000 263 00C 001 11301 015 2111100 2024 00000000 001 001</t>
  </si>
  <si>
    <t>EMPLEADOS DESARROLLO SOCIAL</t>
  </si>
  <si>
    <t>5 1 1 1 3 12 31111 6 M78 11000 263 00C 001 11301 015 2111100 2024 00000000 001 001 011</t>
  </si>
  <si>
    <t>5 1 1 1 3 12 31111 6 M78 12000</t>
  </si>
  <si>
    <t>DIRECCION DEL DIF MUNICIPAL</t>
  </si>
  <si>
    <t>5 1 1 1 3 12 31111 6 M78 12000 265</t>
  </si>
  <si>
    <t>ALIMENTACIÓN Y NUTRICIÓN</t>
  </si>
  <si>
    <t>5 1 1 1 3 12 31111 6 M78 12000 265 00C</t>
  </si>
  <si>
    <t>5 1 1 1 3 12 31111 6 M78 12000 265 00C 001</t>
  </si>
  <si>
    <t>5 1 1 1 3 12 31111 6 M78 12000 265 00C 001 11301</t>
  </si>
  <si>
    <t>5 1 1 1 3 12 31111 6 M78 12000 265 00C 001 11301 015</t>
  </si>
  <si>
    <t>5 1 1 1 3 12 31111 6 M78 12000 265 00C 001 11301 015 2111100</t>
  </si>
  <si>
    <t>5 1 1 1 3 12 31111 6 M78 12000 265 00C 001 11301 015 2111100 2024</t>
  </si>
  <si>
    <t>5 1 1 1 3 12 31111 6 M78 12000 265 00C 001 11301 015 2111100 2024 00000000</t>
  </si>
  <si>
    <t>5 1 1 1 3 12 31111 6 M78 12000 265 00C 001 11301 015 2111100 2024 00000000 001</t>
  </si>
  <si>
    <t>5 1 1 1 3 12 31111 6 M78 12000 265 00C 001 11301 015 2111100 2024 00000000 001 001</t>
  </si>
  <si>
    <t>EMPLEADOS DIF MUNICIPAL</t>
  </si>
  <si>
    <t>5 1 1 1 3 12 31111 6 M78 12000 265 00C 001 11301 015 2111100 2024 00000000 001 001 012</t>
  </si>
  <si>
    <t>5 1 1 1 3 12 31111 6 M78 13000</t>
  </si>
  <si>
    <t>JEFATURA DE ADMINISTRACION</t>
  </si>
  <si>
    <t>5 1 1 1 3 12 31111 6 M78 13000 151</t>
  </si>
  <si>
    <t>5 1 1 1 3 12 31111 6 M78 13000 151 00C</t>
  </si>
  <si>
    <t>5 1 1 1 3 12 31111 6 M78 13000 151 00C 001</t>
  </si>
  <si>
    <t>5 1 1 1 3 12 31111 6 M78 13000 151 00C 001 11301</t>
  </si>
  <si>
    <t>5 1 1 1 3 12 31111 6 M78 13000 151 00C 001 11301 015</t>
  </si>
  <si>
    <t>5 1 1 1 3 12 31111 6 M78 13000 151 00C 001 11301 015 2111100</t>
  </si>
  <si>
    <t>5 1 1 1 3 12 31111 6 M78 13000 151 00C 001 11301 015 2111100 2024</t>
  </si>
  <si>
    <t>5 1 1 1 3 12 31111 6 M78 13000 151 00C 001 11301 015 2111100 2024 00000000</t>
  </si>
  <si>
    <t>5 1 1 1 3 12 31111 6 M78 13000 151 00C 001 11301 015 2111100 2024 00000000 001</t>
  </si>
  <si>
    <t>5 1 1 1 3 12 31111 6 M78 13000 151 00C 001 11301 015 2111100 2024 00000000 001 001</t>
  </si>
  <si>
    <t>EMPLEADOS JEFATURA DE ADMINISTRACION</t>
  </si>
  <si>
    <t>5 1 1 1 3 12 31111 6 M78 13000 151 00C 001 11301 015 2111100 2024 00000000 001 001 013</t>
  </si>
  <si>
    <t>5 1 1 1 3 12 31111 6 M78 14000</t>
  </si>
  <si>
    <t>DIRECCION DE SERVICIOS PUBLICOS</t>
  </si>
  <si>
    <t>5 1 1 1 3 12 31111 6 M78 14000 211</t>
  </si>
  <si>
    <t>ORDENACIÓN DE DESECHOS</t>
  </si>
  <si>
    <t>5 1 1 1 3 12 31111 6 M78 14000 211 00C</t>
  </si>
  <si>
    <t>5 1 1 1 3 12 31111 6 M78 14000 211 00C 001</t>
  </si>
  <si>
    <t>5 1 1 1 3 12 31111 6 M78 14000 211 00C 001 11301</t>
  </si>
  <si>
    <t>5 1 1 1 3 12 31111 6 M78 14000 211 00C 001 11301 015</t>
  </si>
  <si>
    <t>5 1 1 1 3 12 31111 6 M78 14000 211 00C 001 11301 015 2111100</t>
  </si>
  <si>
    <t>5 1 1 1 3 12 31111 6 M78 14000 211 00C 001 11301 015 2111100 2024</t>
  </si>
  <si>
    <t>5 1 1 1 3 12 31111 6 M78 14000 211 00C 001 11301 015 2111100 2024 00000000</t>
  </si>
  <si>
    <t>5 1 1 1 3 12 31111 6 M78 14000 211 00C 001 11301 015 2111100 2024 00000000 001</t>
  </si>
  <si>
    <t>5 1 1 1 3 12 31111 6 M78 14000 211 00C 001 11301 015 2111100 2024 00000000 001 001</t>
  </si>
  <si>
    <t>EMPLEADOS SERVICIOS PUBLICOS</t>
  </si>
  <si>
    <t>5 1 1 1 3 12 31111 6 M78 14000 211 00C 001 11301 015 2111100 2024 00000000 001 001 014</t>
  </si>
  <si>
    <t>5 1 1 1 3 12 31111 6 M78 19000</t>
  </si>
  <si>
    <t>5 1 1 1 3 12 31111 6 M78 19000 321</t>
  </si>
  <si>
    <t>AGROPECUARIA</t>
  </si>
  <si>
    <t>5 1 1 1 3 12 31111 6 M78 19000 321 00C</t>
  </si>
  <si>
    <t>5 1 1 1 3 12 31111 6 M78 19000 321 00C 001</t>
  </si>
  <si>
    <t>5 1 1 1 3 12 31111 6 M78 19000 321 00C 001 11301</t>
  </si>
  <si>
    <t>5 1 1 1 3 12 31111 6 M78 19000 321 00C 001 11301 015</t>
  </si>
  <si>
    <t>5 1 1 1 3 12 31111 6 M78 19000 321 00C 001 11301 015 2111100</t>
  </si>
  <si>
    <t>5 1 1 1 3 12 31111 6 M78 19000 321 00C 001 11301 015 2111100 2024</t>
  </si>
  <si>
    <t>5 1 1 1 3 12 31111 6 M78 19000 321 00C 001 11301 015 2111100 2024 00000000</t>
  </si>
  <si>
    <t>5 1 1 1 3 12 31111 6 M78 19000 321 00C 001 11301 015 2111100 2024 00000000 001</t>
  </si>
  <si>
    <t>5 1 1 1 3 12 31111 6 M78 19000 321 00C 001 11301 015 2111100 2024 00000000 001 001</t>
  </si>
  <si>
    <t>EMPLEADOS DESARROLLO RURAL</t>
  </si>
  <si>
    <t>5 1 1 1 3 12 31111 6 M78 19000 321 00C 001 11301 015 2111100 2024 00000000 001 001 019</t>
  </si>
  <si>
    <t>5 1 1 1 3 12 31111 6 M78 20000</t>
  </si>
  <si>
    <t>DIRECCION DE REGISTRO CIVIL</t>
  </si>
  <si>
    <t>5 1 1 1 3 12 31111 6 M78 20000 181</t>
  </si>
  <si>
    <t>SERVICIOS REGISTRALES, ADMINISTRATIVOS Y PATRIMONIALES</t>
  </si>
  <si>
    <t>5 1 1 1 3 12 31111 6 M78 20000 181 00C</t>
  </si>
  <si>
    <t>5 1 1 1 3 12 31111 6 M78 20000 181 00C 001</t>
  </si>
  <si>
    <t>5 1 1 1 3 12 31111 6 M78 20000 181 00C 001 11301</t>
  </si>
  <si>
    <t>5 1 1 1 3 12 31111 6 M78 20000 181 00C 001 11301 015</t>
  </si>
  <si>
    <t>5 1 1 1 3 12 31111 6 M78 20000 181 00C 001 11301 015 2111100</t>
  </si>
  <si>
    <t>5 1 1 1 3 12 31111 6 M78 20000 181 00C 001 11301 015 2111100 2024</t>
  </si>
  <si>
    <t>5 1 1 1 3 12 31111 6 M78 20000 181 00C 001 11301 015 2111100 2024 00000000</t>
  </si>
  <si>
    <t>5 1 1 1 3 12 31111 6 M78 20000 181 00C 001 11301 015 2111100 2024 00000000 001</t>
  </si>
  <si>
    <t>5 1 1 1 3 12 31111 6 M78 20000 181 00C 001 11301 015 2111100 2024 00000000 001 001</t>
  </si>
  <si>
    <t>EMPLEADOS REGISTRO CIVIL</t>
  </si>
  <si>
    <t>5 1 1 1 3 12 31111 6 M78 20000 181 00C 001 11301 015 2111100 2024 00000000 001 001 020</t>
  </si>
  <si>
    <t>5 1 1 1 3 12 31111 6 M78 21000</t>
  </si>
  <si>
    <t>DIRECCION DE EDUCACION Y CULTURA</t>
  </si>
  <si>
    <t>5 1 1 1 3 12 31111 6 M78 21000 242</t>
  </si>
  <si>
    <t>CULTURA</t>
  </si>
  <si>
    <t>5 1 1 1 3 12 31111 6 M78 21000 242 00C</t>
  </si>
  <si>
    <t>5 1 1 1 3 12 31111 6 M78 21000 242 00C 001</t>
  </si>
  <si>
    <t>5 1 1 1 3 12 31111 6 M78 21000 242 00C 001 11301</t>
  </si>
  <si>
    <t>5 1 1 1 3 12 31111 6 M78 21000 242 00C 001 11301 015</t>
  </si>
  <si>
    <t>5 1 1 1 3 12 31111 6 M78 21000 242 00C 001 11301 015 2111100</t>
  </si>
  <si>
    <t>5 1 1 1 3 12 31111 6 M78 21000 242 00C 001 11301 015 2111100 2024</t>
  </si>
  <si>
    <t>5 1 1 1 3 12 31111 6 M78 21000 242 00C 001 11301 015 2111100 2024 00000000</t>
  </si>
  <si>
    <t>5 1 1 1 3 12 31111 6 M78 21000 242 00C 001 11301 015 2111100 2024 00000000 001</t>
  </si>
  <si>
    <t>GASTO CORIENTE</t>
  </si>
  <si>
    <t>5 1 1 1 3 12 31111 6 M78 21000 242 00C 001 11301 015 2111100 2024 00000000 001 001</t>
  </si>
  <si>
    <t>EMPLEADOS DE EDUCACION Y CULTURA</t>
  </si>
  <si>
    <t>5 1 1 1 3 12 31111 6 M78 21000 242 00C 001 11301 015 2111100 2024 00000000 001 001 021</t>
  </si>
  <si>
    <t>5 1 1 1 3 12 31111 6 M78 22000</t>
  </si>
  <si>
    <t>COORDINACION SECRETARIA DE LA MUJER</t>
  </si>
  <si>
    <t>5 1 1 1 3 12 31111 6 M78 22000 271</t>
  </si>
  <si>
    <t>OTROS ASUNTOS SOCIALES</t>
  </si>
  <si>
    <t>5 1 1 1 3 12 31111 6 M78 22000 271 00C</t>
  </si>
  <si>
    <t>5 1 1 1 3 12 31111 6 M78 22000 271 00C 001</t>
  </si>
  <si>
    <t>5 1 1 1 3 12 31111 6 M78 22000 271 00C 001 11301</t>
  </si>
  <si>
    <t>5 1 1 1 3 12 31111 6 M78 22000 271 00C 001 11301 015</t>
  </si>
  <si>
    <t>5 1 1 1 3 12 31111 6 M78 22000 271 00C 001 11301 015 2111100</t>
  </si>
  <si>
    <t>5 1 1 1 3 12 31111 6 M78 22000 271 00C 001 11301 015 2111100 2024</t>
  </si>
  <si>
    <t>5 1 1 1 3 12 31111 6 M78 22000 271 00C 001 11301 015 2111100 2024 00000000</t>
  </si>
  <si>
    <t>5 1 1 1 3 12 31111 6 M78 22000 271 00C 001 11301 015 2111100 2024 00000000 001</t>
  </si>
  <si>
    <t>5 1 1 1 3 12 31111 6 M78 22000 271 00C 001 11301 015 2111100 2024 00000000 001 001</t>
  </si>
  <si>
    <t>EMPLEADOS SECRETARIA DE LA MUJER</t>
  </si>
  <si>
    <t>5 1 1 1 3 12 31111 6 M78 22000 271 00C 001 11301 015 2111100 2024 00000000 001 001 022</t>
  </si>
  <si>
    <t>5 1 1 1 3 12 31111 6 M78 26000</t>
  </si>
  <si>
    <t>COORDINACION DE COMUNICACION SOCIAL</t>
  </si>
  <si>
    <t>5 1 1 1 3 12 31111 6 M78 26000 183</t>
  </si>
  <si>
    <t>SERVICIOS DE COMUNICACIÓN Y MEDIOS</t>
  </si>
  <si>
    <t>5 1 1 1 3 12 31111 6 M78 26000 183 00C</t>
  </si>
  <si>
    <t>5 1 1 1 3 12 31111 6 M78 26000 183 00C 001</t>
  </si>
  <si>
    <t>5 1 1 1 3 12 31111 6 M78 26000 183 00C 001 11301</t>
  </si>
  <si>
    <t>5 1 1 1 3 12 31111 6 M78 26000 183 00C 001 11301 015</t>
  </si>
  <si>
    <t>5 1 1 1 3 12 31111 6 M78 26000 183 00C 001 11301 015 2111100</t>
  </si>
  <si>
    <t>5 1 1 1 3 12 31111 6 M78 26000 183 00C 001 11301 015 2111100 2024</t>
  </si>
  <si>
    <t>5 1 1 1 3 12 31111 6 M78 26000 183 00C 001 11301 015 2111100 2024 00000000</t>
  </si>
  <si>
    <t>5 1 1 1 3 12 31111 6 M78 26000 183 00C 001 11301 015 2111100 2024 00000000 001</t>
  </si>
  <si>
    <t>5 1 1 1 3 12 31111 6 M78 26000 183 00C 001 11301 015 2111100 2024 00000000 001 001</t>
  </si>
  <si>
    <t>EMPLEADOS DE COMUNICACION SOCIAL</t>
  </si>
  <si>
    <t>5 1 1 1 3 12 31111 6 M78 26000 183 00C 001 11301 015 2111100 2024 00000000 001 001 026</t>
  </si>
  <si>
    <t>5 1 1 1 3 12 31111 6 M78 27000</t>
  </si>
  <si>
    <t>UNIDAD DE TRASNPARENCIA</t>
  </si>
  <si>
    <t>5 1 1 1 3 12 31111 6 M78 27000 184</t>
  </si>
  <si>
    <t>ACCESO A LA INFORMACIÓN PÚBLICA GUBERNAMENTAL</t>
  </si>
  <si>
    <t>5 1 1 1 3 12 31111 6 M78 27000 184 00C</t>
  </si>
  <si>
    <t>5 1 1 1 3 12 31111 6 M78 27000 184 00C 001</t>
  </si>
  <si>
    <t>5 1 1 1 3 12 31111 6 M78 27000 184 00C 001 11301</t>
  </si>
  <si>
    <t>5 1 1 1 3 12 31111 6 M78 27000 184 00C 001 11301 015</t>
  </si>
  <si>
    <t>5 1 1 1 3 12 31111 6 M78 27000 184 00C 001 11301 015 2111100</t>
  </si>
  <si>
    <t>5 1 1 1 3 12 31111 6 M78 27000 184 00C 001 11301 015 2111100 2024</t>
  </si>
  <si>
    <t>5 1 1 1 3 12 31111 6 M78 27000 184 00C 001 11301 015 2111100 2024 00000000</t>
  </si>
  <si>
    <t>5 1 1 1 3 12 31111 6 M78 27000 184 00C 001 11301 015 2111100 2024 00000000 001</t>
  </si>
  <si>
    <t>5 1 1 1 3 12 31111 6 M78 27000 184 00C 001 11301 015 2111100 2024 00000000 001 001</t>
  </si>
  <si>
    <t>EMPLEADOS UNIDAD DE TRASNPARENCIA</t>
  </si>
  <si>
    <t>5 1 1 1 3 12 31111 6 M78 27000 184 00C 001 11301 015 2111100 2024 00000000 001 001 027</t>
  </si>
  <si>
    <t>5 1 1 3</t>
  </si>
  <si>
    <t>REMUNERACIONES ADICIONALES Y ESPECIALES</t>
  </si>
  <si>
    <t>5 1 1 3 4</t>
  </si>
  <si>
    <t>COMPENSACIONES</t>
  </si>
  <si>
    <t>5 1 1 3 4 12</t>
  </si>
  <si>
    <t>5 1 1 3 4 12 31111</t>
  </si>
  <si>
    <t>5 1 1 3 4 12 31111 6</t>
  </si>
  <si>
    <t>5 1 1 3 4 12 31111 6 M78</t>
  </si>
  <si>
    <t>5 1 1 3 4 12 31111 6 M78 01000</t>
  </si>
  <si>
    <t>5 1 1 3 4 12 31111 6 M78 01000 131</t>
  </si>
  <si>
    <t>5 1 1 3 4 12 31111 6 M78 01000 131 00C</t>
  </si>
  <si>
    <t>5 1 1 3 4 12 31111 6 M78 01000 131 00C 001</t>
  </si>
  <si>
    <t>5 1 1 3 4 12 31111 6 M78 01000 131 00C 001 13403</t>
  </si>
  <si>
    <t>COMPENSACIONES POR SERVICIOS ESPECIALES.</t>
  </si>
  <si>
    <t>5 1 1 3 4 12 31111 6 M78 01000 131 00C 001 13403 015</t>
  </si>
  <si>
    <t>5 1 1 3 4 12 31111 6 M78 01000 131 00C 001 13403 015 2111100</t>
  </si>
  <si>
    <t>5 1 1 3 4 12 31111 6 M78 01000 131 00C 001 13403 015 2111100 2024</t>
  </si>
  <si>
    <t>5 1 1 3 4 12 31111 6 M78 01000 131 00C 001 13403 015 2111100 2024 00000000</t>
  </si>
  <si>
    <t>5 1 1 3 4 12 31111 6 M78 01000 131 00C 001 13403 015 2111100 2024 00000000 001</t>
  </si>
  <si>
    <t>5 1 1 3 4 12 31111 6 M78 01000 131 00C 001 13403 015 2111100 2024 00000000 001 001</t>
  </si>
  <si>
    <t>5 1 1 3 4 12 31111 6 M78 01000 131 00C 001 13403 015 2111100 2024 00000000 001 001 001</t>
  </si>
  <si>
    <t>COMPENSACIONES POR SERVICIOS ESPECIALES</t>
  </si>
  <si>
    <t>5 1 1 3 4 12 31111 6 M78 01000 131 00C 001 13406</t>
  </si>
  <si>
    <t>COMPENSACIONES DE SERVICIOS.</t>
  </si>
  <si>
    <t>5 1 1 3 4 12 31111 6 M78 01000 131 00C 001 13406 015</t>
  </si>
  <si>
    <t>5 1 1 3 4 12 31111 6 M78 01000 131 00C 001 13406 015 2111100</t>
  </si>
  <si>
    <t>5 1 1 3 4 12 31111 6 M78 01000 131 00C 001 13406 015 2111100 2024</t>
  </si>
  <si>
    <t>5 1 1 3 4 12 31111 6 M78 01000 131 00C 001 13406 015 2111100 2024 00000000</t>
  </si>
  <si>
    <t>5 1 1 3 4 12 31111 6 M78 01000 131 00C 001 13406 015 2111100 2024 00000000 001</t>
  </si>
  <si>
    <t>5 1 1 3 4 12 31111 6 M78 01000 131 00C 001 13406 015 2111100 2024 00000000 001 001</t>
  </si>
  <si>
    <t>5 1 1 3 4 12 31111 6 M78 01000 131 00C 001 13406 015 2111100 2024 00000000 001 001 001</t>
  </si>
  <si>
    <t>COMPENSACIONES DE SERVICIOS</t>
  </si>
  <si>
    <t>5 1 1 3 4 12 31111 6 M78 02000</t>
  </si>
  <si>
    <t>5 1 1 3 4 12 31111 6 M78 02000 122</t>
  </si>
  <si>
    <t>5 1 1 3 4 12 31111 6 M78 02000 122 00C</t>
  </si>
  <si>
    <t>5 1 1 3 4 12 31111 6 M78 02000 122 00C 001</t>
  </si>
  <si>
    <t>5 1 1 3 4 12 31111 6 M78 02000 122 00C 001 13403</t>
  </si>
  <si>
    <t>5 1 1 3 4 12 31111 6 M78 02000 122 00C 001 13403 015</t>
  </si>
  <si>
    <t>5 1 1 3 4 12 31111 6 M78 02000 122 00C 001 13403 015 2111100</t>
  </si>
  <si>
    <t>5 1 1 3 4 12 31111 6 M78 02000 122 00C 001 13403 015 2111100 2024</t>
  </si>
  <si>
    <t>5 1 1 3 4 12 31111 6 M78 02000 122 00C 001 13403 015 2111100 2024 00000000</t>
  </si>
  <si>
    <t>5 1 1 3 4 12 31111 6 M78 02000 122 00C 001 13403 015 2111100 2024 00000000 001</t>
  </si>
  <si>
    <t>5 1 1 3 4 12 31111 6 M78 02000 122 00C 001 13403 015 2111100 2024 00000000 001 001</t>
  </si>
  <si>
    <t>5 1 1 3 4 12 31111 6 M78 02000 122 00C 001 13403 015 2111100 2024 00000000 001 001 002</t>
  </si>
  <si>
    <t>5 1 1 3 4 12 31111 6 M78 02000 122 00C 001 13406</t>
  </si>
  <si>
    <t>5 1 1 3 4 12 31111 6 M78 02000 122 00C 001 13406 015</t>
  </si>
  <si>
    <t>5 1 1 3 4 12 31111 6 M78 02000 122 00C 001 13406 015 2111100</t>
  </si>
  <si>
    <t>5 1 1 3 4 12 31111 6 M78 02000 122 00C 001 13406 015 2111100 2024</t>
  </si>
  <si>
    <t>5 1 1 3 4 12 31111 6 M78 02000 122 00C 001 13406 015 2111100 2024 00000000</t>
  </si>
  <si>
    <t>5 1 1 3 4 12 31111 6 M78 02000 122 00C 001 13406 015 2111100 2024 00000000 001</t>
  </si>
  <si>
    <t>5 1 1 3 4 12 31111 6 M78 02000 122 00C 001 13406 015 2111100 2024 00000000 001 001</t>
  </si>
  <si>
    <t>5 1 1 3 4 12 31111 6 M78 02000 122 00C 001 13406 015 2111100 2024 00000000 001 001 002</t>
  </si>
  <si>
    <t>5 1 1 3 4 12 31111 6 M78 05000</t>
  </si>
  <si>
    <t>5 1 1 3 4 12 31111 6 M78 05000 111</t>
  </si>
  <si>
    <t>5 1 1 3 4 12 31111 6 M78 05000 111 00C</t>
  </si>
  <si>
    <t>5 1 1 3 4 12 31111 6 M78 05000 111 00C 001</t>
  </si>
  <si>
    <t>5 1 1 3 4 12 31111 6 M78 05000 111 00C 001 13403</t>
  </si>
  <si>
    <t>5 1 1 3 4 12 31111 6 M78 05000 111 00C 001 13403 015</t>
  </si>
  <si>
    <t>5 1 1 3 4 12 31111 6 M78 05000 111 00C 001 13403 015 2111100</t>
  </si>
  <si>
    <t>5 1 1 3 4 12 31111 6 M78 05000 111 00C 001 13403 015 2111100 2024</t>
  </si>
  <si>
    <t>5 1 1 3 4 12 31111 6 M78 05000 111 00C 001 13403 015 2111100 2024 00000000</t>
  </si>
  <si>
    <t>5 1 1 3 4 12 31111 6 M78 05000 111 00C 001 13403 015 2111100 2024 00000000 001</t>
  </si>
  <si>
    <t>5 1 1 3 4 12 31111 6 M78 05000 111 00C 001 13403 015 2111100 2024 00000000 001 001</t>
  </si>
  <si>
    <t>5 1 1 3 4 12 31111 6 M78 05000 111 00C 001 13403 015 2111100 2024 00000000 001 001 005</t>
  </si>
  <si>
    <t>5 1 1 3 4 12 31111 6 M78 05000 111 00C 001 13406</t>
  </si>
  <si>
    <t>5 1 1 3 4 12 31111 6 M78 05000 111 00C 001 13406 015</t>
  </si>
  <si>
    <t>5 1 1 3 4 12 31111 6 M78 05000 111 00C 001 13406 015 2111100</t>
  </si>
  <si>
    <t>5 1 1 3 4 12 31111 6 M78 05000 111 00C 001 13406 015 2111100 2024</t>
  </si>
  <si>
    <t>5 1 1 3 4 12 31111 6 M78 05000 111 00C 001 13406 015 2111100 2024 00000000</t>
  </si>
  <si>
    <t>5 1 1 3 4 12 31111 6 M78 05000 111 00C 001 13406 015 2111100 2024 00000000 001</t>
  </si>
  <si>
    <t>5 1 1 3 4 12 31111 6 M78 05000 111 00C 001 13406 015 2111100 2024 00000000 001 001</t>
  </si>
  <si>
    <t>5 1 1 3 4 12 31111 6 M78 05000 111 00C 001 13406 015 2111100 2024 00000000 001 001 005</t>
  </si>
  <si>
    <t>5 1 1 3 4 12 31111 6 M78 06000</t>
  </si>
  <si>
    <t>5 1 1 3 4 12 31111 6 M78 06000 132</t>
  </si>
  <si>
    <t>5 1 1 3 4 12 31111 6 M78 06000 132 00C</t>
  </si>
  <si>
    <t>5 1 1 3 4 12 31111 6 M78 06000 132 00C 001</t>
  </si>
  <si>
    <t>5 1 1 3 4 12 31111 6 M78 06000 132 00C 001 13406</t>
  </si>
  <si>
    <t>5 1 1 3 4 12 31111 6 M78 06000 132 00C 001 13406 015</t>
  </si>
  <si>
    <t>5 1 1 3 4 12 31111 6 M78 06000 132 00C 001 13406 015 2111100</t>
  </si>
  <si>
    <t>5 1 1 3 4 12 31111 6 M78 06000 132 00C 001 13406 015 2111100 2024</t>
  </si>
  <si>
    <t>5 1 1 3 4 12 31111 6 M78 06000 132 00C 001 13406 015 2111100 2024 00000000</t>
  </si>
  <si>
    <t>5 1 1 3 4 12 31111 6 M78 06000 132 00C 001 13406 015 2111100 2024 00000000 001</t>
  </si>
  <si>
    <t>5 1 1 3 4 12 31111 6 M78 06000 132 00C 001 13406 015 2111100 2024 00000000 001 001</t>
  </si>
  <si>
    <t>5 1 1 3 4 12 31111 6 M78 06000 132 00C 001 13406 015 2111100 2024 00000000 001 001 006</t>
  </si>
  <si>
    <t>5 1 1 3 4 12 31111 6 M78 07000</t>
  </si>
  <si>
    <t>5 1 1 3 4 12 31111 6 M78 07000 151</t>
  </si>
  <si>
    <t>5 1 1 3 4 12 31111 6 M78 07000 151 00C</t>
  </si>
  <si>
    <t>5 1 1 3 4 12 31111 6 M78 07000 151 00C 001</t>
  </si>
  <si>
    <t>5 1 1 3 4 12 31111 6 M78 07000 151 00C 001 13403</t>
  </si>
  <si>
    <t>5 1 1 3 4 12 31111 6 M78 07000 151 00C 001 13403 015</t>
  </si>
  <si>
    <t>5 1 1 3 4 12 31111 6 M78 07000 151 00C 001 13403 015 2111100</t>
  </si>
  <si>
    <t>5 1 1 3 4 12 31111 6 M78 07000 151 00C 001 13403 015 2111100 2024</t>
  </si>
  <si>
    <t>5 1 1 3 4 12 31111 6 M78 07000 151 00C 001 13403 015 2111100 2024 00000000</t>
  </si>
  <si>
    <t>5 1 1 3 4 12 31111 6 M78 07000 151 00C 001 13403 015 2111100 2024 00000000 001</t>
  </si>
  <si>
    <t>5 1 1 3 4 12 31111 6 M78 07000 151 00C 001 13403 015 2111100 2024 00000000 001 001</t>
  </si>
  <si>
    <t>5 1 1 3 4 12 31111 6 M78 07000 151 00C 001 13403 015 2111100 2024 00000000 001 001 007</t>
  </si>
  <si>
    <t>5 1 1 3 4 12 31111 6 M78 07000 151 00C 001 13406</t>
  </si>
  <si>
    <t>5 1 1 3 4 12 31111 6 M78 07000 151 00C 001 13406 015</t>
  </si>
  <si>
    <t>5 1 1 3 4 12 31111 6 M78 07000 151 00C 001 13406 015 2111100</t>
  </si>
  <si>
    <t>5 1 1 3 4 12 31111 6 M78 07000 151 00C 001 13406 015 2111100 2024</t>
  </si>
  <si>
    <t>5 1 1 3 4 12 31111 6 M78 07000 151 00C 001 13406 015 2111100 2024 00000000</t>
  </si>
  <si>
    <t>5 1 1 3 4 12 31111 6 M78 07000 151 00C 001 13406 015 2111100 2024 00000000 001</t>
  </si>
  <si>
    <t>5 1 1 3 4 12 31111 6 M78 07000 151 00C 001 13406 015 2111100 2024 00000000 001 001</t>
  </si>
  <si>
    <t>5 1 1 3 4 12 31111 6 M78 07000 151 00C 001 13406 015 2111100 2024 00000000 001 001 007</t>
  </si>
  <si>
    <t>5 1 1 3 4 12 31111 6 M78 08000</t>
  </si>
  <si>
    <t>5 1 1 3 4 12 31111 6 M78 08000 134</t>
  </si>
  <si>
    <t>5 1 1 3 4 12 31111 6 M78 08000 134 00C</t>
  </si>
  <si>
    <t>5 1 1 3 4 12 31111 6 M78 08000 134 00C 001</t>
  </si>
  <si>
    <t>5 1 1 3 4 12 31111 6 M78 08000 134 00C 001 13403</t>
  </si>
  <si>
    <t>5 1 1 3 4 12 31111 6 M78 08000 134 00C 001 13403 015</t>
  </si>
  <si>
    <t>5 1 1 3 4 12 31111 6 M78 08000 134 00C 001 13403 015 2111100</t>
  </si>
  <si>
    <t>5 1 1 3 4 12 31111 6 M78 08000 134 00C 001 13403 015 2111100 2024</t>
  </si>
  <si>
    <t>5 1 1 3 4 12 31111 6 M78 08000 134 00C 001 13403 015 2111100 2024 00000000</t>
  </si>
  <si>
    <t>5 1 1 3 4 12 31111 6 M78 08000 134 00C 001 13403 015 2111100 2024 00000000 001</t>
  </si>
  <si>
    <t>5 1 1 3 4 12 31111 6 M78 08000 134 00C 001 13403 015 2111100 2024 00000000 001 001</t>
  </si>
  <si>
    <t>EMPLEADOS CONTRALORIA INTERNA</t>
  </si>
  <si>
    <t>5 1 1 3 4 12 31111 6 M78 08000 134 00C 001 13403 015 2111100 2024 00000000 001 001 008</t>
  </si>
  <si>
    <t>5 1 1 3 4 12 31111 6 M78 08000 134 00C 001 13406</t>
  </si>
  <si>
    <t>5 1 1 3 4 12 31111 6 M78 08000 134 00C 001 13406 015</t>
  </si>
  <si>
    <t>5 1 1 3 4 12 31111 6 M78 08000 134 00C 001 13406 015 2111100</t>
  </si>
  <si>
    <t>5 1 1 3 4 12 31111 6 M78 08000 134 00C 001 13406 015 2111100 2024</t>
  </si>
  <si>
    <t>5 1 1 3 4 12 31111 6 M78 08000 134 00C 001 13406 015 2111100 2024 00000000</t>
  </si>
  <si>
    <t>5 1 1 3 4 12 31111 6 M78 08000 134 00C 001 13406 015 2111100 2024 00000000 001</t>
  </si>
  <si>
    <t>5 1 1 3 4 12 31111 6 M78 08000 134 00C 001 13406 015 2111100 2024 00000000 001 001</t>
  </si>
  <si>
    <t>5 1 1 3 4 12 31111 6 M78 08000 134 00C 001 13406 015 2111100 2024 00000000 001 001 008</t>
  </si>
  <si>
    <t>5 1 1 3 4 12 31111 6 M78 09000</t>
  </si>
  <si>
    <t>5 1 1 3 4 12 31111 6 M78 09000 134</t>
  </si>
  <si>
    <t>5 1 1 3 4 12 31111 6 M78 09000 134 00C</t>
  </si>
  <si>
    <t>5 1 1 3 4 12 31111 6 M78 09000 134 00C 001</t>
  </si>
  <si>
    <t>5 1 1 3 4 12 31111 6 M78 09000 134 00C 001 13403</t>
  </si>
  <si>
    <t>5 1 1 3 4 12 31111 6 M78 09000 134 00C 001 13403 015</t>
  </si>
  <si>
    <t>5 1 1 3 4 12 31111 6 M78 09000 134 00C 001 13403 015 2111100</t>
  </si>
  <si>
    <t>5 1 1 3 4 12 31111 6 M78 09000 134 00C 001 13403 015 2111100 2024</t>
  </si>
  <si>
    <t>5 1 1 3 4 12 31111 6 M78 09000 134 00C 001 13403 015 2111100 2024 00000000</t>
  </si>
  <si>
    <t>5 1 1 3 4 12 31111 6 M78 09000 134 00C 001 13403 015 2111100 2024 00000000 001</t>
  </si>
  <si>
    <t>5 1 1 3 4 12 31111 6 M78 09000 134 00C 001 13403 015 2111100 2024 00000000 001 001</t>
  </si>
  <si>
    <t>5 1 1 3 4 12 31111 6 M78 09000 134 00C 001 13403 015 2111100 2024 00000000 001 001 009</t>
  </si>
  <si>
    <t>5 1 1 3 4 12 31111 6 M78 09000 134 00C 001 13406</t>
  </si>
  <si>
    <t>5 1 1 3 4 12 31111 6 M78 09000 134 00C 001 13406 015</t>
  </si>
  <si>
    <t>5 1 1 3 4 12 31111 6 M78 09000 134 00C 001 13406 015 2111100</t>
  </si>
  <si>
    <t>5 1 1 3 4 12 31111 6 M78 09000 134 00C 001 13406 015 2111100 2024</t>
  </si>
  <si>
    <t>5 1 1 3 4 12 31111 6 M78 09000 134 00C 001 13406 015 2111100 2024 00000000</t>
  </si>
  <si>
    <t>5 1 1 3 4 12 31111 6 M78 09000 134 00C 001 13406 015 2111100 2024 00000000 001</t>
  </si>
  <si>
    <t>5 1 1 3 4 12 31111 6 M78 09000 134 00C 001 13406 015 2111100 2024 00000000 001 001</t>
  </si>
  <si>
    <t>5 1 1 3 4 12 31111 6 M78 09000 134 00C 001 13406 015 2111100 2024 00000000 001 001 008</t>
  </si>
  <si>
    <t>5 1 1 3 4 12 31111 6 M78 11000</t>
  </si>
  <si>
    <t>5 1 1 3 4 12 31111 6 M78 11000 263</t>
  </si>
  <si>
    <t>5 1 1 3 4 12 31111 6 M78 11000 263 00C</t>
  </si>
  <si>
    <t>5 1 1 3 4 12 31111 6 M78 11000 263 00C 001</t>
  </si>
  <si>
    <t>5 1 1 3 4 12 31111 6 M78 11000 263 00C 001 13403</t>
  </si>
  <si>
    <t>xxx CUENTA FALTANTE xxx</t>
  </si>
  <si>
    <t>5 1 1 3 4 12 31111 6 M78 11000 263 00C 001 13403 015</t>
  </si>
  <si>
    <t>5 1 1 3 4 12 31111 6 M78 11000 263 00C 001 13403 015 2111100</t>
  </si>
  <si>
    <t>5 1 1 3 4 12 31111 6 M78 11000 263 00C 001 13403 015 2111100 2024</t>
  </si>
  <si>
    <t>5 1 1 3 4 12 31111 6 M78 11000 263 00C 001 13403 015 2111100 2024 00000000</t>
  </si>
  <si>
    <t>5 1 1 3 4 12 31111 6 M78 11000 263 00C 001 13403 015 2111100 2024 00000000 001</t>
  </si>
  <si>
    <t>5 1 1 3 4 12 31111 6 M78 11000 263 00C 001 13403 015 2111100 2024 00000000 001 001</t>
  </si>
  <si>
    <t>5 1 1 3 4 12 31111 6 M78 11000 263 00C 001 13403 015 2111100 2024 00000000 001 001 011</t>
  </si>
  <si>
    <t>COMPENSACIONES DE SERVICIOS ESPECIALES</t>
  </si>
  <si>
    <t>5 1 1 3 4 12 31111 6 M78 11000 263 00C 001 13406</t>
  </si>
  <si>
    <t>5 1 1 3 4 12 31111 6 M78 11000 263 00C 001 13406 015</t>
  </si>
  <si>
    <t>5 1 1 3 4 12 31111 6 M78 11000 263 00C 001 13406 015 2111100</t>
  </si>
  <si>
    <t>5 1 1 3 4 12 31111 6 M78 11000 263 00C 001 13406 015 2111100 2024</t>
  </si>
  <si>
    <t>5 1 1 3 4 12 31111 6 M78 11000 263 00C 001 13406 015 2111100 2024 00000000</t>
  </si>
  <si>
    <t>5 1 1 3 4 12 31111 6 M78 11000 263 00C 001 13406 015 2111100 2024 00000000 001</t>
  </si>
  <si>
    <t>5 1 1 3 4 12 31111 6 M78 11000 263 00C 001 13406 015 2111100 2024 00000000 001 001</t>
  </si>
  <si>
    <t>5 1 1 3 4 12 31111 6 M78 11000 263 00C 001 13406 015 2111100 2024 00000000 001 001 011</t>
  </si>
  <si>
    <t>5 1 1 3 4 12 31111 6 M78 12000</t>
  </si>
  <si>
    <t>5 1 1 3 4 12 31111 6 M78 12000 265</t>
  </si>
  <si>
    <t>5 1 1 3 4 12 31111 6 M78 12000 265 00C</t>
  </si>
  <si>
    <t>5 1 1 3 4 12 31111 6 M78 12000 265 00C 001</t>
  </si>
  <si>
    <t>5 1 1 3 4 12 31111 6 M78 12000 265 00C 001 13403</t>
  </si>
  <si>
    <t>5 1 1 3 4 12 31111 6 M78 12000 265 00C 001 13403 015</t>
  </si>
  <si>
    <t>5 1 1 3 4 12 31111 6 M78 12000 265 00C 001 13403 015 2111100</t>
  </si>
  <si>
    <t>5 1 1 3 4 12 31111 6 M78 12000 265 00C 001 13403 015 2111100 2024</t>
  </si>
  <si>
    <t>5 1 1 3 4 12 31111 6 M78 12000 265 00C 001 13403 015 2111100 2024 00000000</t>
  </si>
  <si>
    <t>5 1 1 3 4 12 31111 6 M78 12000 265 00C 001 13403 015 2111100 2024 00000000 001</t>
  </si>
  <si>
    <t>5 1 1 3 4 12 31111 6 M78 12000 265 00C 001 13403 015 2111100 2024 00000000 001 001</t>
  </si>
  <si>
    <t>5 1 1 3 4 12 31111 6 M78 12000 265 00C 001 13403 015 2111100 2024 00000000 001 001 012</t>
  </si>
  <si>
    <t>5 1 1 3 4 12 31111 6 M78 12000 265 00C 001 13406</t>
  </si>
  <si>
    <t>5 1 1 3 4 12 31111 6 M78 12000 265 00C 001 13406 015</t>
  </si>
  <si>
    <t>5 1 1 3 4 12 31111 6 M78 12000 265 00C 001 13406 015 2111100</t>
  </si>
  <si>
    <t>5 1 1 3 4 12 31111 6 M78 12000 265 00C 001 13406 015 2111100 2024</t>
  </si>
  <si>
    <t>5 1 1 3 4 12 31111 6 M78 12000 265 00C 001 13406 015 2111100 2024 00000000</t>
  </si>
  <si>
    <t>5 1 1 3 4 12 31111 6 M78 12000 265 00C 001 13406 015 2111100 2024 00000000 001</t>
  </si>
  <si>
    <t>5 1 1 3 4 12 31111 6 M78 12000 265 00C 001 13406 015 2111100 2024 00000000 001 001</t>
  </si>
  <si>
    <t>5 1 1 3 4 12 31111 6 M78 12000 265 00C 001 13406 015 2111100 2024 00000000 001 001 012</t>
  </si>
  <si>
    <t>5 1 1 3 4 12 31111 6 M78 13000</t>
  </si>
  <si>
    <t>5 1 1 3 4 12 31111 6 M78 13000 151</t>
  </si>
  <si>
    <t>5 1 1 3 4 12 31111 6 M78 13000 151 00C</t>
  </si>
  <si>
    <t>5 1 1 3 4 12 31111 6 M78 13000 151 00C 001</t>
  </si>
  <si>
    <t>5 1 1 3 4 12 31111 6 M78 13000 151 00C 001 13406</t>
  </si>
  <si>
    <t>5 1 1 3 4 12 31111 6 M78 13000 151 00C 001 13406 015</t>
  </si>
  <si>
    <t>5 1 1 3 4 12 31111 6 M78 13000 151 00C 001 13406 015 2111100</t>
  </si>
  <si>
    <t>5 1 1 3 4 12 31111 6 M78 13000 151 00C 001 13406 015 2111100 2024</t>
  </si>
  <si>
    <t>5 1 1 3 4 12 31111 6 M78 13000 151 00C 001 13406 015 2111100 2024 00000000</t>
  </si>
  <si>
    <t>5 1 1 3 4 12 31111 6 M78 13000 151 00C 001 13406 015 2111100 2024 00000000 001</t>
  </si>
  <si>
    <t>5 1 1 3 4 12 31111 6 M78 13000 151 00C 001 13406 015 2111100 2024 00000000 001 001</t>
  </si>
  <si>
    <t>5 1 1 3 4 12 31111 6 M78 13000 151 00C 001 13406 015 2111100 2024 00000000 001 001 013</t>
  </si>
  <si>
    <t>5 1 1 3 4 12 31111 6 M78 14000</t>
  </si>
  <si>
    <t>5 1 1 3 4 12 31111 6 M78 14000 211</t>
  </si>
  <si>
    <t>5 1 1 3 4 12 31111 6 M78 14000 211 00C</t>
  </si>
  <si>
    <t>5 1 1 3 4 12 31111 6 M78 14000 211 00C 001</t>
  </si>
  <si>
    <t>5 1 1 3 4 12 31111 6 M78 14000 211 00C 001 13406</t>
  </si>
  <si>
    <t>5 1 1 3 4 12 31111 6 M78 14000 211 00C 001 13406 015</t>
  </si>
  <si>
    <t>5 1 1 3 4 12 31111 6 M78 14000 211 00C 001 13406 015 2111100</t>
  </si>
  <si>
    <t>5 1 1 3 4 12 31111 6 M78 14000 211 00C 001 13406 015 2111100 2024</t>
  </si>
  <si>
    <t>5 1 1 3 4 12 31111 6 M78 14000 211 00C 001 13406 015 2111100 2024 00000000</t>
  </si>
  <si>
    <t>5 1 1 3 4 12 31111 6 M78 14000 211 00C 001 13406 015 2111100 2024 00000000 001</t>
  </si>
  <si>
    <t>5 1 1 3 4 12 31111 6 M78 14000 211 00C 001 13406 015 2111100 2024 00000000 001 001</t>
  </si>
  <si>
    <t>5 1 1 3 4 12 31111 6 M78 14000 211 00C 001 13406 015 2111100 2024 00000000 001 001 014</t>
  </si>
  <si>
    <t>5 1 1 3 4 12 31111 6 M78 19000</t>
  </si>
  <si>
    <t>5 1 1 3 4 12 31111 6 M78 19000 321</t>
  </si>
  <si>
    <t>5 1 1 3 4 12 31111 6 M78 19000 321 00C</t>
  </si>
  <si>
    <t>5 1 1 3 4 12 31111 6 M78 19000 321 00C 001</t>
  </si>
  <si>
    <t>5 1 1 3 4 12 31111 6 M78 19000 321 00C 001 13403</t>
  </si>
  <si>
    <t>5 1 1 3 4 12 31111 6 M78 19000 321 00C 001 13403 015</t>
  </si>
  <si>
    <t>5 1 1 3 4 12 31111 6 M78 19000 321 00C 001 13403 015 2111100</t>
  </si>
  <si>
    <t>5 1 1 3 4 12 31111 6 M78 19000 321 00C 001 13403 015 2111100 2024</t>
  </si>
  <si>
    <t>5 1 1 3 4 12 31111 6 M78 19000 321 00C 001 13403 015 2111100 2024 00000000</t>
  </si>
  <si>
    <t>5 1 1 3 4 12 31111 6 M78 19000 321 00C 001 13403 015 2111100 2024 00000000 001</t>
  </si>
  <si>
    <t>5 1 1 3 4 12 31111 6 M78 19000 321 00C 001 13403 015 2111100 2024 00000000 001 001</t>
  </si>
  <si>
    <t>5 1 1 3 4 12 31111 6 M78 19000 321 00C 001 13403 015 2111100 2024 00000000 001 001 019</t>
  </si>
  <si>
    <t>5 1 1 3 4 12 31111 6 M78 19000 321 00C 001 13406</t>
  </si>
  <si>
    <t>5 1 1 3 4 12 31111 6 M78 19000 321 00C 001 13406 015</t>
  </si>
  <si>
    <t>5 1 1 3 4 12 31111 6 M78 19000 321 00C 001 13406 015 2111100</t>
  </si>
  <si>
    <t>5 1 1 3 4 12 31111 6 M78 19000 321 00C 001 13406 015 2111100 2024</t>
  </si>
  <si>
    <t>5 1 1 3 4 12 31111 6 M78 19000 321 00C 001 13406 015 2111100 2024 00000000</t>
  </si>
  <si>
    <t>5 1 1 3 4 12 31111 6 M78 19000 321 00C 001 13406 015 2111100 2024 00000000 001</t>
  </si>
  <si>
    <t>5 1 1 3 4 12 31111 6 M78 19000 321 00C 001 13406 015 2111100 2024 00000000 001 001</t>
  </si>
  <si>
    <t>5 1 1 3 4 12 31111 6 M78 19000 321 00C 001 13406 015 2111100 2024 00000000 001 001 019</t>
  </si>
  <si>
    <t>5 1 1 3 4 12 31111 6 M78 20000</t>
  </si>
  <si>
    <t>5 1 1 3 4 12 31111 6 M78 20000 181</t>
  </si>
  <si>
    <t>5 1 1 3 4 12 31111 6 M78 20000 181 00C</t>
  </si>
  <si>
    <t>5 1 1 3 4 12 31111 6 M78 20000 181 00C 001</t>
  </si>
  <si>
    <t>5 1 1 3 4 12 31111 6 M78 20000 181 00C 001 13403</t>
  </si>
  <si>
    <t>5 1 1 3 4 12 31111 6 M78 20000 181 00C 001 13403 015</t>
  </si>
  <si>
    <t>5 1 1 3 4 12 31111 6 M78 20000 181 00C 001 13403 015 2111100</t>
  </si>
  <si>
    <t>5 1 1 3 4 12 31111 6 M78 20000 181 00C 001 13403 015 2111100 2024</t>
  </si>
  <si>
    <t>5 1 1 3 4 12 31111 6 M78 20000 181 00C 001 13403 015 2111100 2024 00000000</t>
  </si>
  <si>
    <t>5 1 1 3 4 12 31111 6 M78 20000 181 00C 001 13403 015 2111100 2024 00000000 001</t>
  </si>
  <si>
    <t>5 1 1 3 4 12 31111 6 M78 20000 181 00C 001 13403 015 2111100 2024 00000000 001 001</t>
  </si>
  <si>
    <t>5 1 1 3 4 12 31111 6 M78 20000 181 00C 001 13403 015 2111100 2024 00000000 001 001 020</t>
  </si>
  <si>
    <t>5 1 1 3 4 12 31111 6 M78 20000 181 00C 001 13406</t>
  </si>
  <si>
    <t>5 1 1 3 4 12 31111 6 M78 20000 181 00C 001 13406 015</t>
  </si>
  <si>
    <t>5 1 1 3 4 12 31111 6 M78 20000 181 00C 001 13406 015 2111100</t>
  </si>
  <si>
    <t>5 1 1 3 4 12 31111 6 M78 20000 181 00C 001 13406 015 2111100 2024</t>
  </si>
  <si>
    <t>5 1 1 3 4 12 31111 6 M78 20000 181 00C 001 13406 015 2111100 2024 00000000</t>
  </si>
  <si>
    <t>5 1 1 3 4 12 31111 6 M78 20000 181 00C 001 13406 015 2111100 2024 00000000 001</t>
  </si>
  <si>
    <t>5 1 1 3 4 12 31111 6 M78 20000 181 00C 001 13406 015 2111100 2024 00000000 001 001</t>
  </si>
  <si>
    <t>5 1 1 3 4 12 31111 6 M78 20000 181 00C 001 13406 015 2111100 2024 00000000 001 001 020</t>
  </si>
  <si>
    <t>5 1 1 3 4 12 31111 6 M78 21000</t>
  </si>
  <si>
    <t>5 1 1 3 4 12 31111 6 M78 21000 242</t>
  </si>
  <si>
    <t>5 1 1 3 4 12 31111 6 M78 21000 242 00C</t>
  </si>
  <si>
    <t>5 1 1 3 4 12 31111 6 M78 21000 242 00C 001</t>
  </si>
  <si>
    <t>5 1 1 3 4 12 31111 6 M78 21000 242 00C 001 13406</t>
  </si>
  <si>
    <t>5 1 1 3 4 12 31111 6 M78 21000 242 00C 001 13406 015</t>
  </si>
  <si>
    <t>5 1 1 3 4 12 31111 6 M78 21000 242 00C 001 13406 015 2111100</t>
  </si>
  <si>
    <t>5 1 1 3 4 12 31111 6 M78 21000 242 00C 001 13406 015 2111100 2024</t>
  </si>
  <si>
    <t>5 1 1 3 4 12 31111 6 M78 21000 242 00C 001 13406 015 2111100 2024 00000000</t>
  </si>
  <si>
    <t>5 1 1 3 4 12 31111 6 M78 21000 242 00C 001 13406 015 2111100 2024 00000000 001</t>
  </si>
  <si>
    <t>5 1 1 3 4 12 31111 6 M78 21000 242 00C 001 13406 015 2111100 2024 00000000 001 001</t>
  </si>
  <si>
    <t>5 1 1 3 4 12 31111 6 M78 21000 242 00C 001 13406 015 2111100 2024 00000000 001 001 021</t>
  </si>
  <si>
    <t>5 1 1 3 4 12 31111 6 M78 22000</t>
  </si>
  <si>
    <t>5 1 1 3 4 12 31111 6 M78 22000 271</t>
  </si>
  <si>
    <t>5 1 1 3 4 12 31111 6 M78 22000 271 00C</t>
  </si>
  <si>
    <t>5 1 1 3 4 12 31111 6 M78 22000 271 00C 001</t>
  </si>
  <si>
    <t>5 1 1 3 4 12 31111 6 M78 22000 271 00C 001 13403</t>
  </si>
  <si>
    <t>5 1 1 3 4 12 31111 6 M78 22000 271 00C 001 13403 015</t>
  </si>
  <si>
    <t>5 1 1 3 4 12 31111 6 M78 22000 271 00C 001 13403 015 2111100</t>
  </si>
  <si>
    <t>5 1 1 3 4 12 31111 6 M78 22000 271 00C 001 13403 015 2111100 2024</t>
  </si>
  <si>
    <t>5 1 1 3 4 12 31111 6 M78 22000 271 00C 001 13403 015 2111100 2024 00000000</t>
  </si>
  <si>
    <t>5 1 1 3 4 12 31111 6 M78 22000 271 00C 001 13403 015 2111100 2024 00000000 001</t>
  </si>
  <si>
    <t>5 1 1 3 4 12 31111 6 M78 22000 271 00C 001 13403 015 2111100 2024 00000000 001 001</t>
  </si>
  <si>
    <t>*** CUENTA AGREGADA ***  Cambiar el Nombre Correcto</t>
  </si>
  <si>
    <t>5 1 1 3 4 12 31111 6 M78 22000 271 00C 001 13403 015 2111100 2024 00000000 001 001 022</t>
  </si>
  <si>
    <t>5 1 1 3 4 12 31111 6 M78 22000 271 00C 001 13406</t>
  </si>
  <si>
    <t>5 1 1 3 4 12 31111 6 M78 22000 271 00C 001 13406 015</t>
  </si>
  <si>
    <t>5 1 1 3 4 12 31111 6 M78 22000 271 00C 001 13406 015 2111100</t>
  </si>
  <si>
    <t>5 1 1 3 4 12 31111 6 M78 22000 271 00C 001 13406 015 2111100 2024</t>
  </si>
  <si>
    <t>5 1 1 3 4 12 31111 6 M78 22000 271 00C 001 13406 015 2111100 2024 00000000</t>
  </si>
  <si>
    <t>5 1 1 3 4 12 31111 6 M78 22000 271 00C 001 13406 015 2111100 2024 00000000 001</t>
  </si>
  <si>
    <t>5 1 1 3 4 12 31111 6 M78 22000 271 00C 001 13406 015 2111100 2024 00000000 001 001</t>
  </si>
  <si>
    <t>5 1 1 3 4 12 31111 6 M78 22000 271 00C 001 13406 015 2111100 2024 00000000 001 001 022</t>
  </si>
  <si>
    <t>5 1 1 3 4 12 31111 6 M78 26000</t>
  </si>
  <si>
    <t>5 1 1 3 4 12 31111 6 M78 26000 183</t>
  </si>
  <si>
    <t>5 1 1 3 4 12 31111 6 M78 26000 183 00C</t>
  </si>
  <si>
    <t>5 1 1 3 4 12 31111 6 M78 26000 183 00C 001</t>
  </si>
  <si>
    <t>5 1 1 3 4 12 31111 6 M78 26000 183 00C 001 13406</t>
  </si>
  <si>
    <t>5 1 1 3 4 12 31111 6 M78 26000 183 00C 001 13406 015</t>
  </si>
  <si>
    <t>5 1 1 3 4 12 31111 6 M78 26000 183 00C 001 13406 015 2111100</t>
  </si>
  <si>
    <t>5 1 1 3 4 12 31111 6 M78 26000 183 00C 001 13406 015 2111100 2024</t>
  </si>
  <si>
    <t>5 1 1 3 4 12 31111 6 M78 26000 183 00C 001 13406 015 2111100 2024 00000000</t>
  </si>
  <si>
    <t>5 1 1 3 4 12 31111 6 M78 26000 183 00C 001 13406 015 2111100 2024 00000000 001</t>
  </si>
  <si>
    <t>5 1 1 3 4 12 31111 6 M78 26000 183 00C 001 13406 015 2111100 2024 00000000 001 001</t>
  </si>
  <si>
    <t>5 1 1 3 4 12 31111 6 M78 26000 183 00C 001 13406 015 2111100 2024 00000000 001 001 026</t>
  </si>
  <si>
    <t>5 1 1 3 4 12 31111 6 M78 27000</t>
  </si>
  <si>
    <t>5 1 1 3 4 12 31111 6 M78 27000 184</t>
  </si>
  <si>
    <t>5 1 1 3 4 12 31111 6 M78 27000 184 00C</t>
  </si>
  <si>
    <t>5 1 1 3 4 12 31111 6 M78 27000 184 00C 001</t>
  </si>
  <si>
    <t>5 1 1 3 4 12 31111 6 M78 27000 184 00C 001 13403</t>
  </si>
  <si>
    <t>5 1 1 3 4 12 31111 6 M78 27000 184 00C 001 13403 015</t>
  </si>
  <si>
    <t>5 1 1 3 4 12 31111 6 M78 27000 184 00C 001 13403 015 2111100</t>
  </si>
  <si>
    <t>5 1 1 3 4 12 31111 6 M78 27000 184 00C 001 13403 015 2111100 2024</t>
  </si>
  <si>
    <t>5 1 1 3 4 12 31111 6 M78 27000 184 00C 001 13403 015 2111100 2024 00000000</t>
  </si>
  <si>
    <t>5 1 1 3 4 12 31111 6 M78 27000 184 00C 001 13403 015 2111100 2024 00000000 001</t>
  </si>
  <si>
    <t>5 1 1 3 4 12 31111 6 M78 27000 184 00C 001 13403 015 2111100 2024 00000000 001 001</t>
  </si>
  <si>
    <t>5 1 1 3 4 12 31111 6 M78 27000 184 00C 001 13403 015 2111100 2024 00000000 001 001 027</t>
  </si>
  <si>
    <t>5 1 1 3 4 12 31111 6 M78 27000 184 00C 001 13406</t>
  </si>
  <si>
    <t>5 1 1 3 4 12 31111 6 M78 27000 184 00C 001 13406 015</t>
  </si>
  <si>
    <t>5 1 1 3 4 12 31111 6 M78 27000 184 00C 001 13406 015 2111100</t>
  </si>
  <si>
    <t>5 1 1 3 4 12 31111 6 M78 27000 184 00C 001 13406 015 2111100 2024</t>
  </si>
  <si>
    <t>5 1 1 3 4 12 31111 6 M78 27000 184 00C 001 13406 015 2111100 2024 00000000</t>
  </si>
  <si>
    <t>5 1 1 3 4 12 31111 6 M78 27000 184 00C 001 13406 015 2111100 2024 00000000 001</t>
  </si>
  <si>
    <t>5 1 1 3 4 12 31111 6 M78 27000 184 00C 001 13406 015 2111100 2024 00000000 001 001</t>
  </si>
  <si>
    <t>5 1 1 3 4 12 31111 6 M78 27000 184 00C 001 13406 015 2111100 2024 00000000 001 001 027</t>
  </si>
  <si>
    <t>5 1 2</t>
  </si>
  <si>
    <t>MATERIALES Y SUMINISTROS</t>
  </si>
  <si>
    <t>5 1 2 1</t>
  </si>
  <si>
    <t>MATERIALES DE ADMINISTRACIÓN, EMISIÓN DE DOCUMENTOS Y ARTÍCULOS OFICIALES</t>
  </si>
  <si>
    <t>5 1 2 1 1</t>
  </si>
  <si>
    <t>MATERIALES, ÚTILES Y EQUIPOS MENORES DE OFICINA</t>
  </si>
  <si>
    <t>5 1 2 1 1 12</t>
  </si>
  <si>
    <t>5 1 2 1 1 12 31111</t>
  </si>
  <si>
    <t>5 1 2 1 1 12 31111 6</t>
  </si>
  <si>
    <t>5 1 2 1 1 12 31111 6 M78</t>
  </si>
  <si>
    <t>5 1 2 1 1 12 31111 6 M78 07000</t>
  </si>
  <si>
    <t>5 1 2 1 1 12 31111 6 M78 07000 151</t>
  </si>
  <si>
    <t>5 1 2 1 1 12 31111 6 M78 07000 151 00C</t>
  </si>
  <si>
    <t>5 1 2 1 1 12 31111 6 M78 07000 151 00C 001</t>
  </si>
  <si>
    <t>5 1 2 1 1 12 31111 6 M78 07000 151 00C 001 21101</t>
  </si>
  <si>
    <t>MATERIALES Y UTILES DE OFICINA.</t>
  </si>
  <si>
    <t>5 1 2 1 1 12 31111 6 M78 07000 151 00C 001 21101 015</t>
  </si>
  <si>
    <t>5 1 2 1 1 12 31111 6 M78 07000 151 00C 001 21101 015 2112000</t>
  </si>
  <si>
    <t>5 1 2 1 1 12 31111 6 M78 07000 151 00C 001 21101 015 2112000 2024</t>
  </si>
  <si>
    <t>5 1 2 1 1 12 31111 6 M78 07000 151 00C 001 21101 015 2112000 2024 00000000</t>
  </si>
  <si>
    <t>5 1 2 1 1 12 31111 6 M78 07000 151 00C 001 21101 015 2112000 2024 00000000 001</t>
  </si>
  <si>
    <t>5 1 2 1 1 12 31111 6 M78 07000 151 00C 001 21101 015 2112000 2024 00000000 001 001</t>
  </si>
  <si>
    <t>MATERIALES Y UTILES DE OFICINA</t>
  </si>
  <si>
    <t>5 1 2 1 2</t>
  </si>
  <si>
    <t>MATERIALES Y ÚTILES DE IMPRESIÓN Y REPRODUCCIÓN</t>
  </si>
  <si>
    <t>5 1 2 1 2 12</t>
  </si>
  <si>
    <t>5 1 2 1 2 12 31111</t>
  </si>
  <si>
    <t>5 1 2 1 2 12 31111 6</t>
  </si>
  <si>
    <t>5 1 2 1 2 12 31111 6 M78</t>
  </si>
  <si>
    <t>5 1 2 1 2 12 31111 6 M78 07000</t>
  </si>
  <si>
    <t>5 1 2 1 2 12 31111 6 M78 07000 151</t>
  </si>
  <si>
    <t>5 1 2 1 2 12 31111 6 M78 07000 151 00C</t>
  </si>
  <si>
    <t>5 1 2 1 2 12 31111 6 M78 07000 151 00C 001</t>
  </si>
  <si>
    <t>5 1 2 1 2 12 31111 6 M78 07000 151 00C 001 21201</t>
  </si>
  <si>
    <t>MATERIALES Y UTILES DE IMPRESION Y REPRODUCCION.</t>
  </si>
  <si>
    <t>5 1 2 1 2 12 31111 6 M78 07000 151 00C 001 21201 015</t>
  </si>
  <si>
    <t>5 1 2 1 2 12 31111 6 M78 07000 151 00C 001 21201 015 2112000</t>
  </si>
  <si>
    <t>5 1 2 1 2 12 31111 6 M78 07000 151 00C 001 21201 015 2112000 2024</t>
  </si>
  <si>
    <t>5 1 2 1 2 12 31111 6 M78 07000 151 00C 001 21201 015 2112000 2024 00000000</t>
  </si>
  <si>
    <t>5 1 2 1 2 12 31111 6 M78 07000 151 00C 001 21201 015 2112000 2024 00000000 001</t>
  </si>
  <si>
    <t>5 1 2 1 2 12 31111 6 M78 07000 151 00C 001 21201 015 2112000 2024 00000000 001 001</t>
  </si>
  <si>
    <t>5 1 2 1 4</t>
  </si>
  <si>
    <t>MATERIALES, ÚTILES Y EQUIPOS MENORES DE TECNOLOGÍAS DE LA INFORMACIÓN Y COMUNICACIONES</t>
  </si>
  <si>
    <t>5 1 2 1 4 12</t>
  </si>
  <si>
    <t>5 1 2 1 4 12 31111</t>
  </si>
  <si>
    <t>5 1 2 1 4 12 31111 6</t>
  </si>
  <si>
    <t>5 1 2 1 4 12 31111 6 M78</t>
  </si>
  <si>
    <t>5 1 2 1 4 12 31111 6 M78 07000</t>
  </si>
  <si>
    <t>5 1 2 1 4 12 31111 6 M78 07000 151</t>
  </si>
  <si>
    <t>5 1 2 1 4 12 31111 6 M78 07000 151 00C</t>
  </si>
  <si>
    <t>5 1 2 1 4 12 31111 6 M78 07000 151 00C 001</t>
  </si>
  <si>
    <t>5 1 2 1 4 12 31111 6 M78 07000 151 00C 001 21401</t>
  </si>
  <si>
    <t>MATERIALES Y UTILES PARA EL PROCESAMIENTO EN EQUIPOS Y BIENES INFORMATICOS.</t>
  </si>
  <si>
    <t>5 1 2 1 4 12 31111 6 M78 07000 151 00C 001 21401 015</t>
  </si>
  <si>
    <t>5 1 2 1 4 12 31111 6 M78 07000 151 00C 001 21401 015 2112000</t>
  </si>
  <si>
    <t>5 1 2 1 4 12 31111 6 M78 07000 151 00C 001 21401 015 2112000 2024</t>
  </si>
  <si>
    <t>5 1 2 1 4 12 31111 6 M78 07000 151 00C 001 21401 015 2112000 2024 00000000</t>
  </si>
  <si>
    <t>5 1 2 1 4 12 31111 6 M78 07000 151 00C 001 21401 015 2112000 2024 00000000 001</t>
  </si>
  <si>
    <t>5 1 2 1 4 12 31111 6 M78 07000 151 00C 001 21401 015 2112000 2024 00000000 001 001</t>
  </si>
  <si>
    <t>MATERIALES Y UTILES PARA EL PROCESAMIENTO EN EQUIPOS Y BIENES INFORMATICOS</t>
  </si>
  <si>
    <t>5 1 2 1 6</t>
  </si>
  <si>
    <t>MATERIAL DE LIMPIEZA</t>
  </si>
  <si>
    <t>5 1 2 1 6 12</t>
  </si>
  <si>
    <t>5 1 2 1 6 12 31111</t>
  </si>
  <si>
    <t>5 1 2 1 6 12 31111 6</t>
  </si>
  <si>
    <t>5 1 2 1 6 12 31111 6 M78</t>
  </si>
  <si>
    <t>5 1 2 1 6 12 31111 6 M78 07000</t>
  </si>
  <si>
    <t>5 1 2 1 6 12 31111 6 M78 07000 151</t>
  </si>
  <si>
    <t>5 1 2 1 6 12 31111 6 M78 07000 151 00C</t>
  </si>
  <si>
    <t>5 1 2 1 6 12 31111 6 M78 07000 151 00C 001</t>
  </si>
  <si>
    <t>5 1 2 1 6 12 31111 6 M78 07000 151 00C 001 21601</t>
  </si>
  <si>
    <t>MATERIAL DE LIMPIEZA.</t>
  </si>
  <si>
    <t>5 1 2 1 6 12 31111 6 M78 07000 151 00C 001 21601 015</t>
  </si>
  <si>
    <t>5 1 2 1 6 12 31111 6 M78 07000 151 00C 001 21601 015 2112000</t>
  </si>
  <si>
    <t>5 1 2 1 6 12 31111 6 M78 07000 151 00C 001 21601 015 2112000 2024</t>
  </si>
  <si>
    <t>5 1 2 1 6 12 31111 6 M78 07000 151 00C 001 21601 015 2112000 2024 00000000</t>
  </si>
  <si>
    <t>5 1 2 1 6 12 31111 6 M78 07000 151 00C 001 21601 015 2112000 2024 00000000 001</t>
  </si>
  <si>
    <t>5 1 2 1 6 12 31111 6 M78 07000 151 00C 001 21601 015 2112000 2024 00000000 001 001</t>
  </si>
  <si>
    <t>5 1 2 2</t>
  </si>
  <si>
    <t>ALIMENTOS Y UTENSILIOS</t>
  </si>
  <si>
    <t>5 1 2 2 1</t>
  </si>
  <si>
    <t>PRODUCTOS ALIMENTICIOS PARA PERSONAS</t>
  </si>
  <si>
    <t>5 1 2 2 1 12</t>
  </si>
  <si>
    <t>5 1 2 2 1 12 31111</t>
  </si>
  <si>
    <t>5 1 2 2 1 12 31111 6</t>
  </si>
  <si>
    <t>5 1 2 2 1 12 31111 6 M78</t>
  </si>
  <si>
    <t>5 1 2 2 1 12 31111 6 M78 07000</t>
  </si>
  <si>
    <t>5 1 2 2 1 12 31111 6 M78 07000 151</t>
  </si>
  <si>
    <t>5 1 2 2 1 12 31111 6 M78 07000 151 00C</t>
  </si>
  <si>
    <t>5 1 2 2 1 12 31111 6 M78 07000 151 00C 001</t>
  </si>
  <si>
    <t>5 1 2 2 1 12 31111 6 M78 07000 151 00C 001 22104</t>
  </si>
  <si>
    <t>PRODUCTOS ALIMENTICIOS PARA EL PERSONAL EN LAS INSTALACIONES DE LAS DEPENDENCIAS Y ENTIDADES.</t>
  </si>
  <si>
    <t>5 1 2 2 1 12 31111 6 M78 07000 151 00C 001 22104 015</t>
  </si>
  <si>
    <t>5 1 2 2 1 12 31111 6 M78 07000 151 00C 001 22104 015 2112000</t>
  </si>
  <si>
    <t>5 1 2 2 1 12 31111 6 M78 07000 151 00C 001 22104 015 2112000 2024</t>
  </si>
  <si>
    <t>5 1 2 2 1 12 31111 6 M78 07000 151 00C 001 22104 015 2112000 2024 00000000</t>
  </si>
  <si>
    <t>5 1 2 2 1 12 31111 6 M78 07000 151 00C 001 22104 015 2112000 2024 00000000 001</t>
  </si>
  <si>
    <t>5 1 2 2 1 12 31111 6 M78 07000 151 00C 001 22104 015 2112000 2024 00000000 001 001</t>
  </si>
  <si>
    <t>PRODUCTOS ALIMENTICIOS PARA EL PERSONAL EN LAS INSTALACIONES DE LAS DEPENDENCIAS Y ENTIDADES</t>
  </si>
  <si>
    <t>5 1 2 2 3</t>
  </si>
  <si>
    <t>UTENSILIOS PARA EL SERVICIO DE ALIMENTACIÓN</t>
  </si>
  <si>
    <t>5 1 2 2 3 12</t>
  </si>
  <si>
    <t>5 1 2 2 3 12 31111</t>
  </si>
  <si>
    <t>5 1 2 2 3 12 31111 6</t>
  </si>
  <si>
    <t>5 1 2 2 3 12 31111 6 M78</t>
  </si>
  <si>
    <t>5 1 2 2 3 12 31111 6 M78 07000</t>
  </si>
  <si>
    <t>5 1 2 2 3 12 31111 6 M78 07000 151</t>
  </si>
  <si>
    <t>5 1 2 2 3 12 31111 6 M78 07000 151 00C</t>
  </si>
  <si>
    <t>5 1 2 2 3 12 31111 6 M78 07000 151 00C 001</t>
  </si>
  <si>
    <t>5 1 2 2 3 12 31111 6 M78 07000 151 00C 001 22301</t>
  </si>
  <si>
    <t>UTENSILIOS PARA EL SERVICIO DE ALIMENTACION.</t>
  </si>
  <si>
    <t>5 1 2 2 3 12 31111 6 M78 07000 151 00C 001 22301 015</t>
  </si>
  <si>
    <t>5 1 2 2 3 12 31111 6 M78 07000 151 00C 001 22301 015 2112000</t>
  </si>
  <si>
    <t>5 1 2 2 3 12 31111 6 M78 07000 151 00C 001 22301 015 2112000 2024</t>
  </si>
  <si>
    <t>5 1 2 2 3 12 31111 6 M78 07000 151 00C 001 22301 015 2112000 2024 00000000</t>
  </si>
  <si>
    <t>5 1 2 2 3 12 31111 6 M78 07000 151 00C 001 22301 015 2112000 2024 00000000 001</t>
  </si>
  <si>
    <t>5 1 2 2 3 12 31111 6 M78 07000 151 00C 001 22301 015 2112000 2024 00000000 001 001</t>
  </si>
  <si>
    <t>UTENSILIOS PARA EL SERVICIO DE ALIMENTACION</t>
  </si>
  <si>
    <t>5 1 2 4</t>
  </si>
  <si>
    <t>MATERIALES Y ARTÍCULOS DE CONSTRUCCIÓN Y DE REPARACIÓN</t>
  </si>
  <si>
    <t>5 1 2 4 6</t>
  </si>
  <si>
    <t>MATERIAL ELÉCTRICO Y ELECTRÓNICO</t>
  </si>
  <si>
    <t>5 1 2 4 6 12</t>
  </si>
  <si>
    <t>5 1 2 4 6 12 31111</t>
  </si>
  <si>
    <t>5 1 2 4 6 12 31111 6</t>
  </si>
  <si>
    <t>5 1 2 4 6 12 31111 6 M78</t>
  </si>
  <si>
    <t>5 1 2 4 6 12 31111 6 M78 07000</t>
  </si>
  <si>
    <t>5 1 2 4 6 12 31111 6 M78 07000 151</t>
  </si>
  <si>
    <t>5 1 2 4 6 12 31111 6 M78 07000 151 00C</t>
  </si>
  <si>
    <t>5 1 2 4 6 12 31111 6 M78 07000 151 00C 001</t>
  </si>
  <si>
    <t>5 1 2 4 6 12 31111 6 M78 07000 151 00C 001 24601</t>
  </si>
  <si>
    <t>MATERIAL ELECTRICO Y ELECTRONICO.</t>
  </si>
  <si>
    <t>5 1 2 4 6 12 31111 6 M78 07000 151 00C 001 24601 015</t>
  </si>
  <si>
    <t>5 1 2 4 6 12 31111 6 M78 07000 151 00C 001 24601 015 2112000</t>
  </si>
  <si>
    <t>5 1 2 4 6 12 31111 6 M78 07000 151 00C 001 24601 015 2112000 2024</t>
  </si>
  <si>
    <t>5 1 2 4 6 12 31111 6 M78 07000 151 00C 001 24601 015 2112000 2024 00000000</t>
  </si>
  <si>
    <t>5 1 2 4 6 12 31111 6 M78 07000 151 00C 001 24601 015 2112000 2024 00000000 001</t>
  </si>
  <si>
    <t>5 1 2 4 6 12 31111 6 M78 07000 151 00C 001 24601 015 2112000 2024 00000000 001 001</t>
  </si>
  <si>
    <t>MATERIAL ELECTRICO Y ELECTRONICO</t>
  </si>
  <si>
    <t>5 1 2 4 9</t>
  </si>
  <si>
    <t>OTROS MATERIALES Y ARTÍCULOS DE CONSTRUCCIÓN Y REPARACIÓN</t>
  </si>
  <si>
    <t>5 1 2 4 9 12</t>
  </si>
  <si>
    <t>5 1 2 4 9 12 31111</t>
  </si>
  <si>
    <t>5 1 2 4 9 12 31111 6</t>
  </si>
  <si>
    <t>5 1 2 4 9 12 31111 6 M78</t>
  </si>
  <si>
    <t>5 1 2 4 9 12 31111 6 M78 07000</t>
  </si>
  <si>
    <t>5 1 2 4 9 12 31111 6 M78 07000 151</t>
  </si>
  <si>
    <t>5 1 2 4 9 12 31111 6 M78 07000 151 00C</t>
  </si>
  <si>
    <t>5 1 2 4 9 12 31111 6 M78 07000 151 00C 001</t>
  </si>
  <si>
    <t>5 1 2 4 9 12 31111 6 M78 07000 151 00C 001 24901</t>
  </si>
  <si>
    <t>OTROS MATERIALES Y ARTICULOS DE CONSTRUCCION Y REPARACION.</t>
  </si>
  <si>
    <t>5 1 2 4 9 12 31111 6 M78 07000 151 00C 001 24901 015</t>
  </si>
  <si>
    <t>5 1 2 4 9 12 31111 6 M78 07000 151 00C 001 24901 015 2112000</t>
  </si>
  <si>
    <t>5 1 2 4 9 12 31111 6 M78 07000 151 00C 001 24901 015 2112000 2024</t>
  </si>
  <si>
    <t>5 1 2 4 9 12 31111 6 M78 07000 151 00C 001 24901 015 2112000 2024 00000000</t>
  </si>
  <si>
    <t>5 1 2 4 9 12 31111 6 M78 07000 151 00C 001 24901 015 2112000 2024 00000000 001</t>
  </si>
  <si>
    <t>5 1 2 4 9 12 31111 6 M78 07000 151 00C 001 24901 015 2112000 2024 00000000 001 001</t>
  </si>
  <si>
    <t>OTROS MATERIALES Y ARTICULOS DE CONSTRUCCION Y REPARACION</t>
  </si>
  <si>
    <t>5 1 2 5</t>
  </si>
  <si>
    <t>PRODUCTOS QUÍMICOS, FARMACÉUTICOS Y DE LABORATORIO</t>
  </si>
  <si>
    <t>5 1 2 5 3</t>
  </si>
  <si>
    <t>MEDICINAS Y PRODUCTOS FARMACÉUTICOS</t>
  </si>
  <si>
    <t>5 1 2 5 3 12</t>
  </si>
  <si>
    <t>5 1 2 5 3 12 31111</t>
  </si>
  <si>
    <t>5 1 2 5 3 12 31111 6</t>
  </si>
  <si>
    <t>5 1 2 5 3 12 31111 6 M78</t>
  </si>
  <si>
    <t>5 1 2 5 3 12 31111 6 M78 07000</t>
  </si>
  <si>
    <t>5 1 2 5 3 12 31111 6 M78 07000 151</t>
  </si>
  <si>
    <t>5 1 2 5 3 12 31111 6 M78 07000 151 00C</t>
  </si>
  <si>
    <t>5 1 2 5 3 12 31111 6 M78 07000 151 00C 001</t>
  </si>
  <si>
    <t>5 1 2 5 3 12 31111 6 M78 07000 151 00C 001 25301</t>
  </si>
  <si>
    <t>MEDICINAS Y PRODUCTOS FARMACEUTICOS.</t>
  </si>
  <si>
    <t>5 1 2 5 3 12 31111 6 M78 07000 151 00C 001 25301 015</t>
  </si>
  <si>
    <t>5 1 2 5 3 12 31111 6 M78 07000 151 00C 001 25301 015 2112000</t>
  </si>
  <si>
    <t>5 1 2 5 3 12 31111 6 M78 07000 151 00C 001 25301 015 2112000 2024</t>
  </si>
  <si>
    <t>5 1 2 5 3 12 31111 6 M78 07000 151 00C 001 25301 015 2112000 2024 00000000</t>
  </si>
  <si>
    <t>5 1 2 5 3 12 31111 6 M78 07000 151 00C 001 25301 015 2112000 2024 00000000 001</t>
  </si>
  <si>
    <t>5 1 2 5 3 12 31111 6 M78 07000 151 00C 001 25301 015 2112000 2024 00000000 001 001</t>
  </si>
  <si>
    <t>5 1 2 5 4</t>
  </si>
  <si>
    <t>MATERIALES, ACCESORIOS Y SUMINISTROS MÉDICOS</t>
  </si>
  <si>
    <t>5 1 2 5 4 12</t>
  </si>
  <si>
    <t>5 1 2 5 4 12 31111</t>
  </si>
  <si>
    <t>5 1 2 5 4 12 31111 6</t>
  </si>
  <si>
    <t>5 1 2 5 4 12 31111 6 M78</t>
  </si>
  <si>
    <t>5 1 2 5 4 12 31111 6 M78 07000</t>
  </si>
  <si>
    <t>5 1 2 5 4 12 31111 6 M78 07000 151</t>
  </si>
  <si>
    <t>5 1 2 5 4 12 31111 6 M78 07000 151 00C</t>
  </si>
  <si>
    <t>5 1 2 5 4 12 31111 6 M78 07000 151 00C 001</t>
  </si>
  <si>
    <t>5 1 2 5 4 12 31111 6 M78 07000 151 00C 001 25401</t>
  </si>
  <si>
    <t>MATERIALES, ACCESORIOS Y SUMINISTROS MEDICOS.</t>
  </si>
  <si>
    <t>5 1 2 5 4 12 31111 6 M78 07000 151 00C 001 25401 015</t>
  </si>
  <si>
    <t>5 1 2 5 4 12 31111 6 M78 07000 151 00C 001 25401 015 2112000</t>
  </si>
  <si>
    <t>5 1 2 5 4 12 31111 6 M78 07000 151 00C 001 25401 015 2112000 2024</t>
  </si>
  <si>
    <t>5 1 2 5 4 12 31111 6 M78 07000 151 00C 001 25401 015 2112000 2024 00000000</t>
  </si>
  <si>
    <t>5 1 2 5 4 12 31111 6 M78 07000 151 00C 001 25401 015 2112000 2024 00000000 001</t>
  </si>
  <si>
    <t>5 1 2 5 4 12 31111 6 M78 07000 151 00C 001 25401 015 2112000 2024 00000000 001 001</t>
  </si>
  <si>
    <t>5 1 2 5 9</t>
  </si>
  <si>
    <t>OTROS PRODUCTOS QUÍMICOS</t>
  </si>
  <si>
    <t>5 1 2 5 9 12</t>
  </si>
  <si>
    <t>5 1 2 5 9 12 31111</t>
  </si>
  <si>
    <t>5 1 2 5 9 12 31111 6</t>
  </si>
  <si>
    <t>5 1 2 5 9 12 31111 6 M78</t>
  </si>
  <si>
    <t>5 1 2 5 9 12 31111 6 M78 07000</t>
  </si>
  <si>
    <t>5 1 2 5 9 12 31111 6 M78 07000 151</t>
  </si>
  <si>
    <t>5 1 2 5 9 12 31111 6 M78 07000 151 00C</t>
  </si>
  <si>
    <t>5 1 2 5 9 12 31111 6 M78 07000 151 00C 001</t>
  </si>
  <si>
    <t>5 1 2 5 9 12 31111 6 M78 07000 151 00C 001 25901</t>
  </si>
  <si>
    <t>OTROS PRODUCTOS QUIMICOS.</t>
  </si>
  <si>
    <t>5 1 2 5 9 12 31111 6 M78 07000 151 00C 001 25901 015</t>
  </si>
  <si>
    <t>5 1 2 5 9 12 31111 6 M78 07000 151 00C 001 25901 015 2112000</t>
  </si>
  <si>
    <t>5 1 2 5 9 12 31111 6 M78 07000 151 00C 001 25901 015 2112000 2024</t>
  </si>
  <si>
    <t>5 1 2 5 9 12 31111 6 M78 07000 151 00C 001 25901 015 2112000 2024 00000000</t>
  </si>
  <si>
    <t>5 1 2 5 9 12 31111 6 M78 07000 151 00C 001 25901 015 2112000 2024 00000000 001</t>
  </si>
  <si>
    <t>5 1 2 5 9 12 31111 6 M78 07000 151 00C 001 25901 015 2112000 2024 00000000 001 001</t>
  </si>
  <si>
    <t>5 1 2 6</t>
  </si>
  <si>
    <t>COMBUSTIBLES, LUBRICANTES Y ADITIVOS</t>
  </si>
  <si>
    <t>5 1 2 6 1</t>
  </si>
  <si>
    <t>5 1 2 6 1 12</t>
  </si>
  <si>
    <t>5 1 2 6 1 12 31111</t>
  </si>
  <si>
    <t>5 1 2 6 1 12 31111 6</t>
  </si>
  <si>
    <t>5 1 2 6 1 12 31111 6 M78</t>
  </si>
  <si>
    <t>5 1 2 6 1 12 31111 6 M78 07000</t>
  </si>
  <si>
    <t>5 1 2 6 1 12 31111 6 M78 07000 151</t>
  </si>
  <si>
    <t>5 1 2 6 1 12 31111 6 M78 07000 151 00C</t>
  </si>
  <si>
    <t>5 1 2 6 1 12 31111 6 M78 07000 151 00C 001</t>
  </si>
  <si>
    <t>5 1 2 6 1 12 31111 6 M78 07000 151 00C 001 26104</t>
  </si>
  <si>
    <t>COMBUSTIBLES, LUBRICANTES Y ADITIVOS PARA VEHICULOS TERRESTRES, AEREOS, MARITIMOS, LACUSTRES Y FLUVIALES ASIGNADOS A SERVIDORES PUBLICOS.</t>
  </si>
  <si>
    <t>5 1 2 6 1 12 31111 6 M78 07000 151 00C 001 26104 015</t>
  </si>
  <si>
    <t>5 1 2 6 1 12 31111 6 M78 07000 151 00C 001 26104 015 2112000</t>
  </si>
  <si>
    <t>5 1 2 6 1 12 31111 6 M78 07000 151 00C 001 26104 015 2112000 2024</t>
  </si>
  <si>
    <t>5 1 2 6 1 12 31111 6 M78 07000 151 00C 001 26104 015 2112000 2024 00000000</t>
  </si>
  <si>
    <t>5 1 2 6 1 12 31111 6 M78 07000 151 00C 001 26104 015 2112000 2024 00000000 001</t>
  </si>
  <si>
    <t>5 1 2 6 1 12 31111 6 M78 07000 151 00C 001 26104 015 2112000 2024 00000000 001 001</t>
  </si>
  <si>
    <t>COMBUSTIBLES, LUBRICANTES Y ADITIVOS PARA VEHÍCULOS TERRESTRES, AÉREOS, MARÍTIMOS, LACUSTRES Y FLUVIALES ASIGNADOS A SERVIDORES PÚBLICOS</t>
  </si>
  <si>
    <t>5 1 3</t>
  </si>
  <si>
    <t>SERVICIOS GENERALES</t>
  </si>
  <si>
    <t>5 1 3 1</t>
  </si>
  <si>
    <t>SERVICIOS BÁSICOS</t>
  </si>
  <si>
    <t>5 1 3 1 5</t>
  </si>
  <si>
    <t>TELEFONÍA CELULAR</t>
  </si>
  <si>
    <t>5 1 3 1 5 12</t>
  </si>
  <si>
    <t>5 1 3 1 5 12 31111</t>
  </si>
  <si>
    <t>5 1 3 1 5 12 31111 6</t>
  </si>
  <si>
    <t>5 1 3 1 5 12 31111 6 M78</t>
  </si>
  <si>
    <t>5 1 3 1 5 12 31111 6 M78 07000</t>
  </si>
  <si>
    <t>5 1 3 1 5 12 31111 6 M78 07000 151</t>
  </si>
  <si>
    <t>5 1 3 1 5 12 31111 6 M78 07000 151 00C</t>
  </si>
  <si>
    <t>5 1 3 1 5 12 31111 6 M78 07000 151 00C 001</t>
  </si>
  <si>
    <t>5 1 3 1 5 12 31111 6 M78 07000 151 00C 001 31501</t>
  </si>
  <si>
    <t>SERVICIO DE TELEFONIA CELULAR.</t>
  </si>
  <si>
    <t>5 1 3 1 5 12 31111 6 M78 07000 151 00C 001 31501 015</t>
  </si>
  <si>
    <t>5 1 3 1 5 12 31111 6 M78 07000 151 00C 001 31501 015 2112000</t>
  </si>
  <si>
    <t>5 1 3 1 5 12 31111 6 M78 07000 151 00C 001 31501 015 2112000 2024</t>
  </si>
  <si>
    <t>5 1 3 1 5 12 31111 6 M78 07000 151 00C 001 31501 015 2112000 2024 00000000</t>
  </si>
  <si>
    <t>5 1 3 1 5 12 31111 6 M78 07000 151 00C 001 31501 015 2112000 2024 00000000 001</t>
  </si>
  <si>
    <t>5 1 3 1 5 12 31111 6 M78 07000 151 00C 001 31501 015 2112000 2024 00000000 001 001</t>
  </si>
  <si>
    <t>SERVICIO DE TELEFONIA CELULAR</t>
  </si>
  <si>
    <t>5 1 3 1 7</t>
  </si>
  <si>
    <t>SERVICIOS DE ACCESO DE INTERNET, REDES Y PROCESAMIENTO DE INFORMACIÓN</t>
  </si>
  <si>
    <t>5 1 3 1 7 12</t>
  </si>
  <si>
    <t>5 1 3 1 7 12 31111</t>
  </si>
  <si>
    <t>5 1 3 1 7 12 31111 6</t>
  </si>
  <si>
    <t>5 1 3 1 7 12 31111 6 M78</t>
  </si>
  <si>
    <t>5 1 3 1 7 12 31111 6 M78 07000</t>
  </si>
  <si>
    <t>5 1 3 1 7 12 31111 6 M78 07000 151</t>
  </si>
  <si>
    <t>5 1 3 1 7 12 31111 6 M78 07000 151 00C</t>
  </si>
  <si>
    <t>5 1 3 1 7 12 31111 6 M78 07000 151 00C 001</t>
  </si>
  <si>
    <t>5 1 3 1 7 12 31111 6 M78 07000 151 00C 001 31701</t>
  </si>
  <si>
    <t>SERVICIOS DE CONDUCCION DE SEÑALES ANALOGICAS Y DIGITALES.</t>
  </si>
  <si>
    <t>5 1 3 1 7 12 31111 6 M78 07000 151 00C 001 31701 015</t>
  </si>
  <si>
    <t>5 1 3 1 7 12 31111 6 M78 07000 151 00C 001 31701 015 2112000</t>
  </si>
  <si>
    <t>5 1 3 1 7 12 31111 6 M78 07000 151 00C 001 31701 015 2112000 2024</t>
  </si>
  <si>
    <t>5 1 3 1 7 12 31111 6 M78 07000 151 00C 001 31701 015 2112000 2024 00000000</t>
  </si>
  <si>
    <t>5 1 3 1 7 12 31111 6 M78 07000 151 00C 001 31701 015 2112000 2024 00000000 001</t>
  </si>
  <si>
    <t>5 1 3 1 7 12 31111 6 M78 07000 151 00C 001 31701 015 2112000 2024 00000000 001 001</t>
  </si>
  <si>
    <t>SERVICIOS DE CONDUCCIÓN DE SEÑALES ANALÓGICAS Y DIGITALES</t>
  </si>
  <si>
    <t>5 1 3 2</t>
  </si>
  <si>
    <t>SERVICIOS DE ARRENDAMIENTO</t>
  </si>
  <si>
    <t>5 1 3 2 9</t>
  </si>
  <si>
    <t>OTROS ARRENDAMIENTOS</t>
  </si>
  <si>
    <t>5 1 3 2 9 12</t>
  </si>
  <si>
    <t>5 1 3 2 9 12 31111</t>
  </si>
  <si>
    <t>5 1 3 2 9 12 31111 6</t>
  </si>
  <si>
    <t>5 1 3 2 9 12 31111 6 M78</t>
  </si>
  <si>
    <t>5 1 3 2 9 12 31111 6 M78 07000</t>
  </si>
  <si>
    <t>5 1 3 2 9 12 31111 6 M78 07000 151</t>
  </si>
  <si>
    <t>5 1 3 2 9 12 31111 6 M78 07000 151 00C</t>
  </si>
  <si>
    <t>5 1 3 2 9 12 31111 6 M78 07000 151 00C 001</t>
  </si>
  <si>
    <t>5 1 3 2 9 12 31111 6 M78 07000 151 00C 001 32903</t>
  </si>
  <si>
    <t>OTROS ARRENDAMIENTOS.</t>
  </si>
  <si>
    <t>5 1 3 2 9 12 31111 6 M78 07000 151 00C 001 32903 015</t>
  </si>
  <si>
    <t>5 1 3 2 9 12 31111 6 M78 07000 151 00C 001 32903 015 2112000</t>
  </si>
  <si>
    <t>5 1 3 2 9 12 31111 6 M78 07000 151 00C 001 32903 015 2112000 2024</t>
  </si>
  <si>
    <t>5 1 3 2 9 12 31111 6 M78 07000 151 00C 001 32903 015 2112000 2024 00000000</t>
  </si>
  <si>
    <t>5 1 3 2 9 12 31111 6 M78 07000 151 00C 001 32903 015 2112000 2024 00000000 001</t>
  </si>
  <si>
    <t>5 1 3 2 9 12 31111 6 M78 07000 151 00C 001 32903 015 2112000 2024 00000000 001 001</t>
  </si>
  <si>
    <t>5 1 3 3</t>
  </si>
  <si>
    <t>SERVICIOS PROFESIONALES, CIENTÍFICOS Y TÉCNICOS Y OTROS SERVICIOS</t>
  </si>
  <si>
    <t>5 1 3 3 1</t>
  </si>
  <si>
    <t>SERVICIOS LEGALES, DE CONTABILIDAD, AUDITORÍA Y RELACIONADOS</t>
  </si>
  <si>
    <t>5 1 3 3 1 12</t>
  </si>
  <si>
    <t>5 1 3 3 1 12 31111</t>
  </si>
  <si>
    <t>5 1 3 3 1 12 31111 6</t>
  </si>
  <si>
    <t>5 1 3 3 1 12 31111 6 M78</t>
  </si>
  <si>
    <t>5 1 3 3 1 12 31111 6 M78 07000</t>
  </si>
  <si>
    <t>5 1 3 3 1 12 31111 6 M78 07000 151</t>
  </si>
  <si>
    <t>5 1 3 3 1 12 31111 6 M78 07000 151 00C</t>
  </si>
  <si>
    <t>5 1 3 3 1 12 31111 6 M78 07000 151 00C 001</t>
  </si>
  <si>
    <t>5 1 3 3 1 12 31111 6 M78 07000 151 00C 001 33101</t>
  </si>
  <si>
    <t>5 1 3 3 1 12 31111 6 M78 07000 151 00C 001 33101 015</t>
  </si>
  <si>
    <t>5 1 3 3 1 12 31111 6 M78 07000 151 00C 001 33101 015 2112000</t>
  </si>
  <si>
    <t>5 1 3 3 1 12 31111 6 M78 07000 151 00C 001 33101 015 2112000 2024</t>
  </si>
  <si>
    <t>5 1 3 3 1 12 31111 6 M78 07000 151 00C 001 33101 015 2112000 2024 00000000</t>
  </si>
  <si>
    <t>5 1 3 3 1 12 31111 6 M78 07000 151 00C 001 33101 015 2112000 2024 00000000 001</t>
  </si>
  <si>
    <t>5 1 3 3 1 12 31111 6 M78 07000 151 00C 001 33101 015 2112000 2024 00000000 001 001</t>
  </si>
  <si>
    <t>5 1 3 3 6</t>
  </si>
  <si>
    <t>SERVICIOS DE APOYO ADMINISTRATIVO, TRADUCCIÓN, FOTOCOPIADO E IMPRESIÓN</t>
  </si>
  <si>
    <t>5 1 3 3 6 12</t>
  </si>
  <si>
    <t>5 1 3 3 6 12 31111</t>
  </si>
  <si>
    <t>5 1 3 3 6 12 31111 6</t>
  </si>
  <si>
    <t>5 1 3 3 6 12 31111 6 M78</t>
  </si>
  <si>
    <t>5 1 3 3 6 12 31111 6 M78 07000</t>
  </si>
  <si>
    <t>5 1 3 3 6 12 31111 6 M78 07000 151</t>
  </si>
  <si>
    <t>5 1 3 3 6 12 31111 6 M78 07000 151 00C</t>
  </si>
  <si>
    <t>5 1 3 3 6 12 31111 6 M78 07000 151 00C 001</t>
  </si>
  <si>
    <t>5 1 3 3 6 12 31111 6 M78 07000 151 00C 001 33603</t>
  </si>
  <si>
    <t>IMPRESIONES DE DOCUMENTOS OFICIALES PARA LA PRESTACION DE SERVICIOS PUBLICOS, IDENTIFICACION, FORMATOS ADMINISTRATIVOS Y FISCALES, FORMAS VALORADAS, CERTIFICADOS Y TITULOS.</t>
  </si>
  <si>
    <t>5 1 3 3 6 12 31111 6 M78 07000 151 00C 001 33603 015</t>
  </si>
  <si>
    <t>5 1 3 3 6 12 31111 6 M78 07000 151 00C 001 33603 015 2112000</t>
  </si>
  <si>
    <t>5 1 3 3 6 12 31111 6 M78 07000 151 00C 001 33603 015 2112000 2024</t>
  </si>
  <si>
    <t>5 1 3 3 6 12 31111 6 M78 07000 151 00C 001 33603 015 2112000 2024 00000000</t>
  </si>
  <si>
    <t>5 1 3 3 6 12 31111 6 M78 07000 151 00C 001 33603 015 2112000 2024 00000000 001</t>
  </si>
  <si>
    <t>5 1 3 3 6 12 31111 6 M78 07000 151 00C 001 33603 015 2112000 2024 00000000 001 001</t>
  </si>
  <si>
    <t>IMPRESIONES DE DOCUMENTOS OFICIALES PARA LA PRESTACION DE SERVICIOS PUBLICOS, IDENTIFICACION, FORMATOS ADMINISTRATIVOS Y FISCALES, FORMAS VALORADAS, CERTIFICADOS Y TITULOS</t>
  </si>
  <si>
    <t>5 1 3 3 6 12 31111 6 M78 07000 151 00C 001 33604</t>
  </si>
  <si>
    <t>IMPRESION Y ELABORACION DE MATERIAL INFORMATIVO DERIVADO DE LA OPERACION Y ADMINISTRACION DE LAS DEPENDENCIAS Y ENTIDADES.</t>
  </si>
  <si>
    <t>5 1 3 3 6 12 31111 6 M78 07000 151 00C 001 33604 015</t>
  </si>
  <si>
    <t>5 1 3 3 6 12 31111 6 M78 07000 151 00C 001 33604 015 2112000</t>
  </si>
  <si>
    <t>5 1 3 3 6 12 31111 6 M78 07000 151 00C 001 33604 015 2112000 2024</t>
  </si>
  <si>
    <t>5 1 3 3 6 12 31111 6 M78 07000 151 00C 001 33604 015 2112000 2024 00000000</t>
  </si>
  <si>
    <t>5 1 3 3 6 12 31111 6 M78 07000 151 00C 001 33604 015 2112000 2024 00000000 001</t>
  </si>
  <si>
    <t>5 1 3 3 6 12 31111 6 M78 07000 151 00C 001 33604 015 2112000 2024 00000000 001 001</t>
  </si>
  <si>
    <t>IMPRESION Y ELABORACION DE MATERIAL INFORMATIVO DERIVADO DE LA OPERACION Y ADMINISTRACION DE LAS DEPENDENCIAS Y ENTIDADES</t>
  </si>
  <si>
    <t>5 1 3 4</t>
  </si>
  <si>
    <t>SERVICIOS FINANCIEROS, BANCARIOS Y COMERCIALES</t>
  </si>
  <si>
    <t>5 1 3 4 7</t>
  </si>
  <si>
    <t>FLETES Y MANIOBRAS</t>
  </si>
  <si>
    <t>5 1 3 4 7 12</t>
  </si>
  <si>
    <t>5 1 3 4 7 12 31111</t>
  </si>
  <si>
    <t>5 1 3 4 7 12 31111 6</t>
  </si>
  <si>
    <t>5 1 3 4 7 12 31111 6 M78</t>
  </si>
  <si>
    <t>5 1 3 4 7 12 31111 6 M78 07000</t>
  </si>
  <si>
    <t>5 1 3 4 7 12 31111 6 M78 07000 151</t>
  </si>
  <si>
    <t>5 1 3 4 7 12 31111 6 M78 07000 151 00C</t>
  </si>
  <si>
    <t>5 1 3 4 7 12 31111 6 M78 07000 151 00C 001</t>
  </si>
  <si>
    <t>5 1 3 4 7 12 31111 6 M78 07000 151 00C 001 34701</t>
  </si>
  <si>
    <t>FLETES Y MANIOBRAS.</t>
  </si>
  <si>
    <t>5 1 3 4 7 12 31111 6 M78 07000 151 00C 001 34701 015</t>
  </si>
  <si>
    <t>5 1 3 4 7 12 31111 6 M78 07000 151 00C 001 34701 015 2112000</t>
  </si>
  <si>
    <t>5 1 3 4 7 12 31111 6 M78 07000 151 00C 001 34701 015 2112000 2024</t>
  </si>
  <si>
    <t>5 1 3 4 7 12 31111 6 M78 07000 151 00C 001 34701 015 2112000 2024 00000000</t>
  </si>
  <si>
    <t>5 1 3 4 7 12 31111 6 M78 07000 151 00C 001 34701 015 2112000 2024 00000000 001</t>
  </si>
  <si>
    <t>5 1 3 4 7 12 31111 6 M78 07000 151 00C 001 34701 015 2112000 2024 00000000 001 001</t>
  </si>
  <si>
    <t>5 1 3 5</t>
  </si>
  <si>
    <t>SERVICIOS DE INSTALACIÓN, REPARACIÓN, MANTENIMIENTO Y CONSERVACIÓN</t>
  </si>
  <si>
    <t>5 1 3 5 1</t>
  </si>
  <si>
    <t>CONSERVACIÓN Y MANTENIMIENTO MENOR DE INMUEBLES</t>
  </si>
  <si>
    <t>5 1 3 5 1 12</t>
  </si>
  <si>
    <t>5 1 3 5 1 12 31111</t>
  </si>
  <si>
    <t>5 1 3 5 1 12 31111 6</t>
  </si>
  <si>
    <t>5 1 3 5 1 12 31111 6 M78</t>
  </si>
  <si>
    <t>5 1 3 5 1 12 31111 6 M78 07000</t>
  </si>
  <si>
    <t>5 1 3 5 1 12 31111 6 M78 07000 151</t>
  </si>
  <si>
    <t>5 1 3 5 1 12 31111 6 M78 07000 151 00C</t>
  </si>
  <si>
    <t>5 1 3 5 1 12 31111 6 M78 07000 151 00C 001</t>
  </si>
  <si>
    <t>5 1 3 5 1 12 31111 6 M78 07000 151 00C 001 35102</t>
  </si>
  <si>
    <t>MANTENIMIENTO Y CONSERVACION DE INMUEBLES PARA LA PRESTACION DE SERVICIOS PUBLICOS.</t>
  </si>
  <si>
    <t>5 1 3 5 1 12 31111 6 M78 07000 151 00C 001 35102 015</t>
  </si>
  <si>
    <t>5 1 3 5 1 12 31111 6 M78 07000 151 00C 001 35102 015 2112000</t>
  </si>
  <si>
    <t>5 1 3 5 1 12 31111 6 M78 07000 151 00C 001 35102 015 2112000 2024</t>
  </si>
  <si>
    <t>5 1 3 5 1 12 31111 6 M78 07000 151 00C 001 35102 015 2112000 2024 00000000</t>
  </si>
  <si>
    <t>5 1 3 5 1 12 31111 6 M78 07000 151 00C 001 35102 015 2112000 2024 00000000 001</t>
  </si>
  <si>
    <t>5 1 3 5 1 12 31111 6 M78 07000 151 00C 001 35102 015 2112000 2024 00000000 001 001</t>
  </si>
  <si>
    <t>MANTENIMIENTO Y CONSERVACION DE INMUEBLES PARA LAPRESTACION DE SERVICIOS PUBLICOS.</t>
  </si>
  <si>
    <t>5 1 3 5 2</t>
  </si>
  <si>
    <t>INSTALACIÓN, REPARACIÓN Y MANTENIMIENTO DE MOBILIARIO Y EQUIPO DE ADMINISTRACIÓN, EDUCACIONAL Y RECREATIVO</t>
  </si>
  <si>
    <t>5 1 3 5 2 12</t>
  </si>
  <si>
    <t>5 1 3 5 2 12 31111</t>
  </si>
  <si>
    <t>5 1 3 5 2 12 31111 6</t>
  </si>
  <si>
    <t>5 1 3 5 2 12 31111 6 M78</t>
  </si>
  <si>
    <t>5 1 3 5 2 12 31111 6 M78 07000</t>
  </si>
  <si>
    <t>5 1 3 5 2 12 31111 6 M78 07000 151</t>
  </si>
  <si>
    <t>5 1 3 5 2 12 31111 6 M78 07000 151 00C</t>
  </si>
  <si>
    <t>5 1 3 5 2 12 31111 6 M78 07000 151 00C 001</t>
  </si>
  <si>
    <t>5 1 3 5 2 12 31111 6 M78 07000 151 00C 001 35201</t>
  </si>
  <si>
    <t>MANTENIMIENTO Y CONSERVACION DE MOBILIARIO Y EQUIPO DE ADMINISTRACION.</t>
  </si>
  <si>
    <t>5 1 3 5 2 12 31111 6 M78 07000 151 00C 001 35201 015</t>
  </si>
  <si>
    <t>5 1 3 5 2 12 31111 6 M78 07000 151 00C 001 35201 015 2112000</t>
  </si>
  <si>
    <t>5 1 3 5 2 12 31111 6 M78 07000 151 00C 001 35201 015 2112000 2024</t>
  </si>
  <si>
    <t>5 1 3 5 2 12 31111 6 M78 07000 151 00C 001 35201 015 2112000 2024 00000000</t>
  </si>
  <si>
    <t>5 1 3 5 2 12 31111 6 M78 07000 151 00C 001 35201 015 2112000 2024 00000000 001</t>
  </si>
  <si>
    <t>5 1 3 5 2 12 31111 6 M78 07000 151 00C 001 35201 015 2112000 2024 00000000 001 001</t>
  </si>
  <si>
    <t>MANTENIMIENTO Y CONSERVACION DE MOBILIARIO Y EQUIPO DE ADMINISTRACION</t>
  </si>
  <si>
    <t>5 1 3 5 5</t>
  </si>
  <si>
    <t>REPARACIÓN Y MANTENIMIENTO DE EQUIPO DE TRANSPORTE</t>
  </si>
  <si>
    <t>5 1 3 5 5 12</t>
  </si>
  <si>
    <t>5 1 3 5 5 12 31111</t>
  </si>
  <si>
    <t>5 1 3 5 5 12 31111 6</t>
  </si>
  <si>
    <t>5 1 3 5 5 12 31111 6 M78</t>
  </si>
  <si>
    <t>5 1 3 5 5 12 31111 6 M78 07000</t>
  </si>
  <si>
    <t>5 1 3 5 5 12 31111 6 M78 07000 151</t>
  </si>
  <si>
    <t>5 1 3 5 5 12 31111 6 M78 07000 151 00C</t>
  </si>
  <si>
    <t>5 1 3 5 5 12 31111 6 M78 07000 151 00C 001</t>
  </si>
  <si>
    <t>5 1 3 5 5 12 31111 6 M78 07000 151 00C 001 35501</t>
  </si>
  <si>
    <t>MANTENIMIENTO Y CONSERVACION DE VEHICULOS TERRESTRES, AEREOS, MARITIMOS, LACUSTRES Y FLUVIALES.</t>
  </si>
  <si>
    <t>5 1 3 5 5 12 31111 6 M78 07000 151 00C 001 35501 015</t>
  </si>
  <si>
    <t>5 1 3 5 5 12 31111 6 M78 07000 151 00C 001 35501 015 2112000</t>
  </si>
  <si>
    <t>5 1 3 5 5 12 31111 6 M78 07000 151 00C 001 35501 015 2112000 2024</t>
  </si>
  <si>
    <t>5 1 3 5 5 12 31111 6 M78 07000 151 00C 001 35501 015 2112000 2024 00000000</t>
  </si>
  <si>
    <t>5 1 3 5 5 12 31111 6 M78 07000 151 00C 001 35501 015 2112000 2024 00000000 001</t>
  </si>
  <si>
    <t>5 1 3 5 5 12 31111 6 M78 07000 151 00C 001 35501 015 2112000 2024 00000000 001 001</t>
  </si>
  <si>
    <t>MANTENIMIENTO Y CONSERVACION DE VEHICULOS TERRESTRES, AEREOS, MARITIMOS, LACUSTRES Y FLUVIALES</t>
  </si>
  <si>
    <t>5 1 3 6</t>
  </si>
  <si>
    <t>SERVICIOS DE COMUNICACIÓN SOCIAL Y PUBLICIDAD</t>
  </si>
  <si>
    <t>5 1 3 6 1</t>
  </si>
  <si>
    <t>DIFUSIÓN POR RADIO, TELEVISIÓN Y OTROS MEDIOS DE MENSAJES SOBRE PROGRAMAS Y ACTIVIDADES GUBERNAMENTALES</t>
  </si>
  <si>
    <t>5 1 3 6 1 12</t>
  </si>
  <si>
    <t>5 1 3 6 1 12 31111</t>
  </si>
  <si>
    <t>5 1 3 6 1 12 31111 6</t>
  </si>
  <si>
    <t>5 1 3 6 1 12 31111 6 M78</t>
  </si>
  <si>
    <t>5 1 3 6 1 12 31111 6 M78 07000</t>
  </si>
  <si>
    <t>5 1 3 6 1 12 31111 6 M78 07000 151</t>
  </si>
  <si>
    <t>5 1 3 6 1 12 31111 6 M78 07000 151 00C</t>
  </si>
  <si>
    <t>5 1 3 6 1 12 31111 6 M78 07000 151 00C 001</t>
  </si>
  <si>
    <t>5 1 3 6 1 12 31111 6 M78 07000 151 00C 001 36101</t>
  </si>
  <si>
    <t>DIFUSION DE MENSAJES SOBRE PROGRAMAS Y ACTIVIDADES GUBERNAMENTALES.</t>
  </si>
  <si>
    <t>5 1 3 6 1 12 31111 6 M78 07000 151 00C 001 36101 015</t>
  </si>
  <si>
    <t>5 1 3 6 1 12 31111 6 M78 07000 151 00C 001 36101 015 2112000</t>
  </si>
  <si>
    <t>5 1 3 6 1 12 31111 6 M78 07000 151 00C 001 36101 015 2112000 2024</t>
  </si>
  <si>
    <t>5 1 3 6 1 12 31111 6 M78 07000 151 00C 001 36101 015 2112000 2024 00000000</t>
  </si>
  <si>
    <t>5 1 3 6 1 12 31111 6 M78 07000 151 00C 001 36101 015 2112000 2024 00000000 001</t>
  </si>
  <si>
    <t>5 1 3 6 1 12 31111 6 M78 07000 151 00C 001 36101 015 2112000 2024 00000000 001 001</t>
  </si>
  <si>
    <t>DIFUSION DE MENSAJES SOBRE PROGRAMAS Y ACTIVIDADES GUBERNAMENTALES</t>
  </si>
  <si>
    <t>5 1 3 7</t>
  </si>
  <si>
    <t>SERVICIOS DE TRASLADO Y VIÁTICOS</t>
  </si>
  <si>
    <t>5 1 3 7 5</t>
  </si>
  <si>
    <t>VIÁTICOS EN EL PAÍS</t>
  </si>
  <si>
    <t>5 1 3 7 5 12</t>
  </si>
  <si>
    <t>5 1 3 7 5 12 31111</t>
  </si>
  <si>
    <t>5 1 3 7 5 12 31111 6</t>
  </si>
  <si>
    <t>5 1 3 7 5 12 31111 6 M78</t>
  </si>
  <si>
    <t>5 1 3 7 5 12 31111 6 M78 07000</t>
  </si>
  <si>
    <t>5 1 3 7 5 12 31111 6 M78 07000 151</t>
  </si>
  <si>
    <t>5 1 3 7 5 12 31111 6 M78 07000 151 00C</t>
  </si>
  <si>
    <t>5 1 3 7 5 12 31111 6 M78 07000 151 00C 001</t>
  </si>
  <si>
    <t>5 1 3 7 5 12 31111 6 M78 07000 151 00C 001 37501</t>
  </si>
  <si>
    <t>VIATICOS NACIONALES PARA LABORES EN CAMPO Y DE SUPERVISION.</t>
  </si>
  <si>
    <t>5 1 3 7 5 12 31111 6 M78 07000 151 00C 001 37501 015</t>
  </si>
  <si>
    <t>5 1 3 7 5 12 31111 6 M78 07000 151 00C 001 37501 015 2112000</t>
  </si>
  <si>
    <t>5 1 3 7 5 12 31111 6 M78 07000 151 00C 001 37501 015 2112000 2024</t>
  </si>
  <si>
    <t>5 1 3 7 5 12 31111 6 M78 07000 151 00C 001 37501 015 2112000 2024 00000000</t>
  </si>
  <si>
    <t>5 1 3 7 5 12 31111 6 M78 07000 151 00C 001 37501 015 2112000 2024 00000000 001</t>
  </si>
  <si>
    <t>5 1 3 7 5 12 31111 6 M78 07000 151 00C 001 37501 015 2112000 2024 00000000 001 001</t>
  </si>
  <si>
    <t>VIATICOS NACIONALES PARA LABORES EN CAMPO Y DE SUPERVISION</t>
  </si>
  <si>
    <t>5 1 3 8</t>
  </si>
  <si>
    <t>SERVICIOS OFICIALES</t>
  </si>
  <si>
    <t>5 1 3 8 2</t>
  </si>
  <si>
    <t>GASTOS DE ORDEN SOCIAL Y CULTURAL</t>
  </si>
  <si>
    <t>5 1 3 8 2 12</t>
  </si>
  <si>
    <t>5 1 3 8 2 12 31111</t>
  </si>
  <si>
    <t>5 1 3 8 2 12 31111 6</t>
  </si>
  <si>
    <t>5 1 3 8 2 12 31111 6 M78</t>
  </si>
  <si>
    <t>5 1 3 8 2 12 31111 6 M78 07000</t>
  </si>
  <si>
    <t>5 1 3 8 2 12 31111 6 M78 07000 151</t>
  </si>
  <si>
    <t>5 1 3 8 2 12 31111 6 M78 07000 151 00C</t>
  </si>
  <si>
    <t>5 1 3 8 2 12 31111 6 M78 07000 151 00C 001</t>
  </si>
  <si>
    <t>5 1 3 8 2 12 31111 6 M78 07000 151 00C 001 38201</t>
  </si>
  <si>
    <t>GASTOS DE ORDEN SOCIAL.</t>
  </si>
  <si>
    <t>5 1 3 8 2 12 31111 6 M78 07000 151 00C 001 38201 015</t>
  </si>
  <si>
    <t>5 1 3 8 2 12 31111 6 M78 07000 151 00C 001 38201 015 2112000</t>
  </si>
  <si>
    <t>5 1 3 8 2 12 31111 6 M78 07000 151 00C 001 38201 015 2112000 2024</t>
  </si>
  <si>
    <t>5 1 3 8 2 12 31111 6 M78 07000 151 00C 001 38201 015 2112000 2024 00000000</t>
  </si>
  <si>
    <t>5 1 3 8 2 12 31111 6 M78 07000 151 00C 001 38201 015 2112000 2024 00000000 001</t>
  </si>
  <si>
    <t>5 1 3 8 2 12 31111 6 M78 07000 151 00C 001 38201 015 2112000 2024 00000000 001 001</t>
  </si>
  <si>
    <t>GASTOS DE ORDEN SOCIAL</t>
  </si>
  <si>
    <t>5 1 3 8 5</t>
  </si>
  <si>
    <t>GASTOS DE REPRESENTACIÓN</t>
  </si>
  <si>
    <t>5 1 3 8 5 12</t>
  </si>
  <si>
    <t>5 1 3 8 5 12 31111</t>
  </si>
  <si>
    <t>5 1 3 8 5 12 31111 6</t>
  </si>
  <si>
    <t>5 1 3 8 5 12 31111 6 M78</t>
  </si>
  <si>
    <t>5 1 3 8 5 12 31111 6 M78 07000</t>
  </si>
  <si>
    <t>5 1 3 8 5 12 31111 6 M78 07000 151</t>
  </si>
  <si>
    <t>5 1 3 8 5 12 31111 6 M78 07000 151 00C</t>
  </si>
  <si>
    <t>5 1 3 8 5 12 31111 6 M78 07000 151 00C 001</t>
  </si>
  <si>
    <t>5 1 3 8 5 12 31111 6 M78 07000 151 00C 001 38501</t>
  </si>
  <si>
    <t>GASTOS PARA ALIMENTACION DE SERVIDORES PUBLICOS DE MANDO.</t>
  </si>
  <si>
    <t>5 1 3 8 5 12 31111 6 M78 07000 151 00C 001 38501 015</t>
  </si>
  <si>
    <t>5 1 3 8 5 12 31111 6 M78 07000 151 00C 001 38501 015 2112000</t>
  </si>
  <si>
    <t>5 1 3 8 5 12 31111 6 M78 07000 151 00C 001 38501 015 2112000 2024</t>
  </si>
  <si>
    <t>5 1 3 8 5 12 31111 6 M78 07000 151 00C 001 38501 015 2112000 2024 00000000</t>
  </si>
  <si>
    <t>5 1 3 8 5 12 31111 6 M78 07000 151 00C 001 38501 015 2112000 2024 00000000 001</t>
  </si>
  <si>
    <t>5 1 3 8 5 12 31111 6 M78 07000 151 00C 001 38501 015 2112000 2024 00000000 001 001</t>
  </si>
  <si>
    <t>GASTOS PARA ALIMENTACION DE SERVIDORES PUBLICOS DE MANDO</t>
  </si>
  <si>
    <t>5 1 3 9</t>
  </si>
  <si>
    <t>OTROS SERVICIOS GENERALES</t>
  </si>
  <si>
    <t>5 1 3 9 2</t>
  </si>
  <si>
    <t>IMPUESTOS Y DERECHOS</t>
  </si>
  <si>
    <t>5 1 3 9 2 12</t>
  </si>
  <si>
    <t>5 1 3 9 2 12 31111</t>
  </si>
  <si>
    <t>5 1 3 9 2 12 31111 6</t>
  </si>
  <si>
    <t>5 1 3 9 2 12 31111 6 M78</t>
  </si>
  <si>
    <t>5 1 3 9 2 12 31111 6 M78 07000</t>
  </si>
  <si>
    <t>5 1 3 9 2 12 31111 6 M78 07000 151</t>
  </si>
  <si>
    <t>5 1 3 9 2 12 31111 6 M78 07000 151 00C</t>
  </si>
  <si>
    <t>5 1 3 9 2 12 31111 6 M78 07000 151 00C 001</t>
  </si>
  <si>
    <t>5 1 3 9 2 12 31111 6 M78 07000 151 00C 001 39201</t>
  </si>
  <si>
    <t>IMPUESTOS Y DERECHOS DE EXPORTACION.</t>
  </si>
  <si>
    <t>5 1 3 9 2 12 31111 6 M78 07000 151 00C 001 39201 015</t>
  </si>
  <si>
    <t>5 1 3 9 2 12 31111 6 M78 07000 151 00C 001 39201 015 2112000</t>
  </si>
  <si>
    <t>5 1 3 9 2 12 31111 6 M78 07000 151 00C 001 39201 015 2112000 2024</t>
  </si>
  <si>
    <t>5 1 3 9 2 12 31111 6 M78 07000 151 00C 001 39201 015 2112000 2024 00000000</t>
  </si>
  <si>
    <t>5 1 3 9 2 12 31111 6 M78 07000 151 00C 001 39201 015 2112000 2024 00000000 001</t>
  </si>
  <si>
    <t>5 1 3 9 2 12 31111 6 M78 07000 151 00C 001 39201 015 2112000 2024 00000000 001 001</t>
  </si>
  <si>
    <t>PEAJE</t>
  </si>
  <si>
    <t>5 1 3 9 8</t>
  </si>
  <si>
    <t>IMPUESTO SOBRE NÓMINAS Y OTROS QUE SE DERIVEN DE UNA RELACIÓN LABORAL</t>
  </si>
  <si>
    <t>5 1 3 9 8 12</t>
  </si>
  <si>
    <t>5 1 3 9 8 12 31111</t>
  </si>
  <si>
    <t>5 1 3 9 8 12 31111 6</t>
  </si>
  <si>
    <t>5 1 3 9 8 12 31111 6 M78</t>
  </si>
  <si>
    <t>5 1 3 9 8 12 31111 6 M78 07000</t>
  </si>
  <si>
    <t>5 1 3 9 8 12 31111 6 M78 07000 151</t>
  </si>
  <si>
    <t>5 1 3 9 8 12 31111 6 M78 07000 151 00C</t>
  </si>
  <si>
    <t>5 1 3 9 8 12 31111 6 M78 07000 151 00C 001</t>
  </si>
  <si>
    <t>5 1 3 9 8 12 31111 6 M78 07000 151 00C 001 39801</t>
  </si>
  <si>
    <t>IMPUESTO SOBRE NOMINAS.</t>
  </si>
  <si>
    <t>5 1 3 9 8 12 31111 6 M78 07000 151 00C 001 39801 015</t>
  </si>
  <si>
    <t>5 1 3 9 8 12 31111 6 M78 07000 151 00C 001 39801 015 2111300</t>
  </si>
  <si>
    <t>IMPUESTOS SOBRE NÓMINAS</t>
  </si>
  <si>
    <t>5 1 3 9 8 12 31111 6 M78 07000 151 00C 001 39801 015 2111300 2024</t>
  </si>
  <si>
    <t>5 1 3 9 8 12 31111 6 M78 07000 151 00C 001 39801 015 2111300 2024 00000000</t>
  </si>
  <si>
    <t>5 1 3 9 8 12 31111 6 M78 07000 151 00C 001 39801 015 2111300 2024 00000000 001</t>
  </si>
  <si>
    <t>5 1 3 9 8 12 31111 6 M78 07000 151 00C 001 39801 015 2111300 2024 00000000 001 001</t>
  </si>
  <si>
    <t>IMPUESTO SOBRE NOMINA</t>
  </si>
  <si>
    <t>5 2</t>
  </si>
  <si>
    <t>TRANSFERENCIAS, ASIGNACIONES, SUBSIDIOS Y OTRAS AYUDAS</t>
  </si>
  <si>
    <t>5 2 4</t>
  </si>
  <si>
    <t>5 2 4 1</t>
  </si>
  <si>
    <t>AYUDAS SOCIALES A PERSONAS</t>
  </si>
  <si>
    <t>5 2 4 1 1</t>
  </si>
  <si>
    <t>5 2 4 1 1 12</t>
  </si>
  <si>
    <t>5 2 4 1 1 12 31111</t>
  </si>
  <si>
    <t>5 2 4 1 1 12 31111 6</t>
  </si>
  <si>
    <t>5 2 4 1 1 12 31111 6 M78</t>
  </si>
  <si>
    <t>5 2 4 1 1 12 31111 6 M78 07000</t>
  </si>
  <si>
    <t>5 2 4 1 1 12 31111 6 M78 07000 151</t>
  </si>
  <si>
    <t>5 2 4 1 1 12 31111 6 M78 07000 151 00C</t>
  </si>
  <si>
    <t>5 2 4 1 1 12 31111 6 M78 07000 151 00C 001</t>
  </si>
  <si>
    <t>5 2 4 1 1 12 31111 6 M78 07000 151 00C 001 44101</t>
  </si>
  <si>
    <t>GASTOS RELACIONADOS CON ACTIVIDADES CULTURALES, DEPORTIVAS Y DE AYUDA EXTRAORDINARIA.</t>
  </si>
  <si>
    <t>5 2 4 1 1 12 31111 6 M78 07000 151 00C 001 44101 015</t>
  </si>
  <si>
    <t>5 2 4 1 1 12 31111 6 M78 07000 151 00C 001 44101 015 2151100</t>
  </si>
  <si>
    <t>AYUDA A PERSONAS</t>
  </si>
  <si>
    <t>5 2 4 1 1 12 31111 6 M78 07000 151 00C 001 44101 015 2151100 2024</t>
  </si>
  <si>
    <t>5 2 4 1 1 12 31111 6 M78 07000 151 00C 001 44101 015 2151100 2024 00000000</t>
  </si>
  <si>
    <t>5 2 4 1 1 12 31111 6 M78 07000 151 00C 001 44101 015 2151100 2024 00000000 001</t>
  </si>
  <si>
    <t>5 2 4 1 1 12 31111 6 M78 07000 151 00C 001 44101 015 2151100 2024 00000000 001 001</t>
  </si>
  <si>
    <t>5 2 4 1 1 12 31111 6 M78 07000 151 00C 001 44101 015 2151100 2024 00000000 001 002</t>
  </si>
  <si>
    <t>A CAMPESINOS</t>
  </si>
  <si>
    <t>5 2 4 1 1 12 31111 6 M78 07000 151 00C 001 44101 015 2151100 2024 00000000 001 004</t>
  </si>
  <si>
    <t>PROYECTOS</t>
  </si>
  <si>
    <t>5 2 4 3</t>
  </si>
  <si>
    <t>AYUDAS SOCIALES A INSTITUCIONES</t>
  </si>
  <si>
    <t>5 2 4 3 3</t>
  </si>
  <si>
    <t>AYUDAS SOCIALES A INSTITUCIONES DE ENSEÑANZA</t>
  </si>
  <si>
    <t>5 2 4 3 3 12</t>
  </si>
  <si>
    <t>5 2 4 3 3 12 31111</t>
  </si>
  <si>
    <t>5 2 4 3 3 12 31111 6</t>
  </si>
  <si>
    <t>5 2 4 3 3 12 31111 6 M78</t>
  </si>
  <si>
    <t>5 2 4 3 3 12 31111 6 M78 07000</t>
  </si>
  <si>
    <t>5 2 4 3 3 12 31111 6 M78 07000 151</t>
  </si>
  <si>
    <t>5 2 4 3 3 12 31111 6 M78 07000 151 00C</t>
  </si>
  <si>
    <t>5 2 4 3 3 12 31111 6 M78 07000 151 00C 001</t>
  </si>
  <si>
    <t>5 2 4 3 3 12 31111 6 M78 07000 151 00C 001 44300</t>
  </si>
  <si>
    <t>AYUDAS SOCIALES A INSTITUCIONES DE ENSEÑANZA.</t>
  </si>
  <si>
    <t>5 2 4 3 3 12 31111 6 M78 07000 151 00C 001 44300 015</t>
  </si>
  <si>
    <t>5 2 4 3 3 12 31111 6 M78 07000 151 00C 001 44300 015 2151300</t>
  </si>
  <si>
    <t>AYUDA A INSTITUCIONES</t>
  </si>
  <si>
    <t>5 2 4 3 3 12 31111 6 M78 07000 151 00C 001 44300 015 2151300 2024</t>
  </si>
  <si>
    <t>5 2 4 3 3 12 31111 6 M78 07000 151 00C 001 44300 015 2151300 2024 00000000</t>
  </si>
  <si>
    <t>8</t>
  </si>
  <si>
    <t>CUENTAS DE ORDEN PRESUPUESTARIAS</t>
  </si>
  <si>
    <t>8 1</t>
  </si>
  <si>
    <t>LEY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</si>
  <si>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</si>
  <si>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</si>
  <si>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</si>
  <si>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</si>
  <si>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</si>
  <si>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</si>
  <si>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</si>
  <si>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</si>
  <si>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</si>
  <si>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</si>
  <si>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8 2</t>
  </si>
  <si>
    <t>PRESUPUESTO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</si>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</sst>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none">
        <fgColor rgb="FFE2E2E2"/>
      </patternFill>
    </fill>
    <fill>
      <patternFill patternType="solid">
        <fgColor rgb="FFE2E2E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4" xfId="0" applyBorder="1"/>
    <xf numFmtId="0" fontId="2" fillId="0" borderId="5" xfId="0" applyFont="1" applyBorder="1" applyAlignment="1">
      <alignment vertical="top"/>
    </xf>
    <xf numFmtId="0" fontId="3" fillId="0" borderId="3" xfId="0" applyFont="1" applyBorder="1"/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8" fillId="0" borderId="2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9" fillId="0" borderId="0" xfId="0" applyFont="1" applyAlignment="1">
      <alignment horizontal="center" vertical="top"/>
    </xf>
    <xf numFmtId="0" fontId="13" fillId="0" borderId="11" xfId="0" applyFont="1" applyBorder="1" applyAlignment="1">
      <alignment horizontal="left" vertical="center" wrapText="1"/>
    </xf>
    <xf numFmtId="4" fontId="15" fillId="0" borderId="11" xfId="0" applyNumberFormat="1" applyFont="1" applyBorder="1" applyAlignment="1">
      <alignment horizontal="right" vertical="center"/>
    </xf>
    <xf numFmtId="0" fontId="0" fillId="0" borderId="11" xfId="0" applyBorder="1"/>
    <xf numFmtId="0" fontId="11" fillId="0" borderId="11" xfId="0" applyFont="1" applyBorder="1" applyAlignment="1">
      <alignment horizontal="left" vertical="center" wrapText="1"/>
    </xf>
    <xf numFmtId="4" fontId="14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4" fontId="2" fillId="0" borderId="11" xfId="0" applyNumberFormat="1" applyFont="1" applyBorder="1" applyAlignment="1">
      <alignment vertical="top"/>
    </xf>
    <xf numFmtId="4" fontId="16" fillId="4" borderId="11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0" fontId="3" fillId="3" borderId="0" xfId="0" quotePrefix="1" applyFont="1" applyFill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0" fontId="2" fillId="3" borderId="0" xfId="0" quotePrefix="1" applyFont="1" applyFill="1" applyAlignment="1">
      <alignment vertical="top"/>
    </xf>
    <xf numFmtId="4" fontId="2" fillId="0" borderId="0" xfId="0" quotePrefix="1" applyNumberFormat="1" applyFont="1" applyAlignment="1">
      <alignment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1517</xdr:row>
      <xdr:rowOff>0</xdr:rowOff>
    </xdr:from>
    <xdr:to>
      <xdr:col>2</xdr:col>
      <xdr:colOff>809625</xdr:colOff>
      <xdr:row>1523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C7EC0C9-307E-49A5-AAF1-8A7A8C759B00}"/>
            </a:ext>
          </a:extLst>
        </xdr:cNvPr>
        <xdr:cNvSpPr txBox="1">
          <a:spLocks noChangeArrowheads="1"/>
        </xdr:cNvSpPr>
      </xdr:nvSpPr>
      <xdr:spPr bwMode="auto">
        <a:xfrm>
          <a:off x="47625" y="654386550"/>
          <a:ext cx="201930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>
    <xdr:from>
      <xdr:col>2</xdr:col>
      <xdr:colOff>1485900</xdr:colOff>
      <xdr:row>1517</xdr:row>
      <xdr:rowOff>28575</xdr:rowOff>
    </xdr:from>
    <xdr:to>
      <xdr:col>3</xdr:col>
      <xdr:colOff>314325</xdr:colOff>
      <xdr:row>1522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59FE3C3-A89B-4054-8C28-E8EFB9197B5B}"/>
            </a:ext>
          </a:extLst>
        </xdr:cNvPr>
        <xdr:cNvSpPr txBox="1">
          <a:spLocks noChangeArrowheads="1"/>
        </xdr:cNvSpPr>
      </xdr:nvSpPr>
      <xdr:spPr bwMode="auto">
        <a:xfrm>
          <a:off x="2743200" y="654415125"/>
          <a:ext cx="1800225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>
    <xdr:from>
      <xdr:col>4</xdr:col>
      <xdr:colOff>161925</xdr:colOff>
      <xdr:row>1517</xdr:row>
      <xdr:rowOff>38100</xdr:rowOff>
    </xdr:from>
    <xdr:to>
      <xdr:col>6</xdr:col>
      <xdr:colOff>209550</xdr:colOff>
      <xdr:row>1523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095A8E1-A09C-4B51-AFF3-E70196210952}"/>
            </a:ext>
          </a:extLst>
        </xdr:cNvPr>
        <xdr:cNvSpPr txBox="1">
          <a:spLocks noChangeArrowheads="1"/>
        </xdr:cNvSpPr>
      </xdr:nvSpPr>
      <xdr:spPr bwMode="auto">
        <a:xfrm>
          <a:off x="5276850" y="654424650"/>
          <a:ext cx="181927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6</xdr:col>
      <xdr:colOff>638176</xdr:colOff>
      <xdr:row>1517</xdr:row>
      <xdr:rowOff>28575</xdr:rowOff>
    </xdr:from>
    <xdr:to>
      <xdr:col>8</xdr:col>
      <xdr:colOff>685800</xdr:colOff>
      <xdr:row>1523</xdr:row>
      <xdr:rowOff>15875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1184349-A186-4027-9477-0A71816F20F5}"/>
            </a:ext>
          </a:extLst>
        </xdr:cNvPr>
        <xdr:cNvSpPr txBox="1">
          <a:spLocks noChangeArrowheads="1"/>
        </xdr:cNvSpPr>
      </xdr:nvSpPr>
      <xdr:spPr bwMode="auto">
        <a:xfrm>
          <a:off x="7099301" y="392506200"/>
          <a:ext cx="1825624" cy="84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26"/>
  <sheetViews>
    <sheetView tabSelected="1" view="pageBreakPreview" topLeftCell="A1469" zoomScale="60" zoomScaleNormal="100" workbookViewId="0">
      <selection activeCell="I1535" sqref="I1535"/>
    </sheetView>
  </sheetViews>
  <sheetFormatPr baseColWidth="10" defaultColWidth="9.1640625" defaultRowHeight="11" x14ac:dyDescent="0.15"/>
  <cols>
    <col min="1" max="1" width="0.6640625" style="2" customWidth="1" collapsed="1"/>
    <col min="2" max="2" width="19.5" style="2" customWidth="1" collapsed="1"/>
    <col min="3" max="3" width="40" style="5" customWidth="1" collapsed="1"/>
    <col min="4" max="6" width="13.33203125" style="4" customWidth="1" collapsed="1"/>
    <col min="7" max="7" width="13.33203125" style="2" customWidth="1" collapsed="1"/>
    <col min="8" max="8" width="13.33203125" style="5" customWidth="1" collapsed="1"/>
    <col min="9" max="9" width="13.33203125" style="4" customWidth="1" collapsed="1"/>
    <col min="10" max="10" width="0.6640625" style="2" customWidth="1" collapsed="1"/>
    <col min="11" max="11" width="13.6640625" style="2" hidden="1" customWidth="1" collapsed="1"/>
    <col min="12" max="13" width="0" style="2" hidden="1" customWidth="1" collapsed="1"/>
    <col min="14" max="16384" width="9.1640625" style="2" collapsed="1"/>
  </cols>
  <sheetData>
    <row r="1" spans="1:11" s="3" customFormat="1" ht="5.25" customHeight="1" x14ac:dyDescent="0.15">
      <c r="A1" s="20"/>
      <c r="B1" s="21"/>
      <c r="C1" s="22"/>
      <c r="D1" s="23"/>
      <c r="E1" s="23"/>
      <c r="F1" s="23"/>
      <c r="G1" s="21"/>
      <c r="H1" s="22"/>
      <c r="I1" s="23"/>
      <c r="J1" s="20"/>
    </row>
    <row r="2" spans="1:11" customFormat="1" ht="13.5" customHeight="1" x14ac:dyDescent="0.15">
      <c r="A2" s="24"/>
      <c r="B2" s="43" t="s">
        <v>7</v>
      </c>
      <c r="C2" s="43"/>
      <c r="D2" s="43"/>
      <c r="E2" s="43"/>
      <c r="F2" s="43"/>
      <c r="G2" s="43"/>
      <c r="H2" s="43"/>
      <c r="I2" s="43"/>
      <c r="J2" s="24"/>
    </row>
    <row r="3" spans="1:11" s="1" customFormat="1" ht="13.5" customHeight="1" x14ac:dyDescent="0.15">
      <c r="A3" s="25"/>
      <c r="B3" s="44" t="s">
        <v>8</v>
      </c>
      <c r="C3" s="44"/>
      <c r="D3" s="44"/>
      <c r="E3" s="44"/>
      <c r="F3" s="44"/>
      <c r="G3" s="44"/>
      <c r="H3" s="44"/>
      <c r="I3" s="44"/>
      <c r="J3" s="25"/>
    </row>
    <row r="4" spans="1:11" s="1" customFormat="1" ht="15" customHeight="1" x14ac:dyDescent="0.15">
      <c r="A4" s="25"/>
      <c r="B4" s="42" t="s">
        <v>9</v>
      </c>
      <c r="C4" s="42"/>
      <c r="D4" s="42"/>
      <c r="E4" s="42"/>
      <c r="F4" s="42"/>
      <c r="G4" s="42"/>
      <c r="H4" s="42"/>
      <c r="I4" s="42"/>
      <c r="J4" s="25"/>
    </row>
    <row r="5" spans="1:11" s="1" customFormat="1" ht="13.5" hidden="1" customHeight="1" x14ac:dyDescent="0.15">
      <c r="A5" s="25"/>
      <c r="B5" s="42" t="s">
        <v>10</v>
      </c>
      <c r="C5" s="42"/>
      <c r="D5" s="42"/>
      <c r="E5" s="42"/>
      <c r="F5" s="42"/>
      <c r="G5" s="42"/>
      <c r="H5" s="42"/>
      <c r="I5" s="42"/>
      <c r="J5" s="25"/>
    </row>
    <row r="6" spans="1:11" customFormat="1" ht="13.5" customHeight="1" x14ac:dyDescent="0.15">
      <c r="A6" s="24"/>
      <c r="B6" s="45" t="s">
        <v>11</v>
      </c>
      <c r="C6" s="45"/>
      <c r="D6" s="45"/>
      <c r="E6" s="45"/>
      <c r="F6" s="45"/>
      <c r="G6" s="45"/>
      <c r="H6" s="45"/>
      <c r="I6" s="45"/>
      <c r="J6" s="24"/>
    </row>
    <row r="7" spans="1:11" customFormat="1" ht="3.75" customHeight="1" x14ac:dyDescent="0.15">
      <c r="A7" s="24"/>
      <c r="B7" s="42"/>
      <c r="C7" s="42"/>
      <c r="D7" s="42"/>
      <c r="E7" s="42"/>
      <c r="F7" s="42"/>
      <c r="G7" s="42"/>
      <c r="H7" s="42"/>
      <c r="I7" s="42"/>
      <c r="J7" s="24"/>
    </row>
    <row r="8" spans="1:11" customFormat="1" ht="8.25" customHeight="1" x14ac:dyDescent="0.15">
      <c r="B8" s="6"/>
      <c r="C8" s="6"/>
      <c r="D8" s="6"/>
      <c r="E8" s="6"/>
      <c r="F8" s="6"/>
      <c r="G8" s="6"/>
      <c r="H8" s="6"/>
      <c r="I8" s="6"/>
    </row>
    <row r="9" spans="1:11" customFormat="1" ht="13" x14ac:dyDescent="0.15">
      <c r="A9" s="7"/>
      <c r="B9" s="13"/>
      <c r="C9" s="13"/>
      <c r="D9" s="49" t="s">
        <v>6</v>
      </c>
      <c r="E9" s="50"/>
      <c r="F9" s="49" t="s">
        <v>5</v>
      </c>
      <c r="G9" s="50"/>
      <c r="H9" s="51" t="s">
        <v>4</v>
      </c>
      <c r="I9" s="51"/>
      <c r="J9" s="10"/>
    </row>
    <row r="10" spans="1:11" customFormat="1" ht="13" x14ac:dyDescent="0.15">
      <c r="A10" s="8"/>
      <c r="B10" s="14" t="s">
        <v>2</v>
      </c>
      <c r="C10" s="26" t="s">
        <v>3</v>
      </c>
      <c r="D10" s="46" t="s">
        <v>12</v>
      </c>
      <c r="E10" s="47"/>
      <c r="F10" s="46" t="s">
        <v>13</v>
      </c>
      <c r="G10" s="47"/>
      <c r="H10" s="48" t="s">
        <v>14</v>
      </c>
      <c r="I10" s="48"/>
      <c r="J10" s="12"/>
    </row>
    <row r="11" spans="1:11" x14ac:dyDescent="0.15">
      <c r="A11" s="9"/>
      <c r="B11" s="15"/>
      <c r="C11" s="16"/>
      <c r="D11" s="17" t="s">
        <v>0</v>
      </c>
      <c r="E11" s="18" t="s">
        <v>1</v>
      </c>
      <c r="F11" s="17" t="s">
        <v>0</v>
      </c>
      <c r="G11" s="18" t="s">
        <v>1</v>
      </c>
      <c r="H11" s="19" t="s">
        <v>0</v>
      </c>
      <c r="I11" s="19" t="s">
        <v>1</v>
      </c>
      <c r="J11" s="11"/>
    </row>
    <row r="12" spans="1:11" ht="13" x14ac:dyDescent="0.15">
      <c r="B12" s="27" t="s">
        <v>15</v>
      </c>
      <c r="C12" s="27" t="s">
        <v>16</v>
      </c>
      <c r="D12" s="28">
        <f>SUMIFS(D13:D1509,K13:K1509,"0",B13:B1509,"1*")-SUMIFS(E13:E1509,K13:K1509,"0",B13:B1509,"1*")</f>
        <v>1799457.4299999997</v>
      </c>
      <c r="E12" s="29"/>
      <c r="F12" s="28">
        <f>SUMIFS(F13:F1509,K13:K1509,"0",B13:B1509,"1*")</f>
        <v>34970298.379999995</v>
      </c>
      <c r="G12" s="28">
        <f>SUMIFS(G13:G1509,K13:K1509,"0",B13:B1509,"1*")</f>
        <v>33454363.740000002</v>
      </c>
      <c r="H12" s="28">
        <f t="shared" ref="H12:H75" si="0">D12 + F12 - G12</f>
        <v>3315392.0699999928</v>
      </c>
      <c r="I12" s="28"/>
      <c r="K12" t="s">
        <v>15</v>
      </c>
    </row>
    <row r="13" spans="1:11" ht="13" x14ac:dyDescent="0.15">
      <c r="B13" s="27" t="s">
        <v>17</v>
      </c>
      <c r="C13" s="27" t="s">
        <v>18</v>
      </c>
      <c r="D13" s="28">
        <f>SUMIFS(D14:D1509,K14:K1509,"0",B14:B1509,"1 1*")-SUMIFS(E14:E1509,K14:K1509,"0",B14:B1509,"1 1*")</f>
        <v>485340.58</v>
      </c>
      <c r="E13" s="29"/>
      <c r="F13" s="28">
        <f>SUMIFS(F14:F1509,K14:K1509,"0",B14:B1509,"1 1*")</f>
        <v>34806612.379999995</v>
      </c>
      <c r="G13" s="28">
        <f>SUMIFS(G14:G1509,K14:K1509,"0",B14:B1509,"1 1*")</f>
        <v>33414363.740000002</v>
      </c>
      <c r="H13" s="28">
        <f t="shared" si="0"/>
        <v>1877589.2199999914</v>
      </c>
      <c r="I13" s="28"/>
      <c r="K13" t="s">
        <v>15</v>
      </c>
    </row>
    <row r="14" spans="1:11" ht="13" x14ac:dyDescent="0.15">
      <c r="B14" s="27" t="s">
        <v>19</v>
      </c>
      <c r="C14" s="27" t="s">
        <v>20</v>
      </c>
      <c r="D14" s="28">
        <f>SUMIFS(D15:D1509,K15:K1509,"0",B15:B1509,"1 1 1*")-SUMIFS(E15:E1509,K15:K1509,"0",B15:B1509,"1 1 1*")</f>
        <v>443.58</v>
      </c>
      <c r="E14" s="29"/>
      <c r="F14" s="28">
        <f>SUMIFS(F15:F1509,K15:K1509,"0",B15:B1509,"1 1 1*")</f>
        <v>19285325.98</v>
      </c>
      <c r="G14" s="28">
        <f>SUMIFS(G15:G1509,K15:K1509,"0",B15:B1509,"1 1 1*")</f>
        <v>17716535.68</v>
      </c>
      <c r="H14" s="28">
        <f t="shared" si="0"/>
        <v>1569233.879999999</v>
      </c>
      <c r="I14" s="28"/>
      <c r="K14" t="s">
        <v>15</v>
      </c>
    </row>
    <row r="15" spans="1:11" ht="13" x14ac:dyDescent="0.15">
      <c r="B15" s="27" t="s">
        <v>21</v>
      </c>
      <c r="C15" s="27" t="s">
        <v>22</v>
      </c>
      <c r="D15" s="28">
        <f>SUMIFS(D16:D1509,K16:K1509,"0",B16:B1509,"1 1 1 2*")-SUMIFS(E16:E1509,K16:K1509,"0",B16:B1509,"1 1 1 2*")</f>
        <v>443.58</v>
      </c>
      <c r="E15" s="29"/>
      <c r="F15" s="28">
        <f>SUMIFS(F16:F1509,K16:K1509,"0",B16:B1509,"1 1 1 2*")</f>
        <v>19285325.98</v>
      </c>
      <c r="G15" s="28">
        <f>SUMIFS(G16:G1509,K16:K1509,"0",B16:B1509,"1 1 1 2*")</f>
        <v>17716535.68</v>
      </c>
      <c r="H15" s="28">
        <f t="shared" si="0"/>
        <v>1569233.879999999</v>
      </c>
      <c r="I15" s="28"/>
      <c r="K15" t="s">
        <v>15</v>
      </c>
    </row>
    <row r="16" spans="1:11" ht="13" x14ac:dyDescent="0.15">
      <c r="B16" s="27" t="s">
        <v>23</v>
      </c>
      <c r="C16" s="27" t="s">
        <v>24</v>
      </c>
      <c r="D16" s="28">
        <f>SUMIFS(D17:D1509,K17:K1509,"0",B17:B1509,"1 1 1 2 1*")-SUMIFS(E17:E1509,K17:K1509,"0",B17:B1509,"1 1 1 2 1*")</f>
        <v>443.58</v>
      </c>
      <c r="E16" s="29"/>
      <c r="F16" s="28">
        <f>SUMIFS(F17:F1509,K17:K1509,"0",B17:B1509,"1 1 1 2 1*")</f>
        <v>19285325.98</v>
      </c>
      <c r="G16" s="28">
        <f>SUMIFS(G17:G1509,K17:K1509,"0",B17:B1509,"1 1 1 2 1*")</f>
        <v>17716535.68</v>
      </c>
      <c r="H16" s="28">
        <f t="shared" si="0"/>
        <v>1569233.879999999</v>
      </c>
      <c r="I16" s="28"/>
      <c r="K16" t="s">
        <v>15</v>
      </c>
    </row>
    <row r="17" spans="2:11" ht="13" x14ac:dyDescent="0.15">
      <c r="B17" s="27" t="s">
        <v>25</v>
      </c>
      <c r="C17" s="27" t="s">
        <v>26</v>
      </c>
      <c r="D17" s="28">
        <f>SUMIFS(D18:D1509,K18:K1509,"0",B18:B1509,"1 1 1 2 1 12*")-SUMIFS(E18:E1509,K18:K1509,"0",B18:B1509,"1 1 1 2 1 12*")</f>
        <v>443.58</v>
      </c>
      <c r="E17" s="29"/>
      <c r="F17" s="28">
        <f>SUMIFS(F18:F1509,K18:K1509,"0",B18:B1509,"1 1 1 2 1 12*")</f>
        <v>19285325.98</v>
      </c>
      <c r="G17" s="28">
        <f>SUMIFS(G18:G1509,K18:K1509,"0",B18:B1509,"1 1 1 2 1 12*")</f>
        <v>17716535.68</v>
      </c>
      <c r="H17" s="28">
        <f t="shared" si="0"/>
        <v>1569233.879999999</v>
      </c>
      <c r="I17" s="28"/>
      <c r="K17" t="s">
        <v>15</v>
      </c>
    </row>
    <row r="18" spans="2:11" ht="13" x14ac:dyDescent="0.15">
      <c r="B18" s="27" t="s">
        <v>27</v>
      </c>
      <c r="C18" s="27" t="s">
        <v>28</v>
      </c>
      <c r="D18" s="28">
        <f>SUMIFS(D19:D1509,K19:K1509,"0",B19:B1509,"1 1 1 2 1 12 31111*")-SUMIFS(E19:E1509,K19:K1509,"0",B19:B1509,"1 1 1 2 1 12 31111*")</f>
        <v>443.58</v>
      </c>
      <c r="E18" s="29"/>
      <c r="F18" s="28">
        <f>SUMIFS(F19:F1509,K19:K1509,"0",B19:B1509,"1 1 1 2 1 12 31111*")</f>
        <v>19285325.98</v>
      </c>
      <c r="G18" s="28">
        <f>SUMIFS(G19:G1509,K19:K1509,"0",B19:B1509,"1 1 1 2 1 12 31111*")</f>
        <v>17716535.68</v>
      </c>
      <c r="H18" s="28">
        <f t="shared" si="0"/>
        <v>1569233.879999999</v>
      </c>
      <c r="I18" s="28"/>
      <c r="K18" t="s">
        <v>15</v>
      </c>
    </row>
    <row r="19" spans="2:11" ht="13" x14ac:dyDescent="0.15">
      <c r="B19" s="27" t="s">
        <v>29</v>
      </c>
      <c r="C19" s="27" t="s">
        <v>30</v>
      </c>
      <c r="D19" s="28">
        <f>SUMIFS(D20:D1509,K20:K1509,"0",B20:B1509,"1 1 1 2 1 12 31111 6*")-SUMIFS(E20:E1509,K20:K1509,"0",B20:B1509,"1 1 1 2 1 12 31111 6*")</f>
        <v>443.58</v>
      </c>
      <c r="E19" s="29"/>
      <c r="F19" s="28">
        <f>SUMIFS(F20:F1509,K20:K1509,"0",B20:B1509,"1 1 1 2 1 12 31111 6*")</f>
        <v>19285325.98</v>
      </c>
      <c r="G19" s="28">
        <f>SUMIFS(G20:G1509,K20:K1509,"0",B20:B1509,"1 1 1 2 1 12 31111 6*")</f>
        <v>17716535.68</v>
      </c>
      <c r="H19" s="28">
        <f t="shared" si="0"/>
        <v>1569233.879999999</v>
      </c>
      <c r="I19" s="28"/>
      <c r="K19" t="s">
        <v>15</v>
      </c>
    </row>
    <row r="20" spans="2:11" ht="13" x14ac:dyDescent="0.15">
      <c r="B20" s="27" t="s">
        <v>31</v>
      </c>
      <c r="C20" s="27" t="s">
        <v>32</v>
      </c>
      <c r="D20" s="28">
        <f>SUMIFS(D21:D1509,K21:K1509,"0",B21:B1509,"1 1 1 2 1 12 31111 6 M78*")-SUMIFS(E21:E1509,K21:K1509,"0",B21:B1509,"1 1 1 2 1 12 31111 6 M78*")</f>
        <v>443.58</v>
      </c>
      <c r="E20" s="29"/>
      <c r="F20" s="28">
        <f>SUMIFS(F21:F1509,K21:K1509,"0",B21:B1509,"1 1 1 2 1 12 31111 6 M78*")</f>
        <v>19285325.98</v>
      </c>
      <c r="G20" s="28">
        <f>SUMIFS(G21:G1509,K21:K1509,"0",B21:B1509,"1 1 1 2 1 12 31111 6 M78*")</f>
        <v>17716535.68</v>
      </c>
      <c r="H20" s="28">
        <f t="shared" si="0"/>
        <v>1569233.879999999</v>
      </c>
      <c r="I20" s="28"/>
      <c r="K20" t="s">
        <v>15</v>
      </c>
    </row>
    <row r="21" spans="2:11" ht="13" x14ac:dyDescent="0.15">
      <c r="B21" s="27" t="s">
        <v>33</v>
      </c>
      <c r="C21" s="27" t="s">
        <v>9</v>
      </c>
      <c r="D21" s="28">
        <f>SUMIFS(D22:D1509,K22:K1509,"0",B22:B1509,"1 1 1 2 1 12 31111 6 M78 00001*")-SUMIFS(E22:E1509,K22:K1509,"0",B22:B1509,"1 1 1 2 1 12 31111 6 M78 00001*")</f>
        <v>443.58</v>
      </c>
      <c r="E21" s="29"/>
      <c r="F21" s="28">
        <f>SUMIFS(F22:F1509,K22:K1509,"0",B22:B1509,"1 1 1 2 1 12 31111 6 M78 00001*")</f>
        <v>19285325.98</v>
      </c>
      <c r="G21" s="28">
        <f>SUMIFS(G22:G1509,K22:K1509,"0",B22:B1509,"1 1 1 2 1 12 31111 6 M78 00001*")</f>
        <v>17716535.68</v>
      </c>
      <c r="H21" s="28">
        <f t="shared" si="0"/>
        <v>1569233.879999999</v>
      </c>
      <c r="I21" s="28"/>
      <c r="K21" t="s">
        <v>15</v>
      </c>
    </row>
    <row r="22" spans="2:11" ht="13" x14ac:dyDescent="0.15">
      <c r="B22" s="27" t="s">
        <v>34</v>
      </c>
      <c r="C22" s="27" t="s">
        <v>35</v>
      </c>
      <c r="D22" s="28">
        <f>SUMIFS(D23:D1509,K23:K1509,"0",B23:B1509,"1 1 1 2 1 12 31111 6 M78 00001 002*")-SUMIFS(E23:E1509,K23:K1509,"0",B23:B1509,"1 1 1 2 1 12 31111 6 M78 00001 002*")</f>
        <v>443.58</v>
      </c>
      <c r="E22" s="29"/>
      <c r="F22" s="28">
        <f>SUMIFS(F23:F1509,K23:K1509,"0",B23:B1509,"1 1 1 2 1 12 31111 6 M78 00001 002*")</f>
        <v>19285325.98</v>
      </c>
      <c r="G22" s="28">
        <f>SUMIFS(G23:G1509,K23:K1509,"0",B23:B1509,"1 1 1 2 1 12 31111 6 M78 00001 002*")</f>
        <v>17716535.68</v>
      </c>
      <c r="H22" s="28">
        <f t="shared" si="0"/>
        <v>1569233.879999999</v>
      </c>
      <c r="I22" s="28"/>
      <c r="K22" t="s">
        <v>15</v>
      </c>
    </row>
    <row r="23" spans="2:11" ht="13" x14ac:dyDescent="0.15">
      <c r="B23" s="30" t="s">
        <v>36</v>
      </c>
      <c r="C23" s="30" t="s">
        <v>37</v>
      </c>
      <c r="D23" s="31">
        <v>429.57</v>
      </c>
      <c r="E23" s="31"/>
      <c r="F23" s="31">
        <v>16964317.699999999</v>
      </c>
      <c r="G23" s="31">
        <v>16435427.4</v>
      </c>
      <c r="H23" s="31">
        <f t="shared" si="0"/>
        <v>529319.86999999918</v>
      </c>
      <c r="I23" s="31"/>
      <c r="K23" t="s">
        <v>38</v>
      </c>
    </row>
    <row r="24" spans="2:11" ht="13" x14ac:dyDescent="0.15">
      <c r="B24" s="30" t="s">
        <v>39</v>
      </c>
      <c r="C24" s="30" t="s">
        <v>40</v>
      </c>
      <c r="D24" s="31">
        <v>14.01</v>
      </c>
      <c r="E24" s="31"/>
      <c r="F24" s="31">
        <v>718059.32</v>
      </c>
      <c r="G24" s="31">
        <v>681108.28</v>
      </c>
      <c r="H24" s="31">
        <f t="shared" si="0"/>
        <v>36965.04999999993</v>
      </c>
      <c r="I24" s="31"/>
      <c r="K24" t="s">
        <v>38</v>
      </c>
    </row>
    <row r="25" spans="2:11" ht="13" x14ac:dyDescent="0.15">
      <c r="B25" s="30" t="s">
        <v>41</v>
      </c>
      <c r="C25" s="30" t="s">
        <v>42</v>
      </c>
      <c r="D25" s="31">
        <v>0</v>
      </c>
      <c r="E25" s="31"/>
      <c r="F25" s="31">
        <v>1602948.96</v>
      </c>
      <c r="G25" s="31">
        <v>600000</v>
      </c>
      <c r="H25" s="31">
        <f t="shared" si="0"/>
        <v>1002948.96</v>
      </c>
      <c r="I25" s="31"/>
      <c r="K25" t="s">
        <v>38</v>
      </c>
    </row>
    <row r="26" spans="2:11" ht="13" x14ac:dyDescent="0.15">
      <c r="B26" s="27" t="s">
        <v>43</v>
      </c>
      <c r="C26" s="27" t="s">
        <v>44</v>
      </c>
      <c r="D26" s="28">
        <f>SUMIFS(D27:D1509,K27:K1509,"0",B27:B1509,"1 1 2*")-SUMIFS(E27:E1509,K27:K1509,"0",B27:B1509,"1 1 2*")</f>
        <v>484897</v>
      </c>
      <c r="E26" s="29"/>
      <c r="F26" s="28">
        <f>SUMIFS(F27:F1509,K27:K1509,"0",B27:B1509,"1 1 2*")</f>
        <v>15521286.400000002</v>
      </c>
      <c r="G26" s="28">
        <f>SUMIFS(G27:G1509,K27:K1509,"0",B27:B1509,"1 1 2*")</f>
        <v>15697828.060000002</v>
      </c>
      <c r="H26" s="28">
        <f t="shared" si="0"/>
        <v>308355.33999999985</v>
      </c>
      <c r="I26" s="28"/>
      <c r="K26" t="s">
        <v>15</v>
      </c>
    </row>
    <row r="27" spans="2:11" ht="13" x14ac:dyDescent="0.15">
      <c r="B27" s="27" t="s">
        <v>45</v>
      </c>
      <c r="C27" s="27" t="s">
        <v>46</v>
      </c>
      <c r="D27" s="28">
        <f>SUMIFS(D28:D1509,K28:K1509,"0",B28:B1509,"1 1 2 2*")-SUMIFS(E28:E1509,K28:K1509,"0",B28:B1509,"1 1 2 2*")</f>
        <v>-27619.32</v>
      </c>
      <c r="E27" s="29"/>
      <c r="F27" s="28">
        <f>SUMIFS(F28:F1509,K28:K1509,"0",B28:B1509,"1 1 2 2*")</f>
        <v>14168514.570000002</v>
      </c>
      <c r="G27" s="28">
        <f>SUMIFS(G28:G1509,K28:K1509,"0",B28:B1509,"1 1 2 2*")</f>
        <v>14169966.850000001</v>
      </c>
      <c r="H27" s="28">
        <f t="shared" si="0"/>
        <v>-29071.599999999627</v>
      </c>
      <c r="I27" s="28"/>
      <c r="K27" t="s">
        <v>15</v>
      </c>
    </row>
    <row r="28" spans="2:11" ht="13" x14ac:dyDescent="0.15">
      <c r="B28" s="27" t="s">
        <v>47</v>
      </c>
      <c r="C28" s="27" t="s">
        <v>48</v>
      </c>
      <c r="D28" s="28">
        <f>SUMIFS(D29:D1509,K29:K1509,"0",B29:B1509,"1 1 2 2 5*")-SUMIFS(E29:E1509,K29:K1509,"0",B29:B1509,"1 1 2 2 5*")</f>
        <v>-27619.32</v>
      </c>
      <c r="E28" s="29"/>
      <c r="F28" s="28">
        <f>SUMIFS(F29:F1509,K29:K1509,"0",B29:B1509,"1 1 2 2 5*")</f>
        <v>13435047.570000002</v>
      </c>
      <c r="G28" s="28">
        <f>SUMIFS(G29:G1509,K29:K1509,"0",B29:B1509,"1 1 2 2 5*")</f>
        <v>13436499.850000001</v>
      </c>
      <c r="H28" s="28">
        <f t="shared" si="0"/>
        <v>-29071.599999999627</v>
      </c>
      <c r="I28" s="28"/>
      <c r="K28" t="s">
        <v>15</v>
      </c>
    </row>
    <row r="29" spans="2:11" ht="13" x14ac:dyDescent="0.15">
      <c r="B29" s="27" t="s">
        <v>49</v>
      </c>
      <c r="C29" s="27" t="s">
        <v>26</v>
      </c>
      <c r="D29" s="28">
        <f>SUMIFS(D30:D1509,K30:K1509,"0",B30:B1509,"1 1 2 2 5 12*")-SUMIFS(E30:E1509,K30:K1509,"0",B30:B1509,"1 1 2 2 5 12*")</f>
        <v>-27619.32</v>
      </c>
      <c r="E29" s="29"/>
      <c r="F29" s="28">
        <f>SUMIFS(F30:F1509,K30:K1509,"0",B30:B1509,"1 1 2 2 5 12*")</f>
        <v>13435047.570000002</v>
      </c>
      <c r="G29" s="28">
        <f>SUMIFS(G30:G1509,K30:K1509,"0",B30:B1509,"1 1 2 2 5 12*")</f>
        <v>13436499.850000001</v>
      </c>
      <c r="H29" s="28">
        <f t="shared" si="0"/>
        <v>-29071.599999999627</v>
      </c>
      <c r="I29" s="28"/>
      <c r="K29" t="s">
        <v>15</v>
      </c>
    </row>
    <row r="30" spans="2:11" ht="13" x14ac:dyDescent="0.15">
      <c r="B30" s="27" t="s">
        <v>50</v>
      </c>
      <c r="C30" s="27" t="s">
        <v>28</v>
      </c>
      <c r="D30" s="28">
        <f>SUMIFS(D31:D1509,K31:K1509,"0",B31:B1509,"1 1 2 2 5 12 31111*")-SUMIFS(E31:E1509,K31:K1509,"0",B31:B1509,"1 1 2 2 5 12 31111*")</f>
        <v>-27619.32</v>
      </c>
      <c r="E30" s="29"/>
      <c r="F30" s="28">
        <f>SUMIFS(F31:F1509,K31:K1509,"0",B31:B1509,"1 1 2 2 5 12 31111*")</f>
        <v>13435047.570000002</v>
      </c>
      <c r="G30" s="28">
        <f>SUMIFS(G31:G1509,K31:K1509,"0",B31:B1509,"1 1 2 2 5 12 31111*")</f>
        <v>13436499.850000001</v>
      </c>
      <c r="H30" s="28">
        <f t="shared" si="0"/>
        <v>-29071.599999999627</v>
      </c>
      <c r="I30" s="28"/>
      <c r="K30" t="s">
        <v>15</v>
      </c>
    </row>
    <row r="31" spans="2:11" ht="13" x14ac:dyDescent="0.15">
      <c r="B31" s="27" t="s">
        <v>51</v>
      </c>
      <c r="C31" s="27" t="s">
        <v>30</v>
      </c>
      <c r="D31" s="28">
        <f>SUMIFS(D32:D1509,K32:K1509,"0",B32:B1509,"1 1 2 2 5 12 31111 6*")-SUMIFS(E32:E1509,K32:K1509,"0",B32:B1509,"1 1 2 2 5 12 31111 6*")</f>
        <v>-27619.32</v>
      </c>
      <c r="E31" s="29"/>
      <c r="F31" s="28">
        <f>SUMIFS(F32:F1509,K32:K1509,"0",B32:B1509,"1 1 2 2 5 12 31111 6*")</f>
        <v>13435047.570000002</v>
      </c>
      <c r="G31" s="28">
        <f>SUMIFS(G32:G1509,K32:K1509,"0",B32:B1509,"1 1 2 2 5 12 31111 6*")</f>
        <v>13436499.850000001</v>
      </c>
      <c r="H31" s="28">
        <f t="shared" si="0"/>
        <v>-29071.599999999627</v>
      </c>
      <c r="I31" s="28"/>
      <c r="K31" t="s">
        <v>15</v>
      </c>
    </row>
    <row r="32" spans="2:11" ht="13" x14ac:dyDescent="0.15">
      <c r="B32" s="27" t="s">
        <v>52</v>
      </c>
      <c r="C32" s="27" t="s">
        <v>32</v>
      </c>
      <c r="D32" s="28">
        <f>SUMIFS(D33:D1509,K33:K1509,"0",B33:B1509,"1 1 2 2 5 12 31111 6 M78*")-SUMIFS(E33:E1509,K33:K1509,"0",B33:B1509,"1 1 2 2 5 12 31111 6 M78*")</f>
        <v>-27619.32</v>
      </c>
      <c r="E32" s="29"/>
      <c r="F32" s="28">
        <f>SUMIFS(F33:F1509,K33:K1509,"0",B33:B1509,"1 1 2 2 5 12 31111 6 M78*")</f>
        <v>13435047.570000002</v>
      </c>
      <c r="G32" s="28">
        <f>SUMIFS(G33:G1509,K33:K1509,"0",B33:B1509,"1 1 2 2 5 12 31111 6 M78*")</f>
        <v>13436499.850000001</v>
      </c>
      <c r="H32" s="28">
        <f t="shared" si="0"/>
        <v>-29071.599999999627</v>
      </c>
      <c r="I32" s="28"/>
      <c r="K32" t="s">
        <v>15</v>
      </c>
    </row>
    <row r="33" spans="2:11" ht="13" x14ac:dyDescent="0.15">
      <c r="B33" s="27" t="s">
        <v>53</v>
      </c>
      <c r="C33" s="27" t="s">
        <v>9</v>
      </c>
      <c r="D33" s="28">
        <f>SUMIFS(D34:D1509,K34:K1509,"0",B34:B1509,"1 1 2 2 5 12 31111 6 M78 00001*")-SUMIFS(E34:E1509,K34:K1509,"0",B34:B1509,"1 1 2 2 5 12 31111 6 M78 00001*")</f>
        <v>-27619.32</v>
      </c>
      <c r="E33" s="29"/>
      <c r="F33" s="28">
        <f>SUMIFS(F34:F1509,K34:K1509,"0",B34:B1509,"1 1 2 2 5 12 31111 6 M78 00001*")</f>
        <v>13435047.570000002</v>
      </c>
      <c r="G33" s="28">
        <f>SUMIFS(G34:G1509,K34:K1509,"0",B34:B1509,"1 1 2 2 5 12 31111 6 M78 00001*")</f>
        <v>13436499.850000001</v>
      </c>
      <c r="H33" s="28">
        <f t="shared" si="0"/>
        <v>-29071.599999999627</v>
      </c>
      <c r="I33" s="28"/>
      <c r="K33" t="s">
        <v>15</v>
      </c>
    </row>
    <row r="34" spans="2:11" ht="13" x14ac:dyDescent="0.15">
      <c r="B34" s="27" t="s">
        <v>54</v>
      </c>
      <c r="C34" s="27" t="s">
        <v>35</v>
      </c>
      <c r="D34" s="28">
        <f>SUMIFS(D35:D1509,K35:K1509,"0",B35:B1509,"1 1 2 2 5 12 31111 6 M78 00001 002*")-SUMIFS(E35:E1509,K35:K1509,"0",B35:B1509,"1 1 2 2 5 12 31111 6 M78 00001 002*")</f>
        <v>-27619.32</v>
      </c>
      <c r="E34" s="29"/>
      <c r="F34" s="28">
        <f>SUMIFS(F35:F1509,K35:K1509,"0",B35:B1509,"1 1 2 2 5 12 31111 6 M78 00001 002*")</f>
        <v>13435047.570000002</v>
      </c>
      <c r="G34" s="28">
        <f>SUMIFS(G35:G1509,K35:K1509,"0",B35:B1509,"1 1 2 2 5 12 31111 6 M78 00001 002*")</f>
        <v>13436499.850000001</v>
      </c>
      <c r="H34" s="28">
        <f t="shared" si="0"/>
        <v>-29071.599999999627</v>
      </c>
      <c r="I34" s="28"/>
      <c r="K34" t="s">
        <v>15</v>
      </c>
    </row>
    <row r="35" spans="2:11" ht="13" x14ac:dyDescent="0.15">
      <c r="B35" s="30" t="s">
        <v>55</v>
      </c>
      <c r="C35" s="30" t="s">
        <v>56</v>
      </c>
      <c r="D35" s="31">
        <v>0</v>
      </c>
      <c r="E35" s="31"/>
      <c r="F35" s="31">
        <v>10061313.460000001</v>
      </c>
      <c r="G35" s="31">
        <v>10061313.460000001</v>
      </c>
      <c r="H35" s="31">
        <f t="shared" si="0"/>
        <v>0</v>
      </c>
      <c r="I35" s="31"/>
      <c r="K35" t="s">
        <v>38</v>
      </c>
    </row>
    <row r="36" spans="2:11" ht="13" x14ac:dyDescent="0.15">
      <c r="B36" s="30" t="s">
        <v>57</v>
      </c>
      <c r="C36" s="30" t="s">
        <v>58</v>
      </c>
      <c r="D36" s="31">
        <v>0</v>
      </c>
      <c r="E36" s="31"/>
      <c r="F36" s="31">
        <v>2272406.02</v>
      </c>
      <c r="G36" s="31">
        <v>2272406.02</v>
      </c>
      <c r="H36" s="31">
        <f t="shared" si="0"/>
        <v>0</v>
      </c>
      <c r="I36" s="31"/>
      <c r="K36" t="s">
        <v>38</v>
      </c>
    </row>
    <row r="37" spans="2:11" ht="13" x14ac:dyDescent="0.15">
      <c r="B37" s="30" t="s">
        <v>59</v>
      </c>
      <c r="C37" s="30" t="s">
        <v>60</v>
      </c>
      <c r="D37" s="31">
        <v>-8343.5300000000007</v>
      </c>
      <c r="E37" s="31"/>
      <c r="F37" s="31">
        <v>833.58</v>
      </c>
      <c r="G37" s="31">
        <v>3208.78</v>
      </c>
      <c r="H37" s="31">
        <f t="shared" si="0"/>
        <v>-10718.730000000001</v>
      </c>
      <c r="I37" s="31"/>
      <c r="K37" t="s">
        <v>38</v>
      </c>
    </row>
    <row r="38" spans="2:11" ht="13" x14ac:dyDescent="0.15">
      <c r="B38" s="30" t="s">
        <v>61</v>
      </c>
      <c r="C38" s="30" t="s">
        <v>62</v>
      </c>
      <c r="D38" s="31">
        <v>0</v>
      </c>
      <c r="E38" s="31"/>
      <c r="F38" s="31">
        <v>366722.15</v>
      </c>
      <c r="G38" s="31">
        <v>366722.15</v>
      </c>
      <c r="H38" s="31">
        <f t="shared" si="0"/>
        <v>0</v>
      </c>
      <c r="I38" s="31"/>
      <c r="K38" t="s">
        <v>38</v>
      </c>
    </row>
    <row r="39" spans="2:11" ht="22" x14ac:dyDescent="0.15">
      <c r="B39" s="30" t="s">
        <v>63</v>
      </c>
      <c r="C39" s="30" t="s">
        <v>64</v>
      </c>
      <c r="D39" s="31">
        <v>0</v>
      </c>
      <c r="E39" s="31"/>
      <c r="F39" s="31">
        <v>717950.22</v>
      </c>
      <c r="G39" s="31">
        <v>717950.22</v>
      </c>
      <c r="H39" s="31">
        <f t="shared" si="0"/>
        <v>0</v>
      </c>
      <c r="I39" s="31"/>
      <c r="K39" t="s">
        <v>38</v>
      </c>
    </row>
    <row r="40" spans="2:11" ht="13" x14ac:dyDescent="0.15">
      <c r="B40" s="30" t="s">
        <v>65</v>
      </c>
      <c r="C40" s="30" t="s">
        <v>66</v>
      </c>
      <c r="D40" s="31">
        <v>-19275.79</v>
      </c>
      <c r="E40" s="31"/>
      <c r="F40" s="31">
        <v>456.12</v>
      </c>
      <c r="G40" s="31">
        <v>456.12</v>
      </c>
      <c r="H40" s="31">
        <f t="shared" si="0"/>
        <v>-19275.79</v>
      </c>
      <c r="I40" s="31"/>
      <c r="K40" t="s">
        <v>38</v>
      </c>
    </row>
    <row r="41" spans="2:11" ht="13" x14ac:dyDescent="0.15">
      <c r="B41" s="30" t="s">
        <v>67</v>
      </c>
      <c r="C41" s="30" t="s">
        <v>68</v>
      </c>
      <c r="D41" s="31">
        <v>0</v>
      </c>
      <c r="E41" s="31"/>
      <c r="F41" s="31">
        <v>13317.8</v>
      </c>
      <c r="G41" s="31">
        <v>12395.05</v>
      </c>
      <c r="H41" s="31">
        <f t="shared" si="0"/>
        <v>922.75</v>
      </c>
      <c r="I41" s="31"/>
      <c r="K41" t="s">
        <v>38</v>
      </c>
    </row>
    <row r="42" spans="2:11" ht="13" x14ac:dyDescent="0.15">
      <c r="B42" s="30" t="s">
        <v>69</v>
      </c>
      <c r="C42" s="30" t="s">
        <v>70</v>
      </c>
      <c r="D42" s="31">
        <v>0</v>
      </c>
      <c r="E42" s="31"/>
      <c r="F42" s="31">
        <v>2048.2199999999998</v>
      </c>
      <c r="G42" s="31">
        <v>2048.0500000000002</v>
      </c>
      <c r="H42" s="31">
        <f t="shared" si="0"/>
        <v>0.16999999999961801</v>
      </c>
      <c r="I42" s="31"/>
      <c r="K42" t="s">
        <v>38</v>
      </c>
    </row>
    <row r="43" spans="2:11" ht="13" x14ac:dyDescent="0.15">
      <c r="B43" s="27" t="s">
        <v>71</v>
      </c>
      <c r="C43" s="27" t="s">
        <v>72</v>
      </c>
      <c r="D43" s="28">
        <f>SUMIFS(D44:D1509,K44:K1509,"0",B44:B1509,"1 1 2 2 9*")-SUMIFS(E44:E1509,K44:K1509,"0",B44:B1509,"1 1 2 2 9*")</f>
        <v>0</v>
      </c>
      <c r="E43" s="29"/>
      <c r="F43" s="28">
        <f>SUMIFS(F44:F1509,K44:K1509,"0",B44:B1509,"1 1 2 2 9*")</f>
        <v>733467</v>
      </c>
      <c r="G43" s="28">
        <f>SUMIFS(G44:G1509,K44:K1509,"0",B44:B1509,"1 1 2 2 9*")</f>
        <v>733467</v>
      </c>
      <c r="H43" s="28">
        <f t="shared" si="0"/>
        <v>0</v>
      </c>
      <c r="I43" s="28"/>
      <c r="K43" t="s">
        <v>15</v>
      </c>
    </row>
    <row r="44" spans="2:11" ht="13" x14ac:dyDescent="0.15">
      <c r="B44" s="27" t="s">
        <v>73</v>
      </c>
      <c r="C44" s="27" t="s">
        <v>26</v>
      </c>
      <c r="D44" s="28">
        <f>SUMIFS(D45:D1509,K45:K1509,"0",B45:B1509,"1 1 2 2 9 12*")-SUMIFS(E45:E1509,K45:K1509,"0",B45:B1509,"1 1 2 2 9 12*")</f>
        <v>0</v>
      </c>
      <c r="E44" s="29"/>
      <c r="F44" s="28">
        <f>SUMIFS(F45:F1509,K45:K1509,"0",B45:B1509,"1 1 2 2 9 12*")</f>
        <v>733467</v>
      </c>
      <c r="G44" s="28">
        <f>SUMIFS(G45:G1509,K45:K1509,"0",B45:B1509,"1 1 2 2 9 12*")</f>
        <v>733467</v>
      </c>
      <c r="H44" s="28">
        <f t="shared" si="0"/>
        <v>0</v>
      </c>
      <c r="I44" s="28"/>
      <c r="K44" t="s">
        <v>15</v>
      </c>
    </row>
    <row r="45" spans="2:11" ht="13" x14ac:dyDescent="0.15">
      <c r="B45" s="27" t="s">
        <v>74</v>
      </c>
      <c r="C45" s="27" t="s">
        <v>28</v>
      </c>
      <c r="D45" s="28">
        <f>SUMIFS(D46:D1509,K46:K1509,"0",B46:B1509,"1 1 2 2 9 12 31111*")-SUMIFS(E46:E1509,K46:K1509,"0",B46:B1509,"1 1 2 2 9 12 31111*")</f>
        <v>0</v>
      </c>
      <c r="E45" s="29"/>
      <c r="F45" s="28">
        <f>SUMIFS(F46:F1509,K46:K1509,"0",B46:B1509,"1 1 2 2 9 12 31111*")</f>
        <v>733467</v>
      </c>
      <c r="G45" s="28">
        <f>SUMIFS(G46:G1509,K46:K1509,"0",B46:B1509,"1 1 2 2 9 12 31111*")</f>
        <v>733467</v>
      </c>
      <c r="H45" s="28">
        <f t="shared" si="0"/>
        <v>0</v>
      </c>
      <c r="I45" s="28"/>
      <c r="K45" t="s">
        <v>15</v>
      </c>
    </row>
    <row r="46" spans="2:11" ht="13" x14ac:dyDescent="0.15">
      <c r="B46" s="27" t="s">
        <v>75</v>
      </c>
      <c r="C46" s="27" t="s">
        <v>30</v>
      </c>
      <c r="D46" s="28">
        <f>SUMIFS(D47:D1509,K47:K1509,"0",B47:B1509,"1 1 2 2 9 12 31111 6*")-SUMIFS(E47:E1509,K47:K1509,"0",B47:B1509,"1 1 2 2 9 12 31111 6*")</f>
        <v>0</v>
      </c>
      <c r="E46" s="29"/>
      <c r="F46" s="28">
        <f>SUMIFS(F47:F1509,K47:K1509,"0",B47:B1509,"1 1 2 2 9 12 31111 6*")</f>
        <v>733467</v>
      </c>
      <c r="G46" s="28">
        <f>SUMIFS(G47:G1509,K47:K1509,"0",B47:B1509,"1 1 2 2 9 12 31111 6*")</f>
        <v>733467</v>
      </c>
      <c r="H46" s="28">
        <f t="shared" si="0"/>
        <v>0</v>
      </c>
      <c r="I46" s="28"/>
      <c r="K46" t="s">
        <v>15</v>
      </c>
    </row>
    <row r="47" spans="2:11" ht="13" x14ac:dyDescent="0.15">
      <c r="B47" s="27" t="s">
        <v>76</v>
      </c>
      <c r="C47" s="27" t="s">
        <v>32</v>
      </c>
      <c r="D47" s="28">
        <f>SUMIFS(D48:D1509,K48:K1509,"0",B48:B1509,"1 1 2 2 9 12 31111 6 M78*")-SUMIFS(E48:E1509,K48:K1509,"0",B48:B1509,"1 1 2 2 9 12 31111 6 M78*")</f>
        <v>0</v>
      </c>
      <c r="E47" s="29"/>
      <c r="F47" s="28">
        <f>SUMIFS(F48:F1509,K48:K1509,"0",B48:B1509,"1 1 2 2 9 12 31111 6 M78*")</f>
        <v>733467</v>
      </c>
      <c r="G47" s="28">
        <f>SUMIFS(G48:G1509,K48:K1509,"0",B48:B1509,"1 1 2 2 9 12 31111 6 M78*")</f>
        <v>733467</v>
      </c>
      <c r="H47" s="28">
        <f t="shared" si="0"/>
        <v>0</v>
      </c>
      <c r="I47" s="28"/>
      <c r="K47" t="s">
        <v>15</v>
      </c>
    </row>
    <row r="48" spans="2:11" ht="13" x14ac:dyDescent="0.15">
      <c r="B48" s="27" t="s">
        <v>77</v>
      </c>
      <c r="C48" s="27" t="s">
        <v>9</v>
      </c>
      <c r="D48" s="28">
        <f>SUMIFS(D49:D1509,K49:K1509,"0",B49:B1509,"1 1 2 2 9 12 31111 6 M78 00001*")-SUMIFS(E49:E1509,K49:K1509,"0",B49:B1509,"1 1 2 2 9 12 31111 6 M78 00001*")</f>
        <v>0</v>
      </c>
      <c r="E48" s="29"/>
      <c r="F48" s="28">
        <f>SUMIFS(F49:F1509,K49:K1509,"0",B49:B1509,"1 1 2 2 9 12 31111 6 M78 00001*")</f>
        <v>733467</v>
      </c>
      <c r="G48" s="28">
        <f>SUMIFS(G49:G1509,K49:K1509,"0",B49:B1509,"1 1 2 2 9 12 31111 6 M78 00001*")</f>
        <v>733467</v>
      </c>
      <c r="H48" s="28">
        <f t="shared" si="0"/>
        <v>0</v>
      </c>
      <c r="I48" s="28"/>
      <c r="K48" t="s">
        <v>15</v>
      </c>
    </row>
    <row r="49" spans="2:11" ht="13" x14ac:dyDescent="0.15">
      <c r="B49" s="27" t="s">
        <v>78</v>
      </c>
      <c r="C49" s="27" t="s">
        <v>35</v>
      </c>
      <c r="D49" s="28">
        <f>SUMIFS(D50:D1509,K50:K1509,"0",B50:B1509,"1 1 2 2 9 12 31111 6 M78 00001 002*")-SUMIFS(E50:E1509,K50:K1509,"0",B50:B1509,"1 1 2 2 9 12 31111 6 M78 00001 002*")</f>
        <v>0</v>
      </c>
      <c r="E49" s="29"/>
      <c r="F49" s="28">
        <f>SUMIFS(F50:F1509,K50:K1509,"0",B50:B1509,"1 1 2 2 9 12 31111 6 M78 00001 002*")</f>
        <v>733467</v>
      </c>
      <c r="G49" s="28">
        <f>SUMIFS(G50:G1509,K50:K1509,"0",B50:B1509,"1 1 2 2 9 12 31111 6 M78 00001 002*")</f>
        <v>733467</v>
      </c>
      <c r="H49" s="28">
        <f t="shared" si="0"/>
        <v>0</v>
      </c>
      <c r="I49" s="28"/>
      <c r="K49" t="s">
        <v>15</v>
      </c>
    </row>
    <row r="50" spans="2:11" ht="13" x14ac:dyDescent="0.15">
      <c r="B50" s="30" t="s">
        <v>79</v>
      </c>
      <c r="C50" s="30" t="s">
        <v>80</v>
      </c>
      <c r="D50" s="31">
        <v>0</v>
      </c>
      <c r="E50" s="31"/>
      <c r="F50" s="31">
        <v>733467</v>
      </c>
      <c r="G50" s="31">
        <v>733467</v>
      </c>
      <c r="H50" s="31">
        <f t="shared" si="0"/>
        <v>0</v>
      </c>
      <c r="I50" s="31"/>
      <c r="K50" t="s">
        <v>38</v>
      </c>
    </row>
    <row r="51" spans="2:11" ht="13" x14ac:dyDescent="0.15">
      <c r="B51" s="27" t="s">
        <v>81</v>
      </c>
      <c r="C51" s="27" t="s">
        <v>82</v>
      </c>
      <c r="D51" s="28">
        <f>SUMIFS(D52:D1509,K52:K1509,"0",B52:B1509,"1 1 2 3*")-SUMIFS(E52:E1509,K52:K1509,"0",B52:B1509,"1 1 2 3*")</f>
        <v>512516.32</v>
      </c>
      <c r="E51" s="29"/>
      <c r="F51" s="28">
        <f>SUMIFS(F52:F1509,K52:K1509,"0",B52:B1509,"1 1 2 3*")</f>
        <v>1347896.6600000001</v>
      </c>
      <c r="G51" s="28">
        <f>SUMIFS(G52:G1509,K52:K1509,"0",B52:B1509,"1 1 2 3*")</f>
        <v>1522986.04</v>
      </c>
      <c r="H51" s="28">
        <f t="shared" si="0"/>
        <v>337426.94000000018</v>
      </c>
      <c r="I51" s="28"/>
      <c r="K51" t="s">
        <v>15</v>
      </c>
    </row>
    <row r="52" spans="2:11" ht="13" x14ac:dyDescent="0.15">
      <c r="B52" s="27" t="s">
        <v>83</v>
      </c>
      <c r="C52" s="27" t="s">
        <v>84</v>
      </c>
      <c r="D52" s="28">
        <f>SUMIFS(D53:D1509,K53:K1509,"0",B53:B1509,"1 1 2 3 1*")-SUMIFS(E53:E1509,K53:K1509,"0",B53:B1509,"1 1 2 3 1*")</f>
        <v>512516.32</v>
      </c>
      <c r="E52" s="29"/>
      <c r="F52" s="28">
        <f>SUMIFS(F53:F1509,K53:K1509,"0",B53:B1509,"1 1 2 3 1*")</f>
        <v>1347896.6600000001</v>
      </c>
      <c r="G52" s="28">
        <f>SUMIFS(G53:G1509,K53:K1509,"0",B53:B1509,"1 1 2 3 1*")</f>
        <v>1522986.04</v>
      </c>
      <c r="H52" s="28">
        <f t="shared" si="0"/>
        <v>337426.94000000018</v>
      </c>
      <c r="I52" s="28"/>
      <c r="K52" t="s">
        <v>15</v>
      </c>
    </row>
    <row r="53" spans="2:11" ht="13" x14ac:dyDescent="0.15">
      <c r="B53" s="27" t="s">
        <v>85</v>
      </c>
      <c r="C53" s="27" t="s">
        <v>26</v>
      </c>
      <c r="D53" s="28">
        <f>SUMIFS(D54:D1509,K54:K1509,"0",B54:B1509,"1 1 2 3 1 12*")-SUMIFS(E54:E1509,K54:K1509,"0",B54:B1509,"1 1 2 3 1 12*")</f>
        <v>512516.32</v>
      </c>
      <c r="E53" s="29"/>
      <c r="F53" s="28">
        <f>SUMIFS(F54:F1509,K54:K1509,"0",B54:B1509,"1 1 2 3 1 12*")</f>
        <v>1347896.6600000001</v>
      </c>
      <c r="G53" s="28">
        <f>SUMIFS(G54:G1509,K54:K1509,"0",B54:B1509,"1 1 2 3 1 12*")</f>
        <v>1522986.04</v>
      </c>
      <c r="H53" s="28">
        <f t="shared" si="0"/>
        <v>337426.94000000018</v>
      </c>
      <c r="I53" s="28"/>
      <c r="K53" t="s">
        <v>15</v>
      </c>
    </row>
    <row r="54" spans="2:11" ht="13" x14ac:dyDescent="0.15">
      <c r="B54" s="27" t="s">
        <v>86</v>
      </c>
      <c r="C54" s="27" t="s">
        <v>28</v>
      </c>
      <c r="D54" s="28">
        <f>SUMIFS(D55:D1509,K55:K1509,"0",B55:B1509,"1 1 2 3 1 12 31111*")-SUMIFS(E55:E1509,K55:K1509,"0",B55:B1509,"1 1 2 3 1 12 31111*")</f>
        <v>512516.32</v>
      </c>
      <c r="E54" s="29"/>
      <c r="F54" s="28">
        <f>SUMIFS(F55:F1509,K55:K1509,"0",B55:B1509,"1 1 2 3 1 12 31111*")</f>
        <v>1347896.6600000001</v>
      </c>
      <c r="G54" s="28">
        <f>SUMIFS(G55:G1509,K55:K1509,"0",B55:B1509,"1 1 2 3 1 12 31111*")</f>
        <v>1522986.04</v>
      </c>
      <c r="H54" s="28">
        <f t="shared" si="0"/>
        <v>337426.94000000018</v>
      </c>
      <c r="I54" s="28"/>
      <c r="K54" t="s">
        <v>15</v>
      </c>
    </row>
    <row r="55" spans="2:11" ht="13" x14ac:dyDescent="0.15">
      <c r="B55" s="27" t="s">
        <v>87</v>
      </c>
      <c r="C55" s="27" t="s">
        <v>30</v>
      </c>
      <c r="D55" s="28">
        <f>SUMIFS(D56:D1509,K56:K1509,"0",B56:B1509,"1 1 2 3 1 12 31111 6*")-SUMIFS(E56:E1509,K56:K1509,"0",B56:B1509,"1 1 2 3 1 12 31111 6*")</f>
        <v>512516.32</v>
      </c>
      <c r="E55" s="29"/>
      <c r="F55" s="28">
        <f>SUMIFS(F56:F1509,K56:K1509,"0",B56:B1509,"1 1 2 3 1 12 31111 6*")</f>
        <v>1347896.6600000001</v>
      </c>
      <c r="G55" s="28">
        <f>SUMIFS(G56:G1509,K56:K1509,"0",B56:B1509,"1 1 2 3 1 12 31111 6*")</f>
        <v>1522986.04</v>
      </c>
      <c r="H55" s="28">
        <f t="shared" si="0"/>
        <v>337426.94000000018</v>
      </c>
      <c r="I55" s="28"/>
      <c r="K55" t="s">
        <v>15</v>
      </c>
    </row>
    <row r="56" spans="2:11" ht="13" x14ac:dyDescent="0.15">
      <c r="B56" s="27" t="s">
        <v>88</v>
      </c>
      <c r="C56" s="27" t="s">
        <v>32</v>
      </c>
      <c r="D56" s="28">
        <f>SUMIFS(D57:D1509,K57:K1509,"0",B57:B1509,"1 1 2 3 1 12 31111 6 M78*")-SUMIFS(E57:E1509,K57:K1509,"0",B57:B1509,"1 1 2 3 1 12 31111 6 M78*")</f>
        <v>512516.32</v>
      </c>
      <c r="E56" s="29"/>
      <c r="F56" s="28">
        <f>SUMIFS(F57:F1509,K57:K1509,"0",B57:B1509,"1 1 2 3 1 12 31111 6 M78*")</f>
        <v>1347896.6600000001</v>
      </c>
      <c r="G56" s="28">
        <f>SUMIFS(G57:G1509,K57:K1509,"0",B57:B1509,"1 1 2 3 1 12 31111 6 M78*")</f>
        <v>1522986.04</v>
      </c>
      <c r="H56" s="28">
        <f t="shared" si="0"/>
        <v>337426.94000000018</v>
      </c>
      <c r="I56" s="28"/>
      <c r="K56" t="s">
        <v>15</v>
      </c>
    </row>
    <row r="57" spans="2:11" ht="13" x14ac:dyDescent="0.15">
      <c r="B57" s="27" t="s">
        <v>89</v>
      </c>
      <c r="C57" s="27" t="s">
        <v>9</v>
      </c>
      <c r="D57" s="28">
        <f>SUMIFS(D58:D1509,K58:K1509,"0",B58:B1509,"1 1 2 3 1 12 31111 6 M78 00001*")-SUMIFS(E58:E1509,K58:K1509,"0",B58:B1509,"1 1 2 3 1 12 31111 6 M78 00001*")</f>
        <v>512516.32</v>
      </c>
      <c r="E57" s="29"/>
      <c r="F57" s="28">
        <f>SUMIFS(F58:F1509,K58:K1509,"0",B58:B1509,"1 1 2 3 1 12 31111 6 M78 00001*")</f>
        <v>1347896.6600000001</v>
      </c>
      <c r="G57" s="28">
        <f>SUMIFS(G58:G1509,K58:K1509,"0",B58:B1509,"1 1 2 3 1 12 31111 6 M78 00001*")</f>
        <v>1522986.04</v>
      </c>
      <c r="H57" s="28">
        <f t="shared" si="0"/>
        <v>337426.94000000018</v>
      </c>
      <c r="I57" s="28"/>
      <c r="K57" t="s">
        <v>15</v>
      </c>
    </row>
    <row r="58" spans="2:11" ht="13" x14ac:dyDescent="0.15">
      <c r="B58" s="27" t="s">
        <v>90</v>
      </c>
      <c r="C58" s="27" t="s">
        <v>91</v>
      </c>
      <c r="D58" s="28">
        <f>SUMIFS(D59:D1509,K59:K1509,"0",B59:B1509,"1 1 2 3 1 12 31111 6 M78 00001 002*")-SUMIFS(E59:E1509,K59:K1509,"0",B59:B1509,"1 1 2 3 1 12 31111 6 M78 00001 002*")</f>
        <v>512516.32</v>
      </c>
      <c r="E58" s="29"/>
      <c r="F58" s="28">
        <f>SUMIFS(F59:F1509,K59:K1509,"0",B59:B1509,"1 1 2 3 1 12 31111 6 M78 00001 002*")</f>
        <v>1347896.6600000001</v>
      </c>
      <c r="G58" s="28">
        <f>SUMIFS(G59:G1509,K59:K1509,"0",B59:B1509,"1 1 2 3 1 12 31111 6 M78 00001 002*")</f>
        <v>1522986.04</v>
      </c>
      <c r="H58" s="28">
        <f t="shared" si="0"/>
        <v>337426.94000000018</v>
      </c>
      <c r="I58" s="28"/>
      <c r="K58" t="s">
        <v>15</v>
      </c>
    </row>
    <row r="59" spans="2:11" ht="13" x14ac:dyDescent="0.15">
      <c r="B59" s="30" t="s">
        <v>92</v>
      </c>
      <c r="C59" s="30" t="s">
        <v>93</v>
      </c>
      <c r="D59" s="31">
        <v>432695.25</v>
      </c>
      <c r="E59" s="31"/>
      <c r="F59" s="31">
        <v>667021.66</v>
      </c>
      <c r="G59" s="31">
        <v>942755.89</v>
      </c>
      <c r="H59" s="31">
        <f t="shared" si="0"/>
        <v>156961.02000000014</v>
      </c>
      <c r="I59" s="31"/>
      <c r="K59" t="s">
        <v>38</v>
      </c>
    </row>
    <row r="60" spans="2:11" ht="13" x14ac:dyDescent="0.15">
      <c r="B60" s="30" t="s">
        <v>94</v>
      </c>
      <c r="C60" s="30" t="s">
        <v>95</v>
      </c>
      <c r="D60" s="31">
        <v>-4.3099999999999996</v>
      </c>
      <c r="E60" s="31"/>
      <c r="F60" s="31">
        <v>0</v>
      </c>
      <c r="G60" s="31">
        <v>0</v>
      </c>
      <c r="H60" s="31">
        <f t="shared" si="0"/>
        <v>-4.3099999999999996</v>
      </c>
      <c r="I60" s="31"/>
      <c r="K60" t="s">
        <v>38</v>
      </c>
    </row>
    <row r="61" spans="2:11" ht="13" x14ac:dyDescent="0.15">
      <c r="B61" s="30" t="s">
        <v>96</v>
      </c>
      <c r="C61" s="30" t="s">
        <v>97</v>
      </c>
      <c r="D61" s="31">
        <v>12747</v>
      </c>
      <c r="E61" s="31"/>
      <c r="F61" s="31">
        <v>0</v>
      </c>
      <c r="G61" s="31">
        <v>12747</v>
      </c>
      <c r="H61" s="31">
        <f t="shared" si="0"/>
        <v>0</v>
      </c>
      <c r="I61" s="31"/>
      <c r="K61" t="s">
        <v>38</v>
      </c>
    </row>
    <row r="62" spans="2:11" ht="13" x14ac:dyDescent="0.15">
      <c r="B62" s="30" t="s">
        <v>98</v>
      </c>
      <c r="C62" s="30" t="s">
        <v>99</v>
      </c>
      <c r="D62" s="31">
        <v>2510.88</v>
      </c>
      <c r="E62" s="31"/>
      <c r="F62" s="31">
        <v>0</v>
      </c>
      <c r="G62" s="31">
        <v>0</v>
      </c>
      <c r="H62" s="31">
        <f t="shared" si="0"/>
        <v>2510.88</v>
      </c>
      <c r="I62" s="31"/>
      <c r="K62" t="s">
        <v>38</v>
      </c>
    </row>
    <row r="63" spans="2:11" ht="13" x14ac:dyDescent="0.15">
      <c r="B63" s="30" t="s">
        <v>100</v>
      </c>
      <c r="C63" s="30" t="s">
        <v>101</v>
      </c>
      <c r="D63" s="31">
        <v>15000</v>
      </c>
      <c r="E63" s="31"/>
      <c r="F63" s="31">
        <v>0</v>
      </c>
      <c r="G63" s="31">
        <v>0</v>
      </c>
      <c r="H63" s="31">
        <f t="shared" si="0"/>
        <v>15000</v>
      </c>
      <c r="I63" s="31"/>
      <c r="K63" t="s">
        <v>38</v>
      </c>
    </row>
    <row r="64" spans="2:11" ht="13" x14ac:dyDescent="0.15">
      <c r="B64" s="30" t="s">
        <v>102</v>
      </c>
      <c r="C64" s="30" t="s">
        <v>103</v>
      </c>
      <c r="D64" s="31">
        <v>32085.5</v>
      </c>
      <c r="E64" s="31"/>
      <c r="F64" s="31">
        <v>200000</v>
      </c>
      <c r="G64" s="31">
        <v>150001.15</v>
      </c>
      <c r="H64" s="31">
        <f t="shared" si="0"/>
        <v>82084.350000000006</v>
      </c>
      <c r="I64" s="31"/>
      <c r="K64" t="s">
        <v>38</v>
      </c>
    </row>
    <row r="65" spans="2:11" ht="13" x14ac:dyDescent="0.15">
      <c r="B65" s="30" t="s">
        <v>104</v>
      </c>
      <c r="C65" s="30" t="s">
        <v>105</v>
      </c>
      <c r="D65" s="31">
        <v>17482</v>
      </c>
      <c r="E65" s="31"/>
      <c r="F65" s="31">
        <v>0</v>
      </c>
      <c r="G65" s="31">
        <v>17482</v>
      </c>
      <c r="H65" s="31">
        <f t="shared" si="0"/>
        <v>0</v>
      </c>
      <c r="I65" s="31"/>
      <c r="K65" t="s">
        <v>38</v>
      </c>
    </row>
    <row r="66" spans="2:11" ht="13" x14ac:dyDescent="0.15">
      <c r="B66" s="30" t="s">
        <v>106</v>
      </c>
      <c r="C66" s="30" t="s">
        <v>107</v>
      </c>
      <c r="D66" s="31">
        <v>0</v>
      </c>
      <c r="E66" s="31"/>
      <c r="F66" s="31">
        <v>80875</v>
      </c>
      <c r="G66" s="31">
        <v>0</v>
      </c>
      <c r="H66" s="31">
        <f t="shared" si="0"/>
        <v>80875</v>
      </c>
      <c r="I66" s="31"/>
      <c r="K66" t="s">
        <v>38</v>
      </c>
    </row>
    <row r="67" spans="2:11" ht="13" x14ac:dyDescent="0.15">
      <c r="B67" s="30" t="s">
        <v>108</v>
      </c>
      <c r="C67" s="30" t="s">
        <v>109</v>
      </c>
      <c r="D67" s="31">
        <v>0</v>
      </c>
      <c r="E67" s="31"/>
      <c r="F67" s="31">
        <v>400000</v>
      </c>
      <c r="G67" s="31">
        <v>400000</v>
      </c>
      <c r="H67" s="31">
        <f t="shared" si="0"/>
        <v>0</v>
      </c>
      <c r="I67" s="31"/>
      <c r="K67" t="s">
        <v>38</v>
      </c>
    </row>
    <row r="68" spans="2:11" ht="13" x14ac:dyDescent="0.15">
      <c r="B68" s="27" t="s">
        <v>110</v>
      </c>
      <c r="C68" s="27" t="s">
        <v>111</v>
      </c>
      <c r="D68" s="28">
        <f>SUMIFS(D69:D1509,K69:K1509,"0",B69:B1509,"1 1 2 4*")-SUMIFS(E69:E1509,K69:K1509,"0",B69:B1509,"1 1 2 4*")</f>
        <v>0</v>
      </c>
      <c r="E68" s="29"/>
      <c r="F68" s="28">
        <f>SUMIFS(F69:F1509,K69:K1509,"0",B69:B1509,"1 1 2 4*")</f>
        <v>4875.17</v>
      </c>
      <c r="G68" s="28">
        <f>SUMIFS(G69:G1509,K69:K1509,"0",B69:B1509,"1 1 2 4*")</f>
        <v>4875.17</v>
      </c>
      <c r="H68" s="28">
        <f t="shared" si="0"/>
        <v>0</v>
      </c>
      <c r="I68" s="28"/>
      <c r="K68" t="s">
        <v>15</v>
      </c>
    </row>
    <row r="69" spans="2:11" ht="13" x14ac:dyDescent="0.15">
      <c r="B69" s="27" t="s">
        <v>112</v>
      </c>
      <c r="C69" s="27" t="s">
        <v>113</v>
      </c>
      <c r="D69" s="28">
        <f>SUMIFS(D70:D1509,K70:K1509,"0",B70:B1509,"1 1 2 4 4*")-SUMIFS(E70:E1509,K70:K1509,"0",B70:B1509,"1 1 2 4 4*")</f>
        <v>0</v>
      </c>
      <c r="E69" s="29"/>
      <c r="F69" s="28">
        <f>SUMIFS(F70:F1509,K70:K1509,"0",B70:B1509,"1 1 2 4 4*")</f>
        <v>4875.17</v>
      </c>
      <c r="G69" s="28">
        <f>SUMIFS(G70:G1509,K70:K1509,"0",B70:B1509,"1 1 2 4 4*")</f>
        <v>4875.17</v>
      </c>
      <c r="H69" s="28">
        <f t="shared" si="0"/>
        <v>0</v>
      </c>
      <c r="I69" s="28"/>
      <c r="K69" t="s">
        <v>15</v>
      </c>
    </row>
    <row r="70" spans="2:11" ht="13" x14ac:dyDescent="0.15">
      <c r="B70" s="27" t="s">
        <v>114</v>
      </c>
      <c r="C70" s="27" t="s">
        <v>26</v>
      </c>
      <c r="D70" s="28">
        <f>SUMIFS(D71:D1509,K71:K1509,"0",B71:B1509,"1 1 2 4 4 12*")-SUMIFS(E71:E1509,K71:K1509,"0",B71:B1509,"1 1 2 4 4 12*")</f>
        <v>0</v>
      </c>
      <c r="E70" s="29"/>
      <c r="F70" s="28">
        <f>SUMIFS(F71:F1509,K71:K1509,"0",B71:B1509,"1 1 2 4 4 12*")</f>
        <v>4875.17</v>
      </c>
      <c r="G70" s="28">
        <f>SUMIFS(G71:G1509,K71:K1509,"0",B71:B1509,"1 1 2 4 4 12*")</f>
        <v>4875.17</v>
      </c>
      <c r="H70" s="28">
        <f t="shared" si="0"/>
        <v>0</v>
      </c>
      <c r="I70" s="28"/>
      <c r="K70" t="s">
        <v>15</v>
      </c>
    </row>
    <row r="71" spans="2:11" ht="13" x14ac:dyDescent="0.15">
      <c r="B71" s="27" t="s">
        <v>115</v>
      </c>
      <c r="C71" s="27" t="s">
        <v>28</v>
      </c>
      <c r="D71" s="28">
        <f>SUMIFS(D72:D1509,K72:K1509,"0",B72:B1509,"1 1 2 4 4 12 31111*")-SUMIFS(E72:E1509,K72:K1509,"0",B72:B1509,"1 1 2 4 4 12 31111*")</f>
        <v>0</v>
      </c>
      <c r="E71" s="29"/>
      <c r="F71" s="28">
        <f>SUMIFS(F72:F1509,K72:K1509,"0",B72:B1509,"1 1 2 4 4 12 31111*")</f>
        <v>4875.17</v>
      </c>
      <c r="G71" s="28">
        <f>SUMIFS(G72:G1509,K72:K1509,"0",B72:B1509,"1 1 2 4 4 12 31111*")</f>
        <v>4875.17</v>
      </c>
      <c r="H71" s="28">
        <f t="shared" si="0"/>
        <v>0</v>
      </c>
      <c r="I71" s="28"/>
      <c r="K71" t="s">
        <v>15</v>
      </c>
    </row>
    <row r="72" spans="2:11" ht="13" x14ac:dyDescent="0.15">
      <c r="B72" s="27" t="s">
        <v>116</v>
      </c>
      <c r="C72" s="27" t="s">
        <v>30</v>
      </c>
      <c r="D72" s="28">
        <f>SUMIFS(D73:D1509,K73:K1509,"0",B73:B1509,"1 1 2 4 4 12 31111 6*")-SUMIFS(E73:E1509,K73:K1509,"0",B73:B1509,"1 1 2 4 4 12 31111 6*")</f>
        <v>0</v>
      </c>
      <c r="E72" s="29"/>
      <c r="F72" s="28">
        <f>SUMIFS(F73:F1509,K73:K1509,"0",B73:B1509,"1 1 2 4 4 12 31111 6*")</f>
        <v>4875.17</v>
      </c>
      <c r="G72" s="28">
        <f>SUMIFS(G73:G1509,K73:K1509,"0",B73:B1509,"1 1 2 4 4 12 31111 6*")</f>
        <v>4875.17</v>
      </c>
      <c r="H72" s="28">
        <f t="shared" si="0"/>
        <v>0</v>
      </c>
      <c r="I72" s="28"/>
      <c r="K72" t="s">
        <v>15</v>
      </c>
    </row>
    <row r="73" spans="2:11" ht="13" x14ac:dyDescent="0.15">
      <c r="B73" s="27" t="s">
        <v>117</v>
      </c>
      <c r="C73" s="27" t="s">
        <v>32</v>
      </c>
      <c r="D73" s="28">
        <f>SUMIFS(D74:D1509,K74:K1509,"0",B74:B1509,"1 1 2 4 4 12 31111 6 M78*")-SUMIFS(E74:E1509,K74:K1509,"0",B74:B1509,"1 1 2 4 4 12 31111 6 M78*")</f>
        <v>0</v>
      </c>
      <c r="E73" s="29"/>
      <c r="F73" s="28">
        <f>SUMIFS(F74:F1509,K74:K1509,"0",B74:B1509,"1 1 2 4 4 12 31111 6 M78*")</f>
        <v>4875.17</v>
      </c>
      <c r="G73" s="28">
        <f>SUMIFS(G74:G1509,K74:K1509,"0",B74:B1509,"1 1 2 4 4 12 31111 6 M78*")</f>
        <v>4875.17</v>
      </c>
      <c r="H73" s="28">
        <f t="shared" si="0"/>
        <v>0</v>
      </c>
      <c r="I73" s="28"/>
      <c r="K73" t="s">
        <v>15</v>
      </c>
    </row>
    <row r="74" spans="2:11" ht="13" x14ac:dyDescent="0.15">
      <c r="B74" s="27" t="s">
        <v>118</v>
      </c>
      <c r="C74" s="27" t="s">
        <v>9</v>
      </c>
      <c r="D74" s="28">
        <f>SUMIFS(D75:D1509,K75:K1509,"0",B75:B1509,"1 1 2 4 4 12 31111 6 M78 00001*")-SUMIFS(E75:E1509,K75:K1509,"0",B75:B1509,"1 1 2 4 4 12 31111 6 M78 00001*")</f>
        <v>0</v>
      </c>
      <c r="E74" s="29"/>
      <c r="F74" s="28">
        <f>SUMIFS(F75:F1509,K75:K1509,"0",B75:B1509,"1 1 2 4 4 12 31111 6 M78 00001*")</f>
        <v>4875.17</v>
      </c>
      <c r="G74" s="28">
        <f>SUMIFS(G75:G1509,K75:K1509,"0",B75:B1509,"1 1 2 4 4 12 31111 6 M78 00001*")</f>
        <v>4875.17</v>
      </c>
      <c r="H74" s="28">
        <f t="shared" si="0"/>
        <v>0</v>
      </c>
      <c r="I74" s="28"/>
      <c r="K74" t="s">
        <v>15</v>
      </c>
    </row>
    <row r="75" spans="2:11" ht="13" x14ac:dyDescent="0.15">
      <c r="B75" s="27" t="s">
        <v>119</v>
      </c>
      <c r="C75" s="27" t="s">
        <v>120</v>
      </c>
      <c r="D75" s="28">
        <f>SUMIFS(D76:D1509,K76:K1509,"0",B76:B1509,"1 1 2 4 4 12 31111 6 M78 00001 002*")-SUMIFS(E76:E1509,K76:K1509,"0",B76:B1509,"1 1 2 4 4 12 31111 6 M78 00001 002*")</f>
        <v>0</v>
      </c>
      <c r="E75" s="29"/>
      <c r="F75" s="28">
        <f>SUMIFS(F76:F1509,K76:K1509,"0",B76:B1509,"1 1 2 4 4 12 31111 6 M78 00001 002*")</f>
        <v>4875.17</v>
      </c>
      <c r="G75" s="28">
        <f>SUMIFS(G76:G1509,K76:K1509,"0",B76:B1509,"1 1 2 4 4 12 31111 6 M78 00001 002*")</f>
        <v>4875.17</v>
      </c>
      <c r="H75" s="28">
        <f t="shared" si="0"/>
        <v>0</v>
      </c>
      <c r="I75" s="28"/>
      <c r="K75" t="s">
        <v>15</v>
      </c>
    </row>
    <row r="76" spans="2:11" ht="13" x14ac:dyDescent="0.15">
      <c r="B76" s="30" t="s">
        <v>121</v>
      </c>
      <c r="C76" s="30" t="s">
        <v>122</v>
      </c>
      <c r="D76" s="31">
        <v>0</v>
      </c>
      <c r="E76" s="31"/>
      <c r="F76" s="31">
        <v>4875.17</v>
      </c>
      <c r="G76" s="31">
        <v>4875.17</v>
      </c>
      <c r="H76" s="31">
        <f t="shared" ref="H76:H139" si="1">D76 + F76 - G76</f>
        <v>0</v>
      </c>
      <c r="I76" s="31"/>
      <c r="K76" t="s">
        <v>38</v>
      </c>
    </row>
    <row r="77" spans="2:11" ht="13" x14ac:dyDescent="0.15">
      <c r="B77" s="27" t="s">
        <v>123</v>
      </c>
      <c r="C77" s="27" t="s">
        <v>124</v>
      </c>
      <c r="D77" s="28">
        <f>SUMIFS(D78:D1509,K78:K1509,"0",B78:B1509,"1 2*")-SUMIFS(E78:E1509,K78:K1509,"0",B78:B1509,"1 2*")</f>
        <v>1314116.8499999999</v>
      </c>
      <c r="E77" s="29"/>
      <c r="F77" s="28">
        <f>SUMIFS(F78:F1509,K78:K1509,"0",B78:B1509,"1 2*")</f>
        <v>163686</v>
      </c>
      <c r="G77" s="28">
        <f>SUMIFS(G78:G1509,K78:K1509,"0",B78:B1509,"1 2*")</f>
        <v>40000</v>
      </c>
      <c r="H77" s="28">
        <f t="shared" si="1"/>
        <v>1437802.8499999999</v>
      </c>
      <c r="I77" s="28"/>
      <c r="K77" t="s">
        <v>15</v>
      </c>
    </row>
    <row r="78" spans="2:11" ht="13" x14ac:dyDescent="0.15">
      <c r="B78" s="27" t="s">
        <v>125</v>
      </c>
      <c r="C78" s="27" t="s">
        <v>126</v>
      </c>
      <c r="D78" s="28">
        <f>SUMIFS(D79:D1509,K79:K1509,"0",B79:B1509,"1 2 4*")-SUMIFS(E79:E1509,K79:K1509,"0",B79:B1509,"1 2 4*")</f>
        <v>1298866.8499999999</v>
      </c>
      <c r="E78" s="29"/>
      <c r="F78" s="28">
        <f>SUMIFS(F79:F1509,K79:K1509,"0",B79:B1509,"1 2 4*")</f>
        <v>163686</v>
      </c>
      <c r="G78" s="28">
        <f>SUMIFS(G79:G1509,K79:K1509,"0",B79:B1509,"1 2 4*")</f>
        <v>40000</v>
      </c>
      <c r="H78" s="28">
        <f t="shared" si="1"/>
        <v>1422552.8499999999</v>
      </c>
      <c r="I78" s="28"/>
      <c r="K78" t="s">
        <v>15</v>
      </c>
    </row>
    <row r="79" spans="2:11" ht="13" x14ac:dyDescent="0.15">
      <c r="B79" s="27" t="s">
        <v>127</v>
      </c>
      <c r="C79" s="27" t="s">
        <v>128</v>
      </c>
      <c r="D79" s="28">
        <f>SUMIFS(D80:D1509,K80:K1509,"0",B80:B1509,"1 2 4 1*")-SUMIFS(E80:E1509,K80:K1509,"0",B80:B1509,"1 2 4 1*")</f>
        <v>512631.84999999992</v>
      </c>
      <c r="E79" s="29"/>
      <c r="F79" s="28">
        <f>SUMIFS(F80:F1509,K80:K1509,"0",B80:B1509,"1 2 4 1*")</f>
        <v>163686</v>
      </c>
      <c r="G79" s="28">
        <f>SUMIFS(G80:G1509,K80:K1509,"0",B80:B1509,"1 2 4 1*")</f>
        <v>0</v>
      </c>
      <c r="H79" s="28">
        <f t="shared" si="1"/>
        <v>676317.84999999986</v>
      </c>
      <c r="I79" s="28"/>
      <c r="K79" t="s">
        <v>15</v>
      </c>
    </row>
    <row r="80" spans="2:11" ht="13" x14ac:dyDescent="0.15">
      <c r="B80" s="27" t="s">
        <v>129</v>
      </c>
      <c r="C80" s="27" t="s">
        <v>130</v>
      </c>
      <c r="D80" s="28">
        <f>SUMIFS(D81:D1509,K81:K1509,"0",B81:B1509,"1 2 4 1 1*")-SUMIFS(E81:E1509,K81:K1509,"0",B81:B1509,"1 2 4 1 1*")</f>
        <v>379747.06999999995</v>
      </c>
      <c r="E80" s="29"/>
      <c r="F80" s="28">
        <f>SUMIFS(F81:F1509,K81:K1509,"0",B81:B1509,"1 2 4 1 1*")</f>
        <v>0</v>
      </c>
      <c r="G80" s="28">
        <f>SUMIFS(G81:G1509,K81:K1509,"0",B81:B1509,"1 2 4 1 1*")</f>
        <v>0</v>
      </c>
      <c r="H80" s="28">
        <f t="shared" si="1"/>
        <v>379747.06999999995</v>
      </c>
      <c r="I80" s="28"/>
      <c r="K80" t="s">
        <v>15</v>
      </c>
    </row>
    <row r="81" spans="2:11" ht="13" x14ac:dyDescent="0.15">
      <c r="B81" s="27" t="s">
        <v>131</v>
      </c>
      <c r="C81" s="27" t="s">
        <v>26</v>
      </c>
      <c r="D81" s="28">
        <f>SUMIFS(D82:D1509,K82:K1509,"0",B82:B1509,"1 2 4 1 1 12*")-SUMIFS(E82:E1509,K82:K1509,"0",B82:B1509,"1 2 4 1 1 12*")</f>
        <v>379747.06999999995</v>
      </c>
      <c r="E81" s="29"/>
      <c r="F81" s="28">
        <f>SUMIFS(F82:F1509,K82:K1509,"0",B82:B1509,"1 2 4 1 1 12*")</f>
        <v>0</v>
      </c>
      <c r="G81" s="28">
        <f>SUMIFS(G82:G1509,K82:K1509,"0",B82:B1509,"1 2 4 1 1 12*")</f>
        <v>0</v>
      </c>
      <c r="H81" s="28">
        <f t="shared" si="1"/>
        <v>379747.06999999995</v>
      </c>
      <c r="I81" s="28"/>
      <c r="K81" t="s">
        <v>15</v>
      </c>
    </row>
    <row r="82" spans="2:11" ht="13" x14ac:dyDescent="0.15">
      <c r="B82" s="27" t="s">
        <v>132</v>
      </c>
      <c r="C82" s="27" t="s">
        <v>28</v>
      </c>
      <c r="D82" s="28">
        <f>SUMIFS(D83:D1509,K83:K1509,"0",B83:B1509,"1 2 4 1 1 12 31111*")-SUMIFS(E83:E1509,K83:K1509,"0",B83:B1509,"1 2 4 1 1 12 31111*")</f>
        <v>379747.06999999995</v>
      </c>
      <c r="E82" s="29"/>
      <c r="F82" s="28">
        <f>SUMIFS(F83:F1509,K83:K1509,"0",B83:B1509,"1 2 4 1 1 12 31111*")</f>
        <v>0</v>
      </c>
      <c r="G82" s="28">
        <f>SUMIFS(G83:G1509,K83:K1509,"0",B83:B1509,"1 2 4 1 1 12 31111*")</f>
        <v>0</v>
      </c>
      <c r="H82" s="28">
        <f t="shared" si="1"/>
        <v>379747.06999999995</v>
      </c>
      <c r="I82" s="28"/>
      <c r="K82" t="s">
        <v>15</v>
      </c>
    </row>
    <row r="83" spans="2:11" ht="13" x14ac:dyDescent="0.15">
      <c r="B83" s="27" t="s">
        <v>133</v>
      </c>
      <c r="C83" s="27" t="s">
        <v>30</v>
      </c>
      <c r="D83" s="28">
        <f>SUMIFS(D84:D1509,K84:K1509,"0",B84:B1509,"1 2 4 1 1 12 31111 6*")-SUMIFS(E84:E1509,K84:K1509,"0",B84:B1509,"1 2 4 1 1 12 31111 6*")</f>
        <v>379747.06999999995</v>
      </c>
      <c r="E83" s="29"/>
      <c r="F83" s="28">
        <f>SUMIFS(F84:F1509,K84:K1509,"0",B84:B1509,"1 2 4 1 1 12 31111 6*")</f>
        <v>0</v>
      </c>
      <c r="G83" s="28">
        <f>SUMIFS(G84:G1509,K84:K1509,"0",B84:B1509,"1 2 4 1 1 12 31111 6*")</f>
        <v>0</v>
      </c>
      <c r="H83" s="28">
        <f t="shared" si="1"/>
        <v>379747.06999999995</v>
      </c>
      <c r="I83" s="28"/>
      <c r="K83" t="s">
        <v>15</v>
      </c>
    </row>
    <row r="84" spans="2:11" ht="13" x14ac:dyDescent="0.15">
      <c r="B84" s="27" t="s">
        <v>134</v>
      </c>
      <c r="C84" s="27" t="s">
        <v>32</v>
      </c>
      <c r="D84" s="28">
        <f>SUMIFS(D85:D1509,K85:K1509,"0",B85:B1509,"1 2 4 1 1 12 31111 6 M78*")-SUMIFS(E85:E1509,K85:K1509,"0",B85:B1509,"1 2 4 1 1 12 31111 6 M78*")</f>
        <v>379747.06999999995</v>
      </c>
      <c r="E84" s="29"/>
      <c r="F84" s="28">
        <f>SUMIFS(F85:F1509,K85:K1509,"0",B85:B1509,"1 2 4 1 1 12 31111 6 M78*")</f>
        <v>0</v>
      </c>
      <c r="G84" s="28">
        <f>SUMIFS(G85:G1509,K85:K1509,"0",B85:B1509,"1 2 4 1 1 12 31111 6 M78*")</f>
        <v>0</v>
      </c>
      <c r="H84" s="28">
        <f t="shared" si="1"/>
        <v>379747.06999999995</v>
      </c>
      <c r="I84" s="28"/>
      <c r="K84" t="s">
        <v>15</v>
      </c>
    </row>
    <row r="85" spans="2:11" ht="13" x14ac:dyDescent="0.15">
      <c r="B85" s="27" t="s">
        <v>135</v>
      </c>
      <c r="C85" s="27" t="s">
        <v>136</v>
      </c>
      <c r="D85" s="28">
        <f>SUMIFS(D86:D1509,K86:K1509,"0",B86:B1509,"1 2 4 1 1 12 31111 6 M78 00000*")-SUMIFS(E86:E1509,K86:K1509,"0",B86:B1509,"1 2 4 1 1 12 31111 6 M78 00000*")</f>
        <v>47080.6</v>
      </c>
      <c r="E85" s="29"/>
      <c r="F85" s="28">
        <f>SUMIFS(F86:F1509,K86:K1509,"0",B86:B1509,"1 2 4 1 1 12 31111 6 M78 00000*")</f>
        <v>0</v>
      </c>
      <c r="G85" s="28">
        <f>SUMIFS(G86:G1509,K86:K1509,"0",B86:B1509,"1 2 4 1 1 12 31111 6 M78 00000*")</f>
        <v>0</v>
      </c>
      <c r="H85" s="28">
        <f t="shared" si="1"/>
        <v>47080.6</v>
      </c>
      <c r="I85" s="28"/>
      <c r="K85" t="s">
        <v>15</v>
      </c>
    </row>
    <row r="86" spans="2:11" ht="13" x14ac:dyDescent="0.15">
      <c r="B86" s="27" t="s">
        <v>137</v>
      </c>
      <c r="C86" s="27" t="s">
        <v>9</v>
      </c>
      <c r="D86" s="28">
        <f>SUMIFS(D87:D1509,K87:K1509,"0",B87:B1509,"1 2 4 1 1 12 31111 6 M78 00000 001*")-SUMIFS(E87:E1509,K87:K1509,"0",B87:B1509,"1 2 4 1 1 12 31111 6 M78 00000 001*")</f>
        <v>47080.6</v>
      </c>
      <c r="E86" s="29"/>
      <c r="F86" s="28">
        <f>SUMIFS(F87:F1509,K87:K1509,"0",B87:B1509,"1 2 4 1 1 12 31111 6 M78 00000 001*")</f>
        <v>0</v>
      </c>
      <c r="G86" s="28">
        <f>SUMIFS(G87:G1509,K87:K1509,"0",B87:B1509,"1 2 4 1 1 12 31111 6 M78 00000 001*")</f>
        <v>0</v>
      </c>
      <c r="H86" s="28">
        <f t="shared" si="1"/>
        <v>47080.6</v>
      </c>
      <c r="I86" s="28"/>
      <c r="K86" t="s">
        <v>15</v>
      </c>
    </row>
    <row r="87" spans="2:11" ht="13" x14ac:dyDescent="0.15">
      <c r="B87" s="27" t="s">
        <v>138</v>
      </c>
      <c r="C87" s="27" t="s">
        <v>139</v>
      </c>
      <c r="D87" s="28">
        <f>SUMIFS(D88:D1509,K88:K1509,"0",B88:B1509,"1 2 4 1 1 12 31111 6 M78 00000 001 001*")-SUMIFS(E88:E1509,K88:K1509,"0",B88:B1509,"1 2 4 1 1 12 31111 6 M78 00000 001 001*")</f>
        <v>47080.6</v>
      </c>
      <c r="E87" s="29"/>
      <c r="F87" s="28">
        <f>SUMIFS(F88:F1509,K88:K1509,"0",B88:B1509,"1 2 4 1 1 12 31111 6 M78 00000 001 001*")</f>
        <v>0</v>
      </c>
      <c r="G87" s="28">
        <f>SUMIFS(G88:G1509,K88:K1509,"0",B88:B1509,"1 2 4 1 1 12 31111 6 M78 00000 001 001*")</f>
        <v>0</v>
      </c>
      <c r="H87" s="28">
        <f t="shared" si="1"/>
        <v>47080.6</v>
      </c>
      <c r="I87" s="28"/>
      <c r="K87" t="s">
        <v>15</v>
      </c>
    </row>
    <row r="88" spans="2:11" ht="22" x14ac:dyDescent="0.15">
      <c r="B88" s="27" t="s">
        <v>140</v>
      </c>
      <c r="C88" s="27" t="s">
        <v>9</v>
      </c>
      <c r="D88" s="28">
        <f>SUMIFS(D89:D1509,K89:K1509,"0",B89:B1509,"1 2 4 1 1 12 31111 6 M78 00000 001 001 001*")-SUMIFS(E89:E1509,K89:K1509,"0",B89:B1509,"1 2 4 1 1 12 31111 6 M78 00000 001 001 001*")</f>
        <v>25016.720000000001</v>
      </c>
      <c r="E88" s="29"/>
      <c r="F88" s="28">
        <f>SUMIFS(F89:F1509,K89:K1509,"0",B89:B1509,"1 2 4 1 1 12 31111 6 M78 00000 001 001 001*")</f>
        <v>0</v>
      </c>
      <c r="G88" s="28">
        <f>SUMIFS(G89:G1509,K89:K1509,"0",B89:B1509,"1 2 4 1 1 12 31111 6 M78 00000 001 001 001*")</f>
        <v>0</v>
      </c>
      <c r="H88" s="28">
        <f t="shared" si="1"/>
        <v>25016.720000000001</v>
      </c>
      <c r="I88" s="28"/>
      <c r="K88" t="s">
        <v>15</v>
      </c>
    </row>
    <row r="89" spans="2:11" ht="22" x14ac:dyDescent="0.15">
      <c r="B89" s="30" t="s">
        <v>141</v>
      </c>
      <c r="C89" s="30" t="s">
        <v>142</v>
      </c>
      <c r="D89" s="31">
        <v>9965.25</v>
      </c>
      <c r="E89" s="31"/>
      <c r="F89" s="31">
        <v>0</v>
      </c>
      <c r="G89" s="31">
        <v>0</v>
      </c>
      <c r="H89" s="31">
        <f t="shared" si="1"/>
        <v>9965.25</v>
      </c>
      <c r="I89" s="31"/>
      <c r="K89" t="s">
        <v>38</v>
      </c>
    </row>
    <row r="90" spans="2:11" ht="22" x14ac:dyDescent="0.15">
      <c r="B90" s="30" t="s">
        <v>143</v>
      </c>
      <c r="C90" s="30" t="s">
        <v>144</v>
      </c>
      <c r="D90" s="31">
        <v>2592</v>
      </c>
      <c r="E90" s="31"/>
      <c r="F90" s="31">
        <v>0</v>
      </c>
      <c r="G90" s="31">
        <v>0</v>
      </c>
      <c r="H90" s="31">
        <f t="shared" si="1"/>
        <v>2592</v>
      </c>
      <c r="I90" s="31"/>
      <c r="K90" t="s">
        <v>38</v>
      </c>
    </row>
    <row r="91" spans="2:11" ht="22" x14ac:dyDescent="0.15">
      <c r="B91" s="30" t="s">
        <v>145</v>
      </c>
      <c r="C91" s="30" t="s">
        <v>146</v>
      </c>
      <c r="D91" s="31">
        <v>8921.4699999999993</v>
      </c>
      <c r="E91" s="31"/>
      <c r="F91" s="31">
        <v>0</v>
      </c>
      <c r="G91" s="31">
        <v>0</v>
      </c>
      <c r="H91" s="31">
        <f t="shared" si="1"/>
        <v>8921.4699999999993</v>
      </c>
      <c r="I91" s="31"/>
      <c r="K91" t="s">
        <v>38</v>
      </c>
    </row>
    <row r="92" spans="2:11" ht="22" x14ac:dyDescent="0.15">
      <c r="B92" s="30" t="s">
        <v>147</v>
      </c>
      <c r="C92" s="30" t="s">
        <v>148</v>
      </c>
      <c r="D92" s="31">
        <v>3538</v>
      </c>
      <c r="E92" s="31"/>
      <c r="F92" s="31">
        <v>0</v>
      </c>
      <c r="G92" s="31">
        <v>0</v>
      </c>
      <c r="H92" s="31">
        <f t="shared" si="1"/>
        <v>3538</v>
      </c>
      <c r="I92" s="31"/>
      <c r="K92" t="s">
        <v>38</v>
      </c>
    </row>
    <row r="93" spans="2:11" ht="22" x14ac:dyDescent="0.15">
      <c r="B93" s="27" t="s">
        <v>149</v>
      </c>
      <c r="C93" s="27" t="s">
        <v>150</v>
      </c>
      <c r="D93" s="28">
        <f>SUMIFS(D94:D1509,K94:K1509,"0",B94:B1509,"1 2 4 1 1 12 31111 6 M78 00000 001 001 002*")-SUMIFS(E94:E1509,K94:K1509,"0",B94:B1509,"1 2 4 1 1 12 31111 6 M78 00000 001 001 002*")</f>
        <v>14007.03</v>
      </c>
      <c r="E93" s="29"/>
      <c r="F93" s="28">
        <f>SUMIFS(F94:F1509,K94:K1509,"0",B94:B1509,"1 2 4 1 1 12 31111 6 M78 00000 001 001 002*")</f>
        <v>0</v>
      </c>
      <c r="G93" s="28">
        <f>SUMIFS(G94:G1509,K94:K1509,"0",B94:B1509,"1 2 4 1 1 12 31111 6 M78 00000 001 001 002*")</f>
        <v>0</v>
      </c>
      <c r="H93" s="28">
        <f t="shared" si="1"/>
        <v>14007.03</v>
      </c>
      <c r="I93" s="28"/>
      <c r="K93" t="s">
        <v>15</v>
      </c>
    </row>
    <row r="94" spans="2:11" ht="22" x14ac:dyDescent="0.15">
      <c r="B94" s="30" t="s">
        <v>151</v>
      </c>
      <c r="C94" s="30" t="s">
        <v>152</v>
      </c>
      <c r="D94" s="31">
        <v>2970</v>
      </c>
      <c r="E94" s="31"/>
      <c r="F94" s="31">
        <v>0</v>
      </c>
      <c r="G94" s="31">
        <v>0</v>
      </c>
      <c r="H94" s="31">
        <f t="shared" si="1"/>
        <v>2970</v>
      </c>
      <c r="I94" s="31"/>
      <c r="K94" t="s">
        <v>38</v>
      </c>
    </row>
    <row r="95" spans="2:11" ht="22" x14ac:dyDescent="0.15">
      <c r="B95" s="30" t="s">
        <v>153</v>
      </c>
      <c r="C95" s="30" t="s">
        <v>154</v>
      </c>
      <c r="D95" s="31">
        <v>3756.68</v>
      </c>
      <c r="E95" s="31"/>
      <c r="F95" s="31">
        <v>0</v>
      </c>
      <c r="G95" s="31">
        <v>0</v>
      </c>
      <c r="H95" s="31">
        <f t="shared" si="1"/>
        <v>3756.68</v>
      </c>
      <c r="I95" s="31"/>
      <c r="K95" t="s">
        <v>38</v>
      </c>
    </row>
    <row r="96" spans="2:11" ht="22" x14ac:dyDescent="0.15">
      <c r="B96" s="30" t="s">
        <v>155</v>
      </c>
      <c r="C96" s="30" t="s">
        <v>156</v>
      </c>
      <c r="D96" s="31">
        <v>4080.35</v>
      </c>
      <c r="E96" s="31"/>
      <c r="F96" s="31">
        <v>0</v>
      </c>
      <c r="G96" s="31">
        <v>0</v>
      </c>
      <c r="H96" s="31">
        <f t="shared" si="1"/>
        <v>4080.35</v>
      </c>
      <c r="I96" s="31"/>
      <c r="K96" t="s">
        <v>38</v>
      </c>
    </row>
    <row r="97" spans="2:11" ht="22" x14ac:dyDescent="0.15">
      <c r="B97" s="30" t="s">
        <v>157</v>
      </c>
      <c r="C97" s="30" t="s">
        <v>158</v>
      </c>
      <c r="D97" s="31">
        <v>3200</v>
      </c>
      <c r="E97" s="31"/>
      <c r="F97" s="31">
        <v>0</v>
      </c>
      <c r="G97" s="31">
        <v>0</v>
      </c>
      <c r="H97" s="31">
        <f t="shared" si="1"/>
        <v>3200</v>
      </c>
      <c r="I97" s="31"/>
      <c r="K97" t="s">
        <v>38</v>
      </c>
    </row>
    <row r="98" spans="2:11" ht="22" x14ac:dyDescent="0.15">
      <c r="B98" s="27" t="s">
        <v>159</v>
      </c>
      <c r="C98" s="27" t="s">
        <v>160</v>
      </c>
      <c r="D98" s="28">
        <f>SUMIFS(D99:D1509,K99:K1509,"0",B99:B1509,"1 2 4 1 1 12 31111 6 M78 00000 001 001 003*")-SUMIFS(E99:E1509,K99:K1509,"0",B99:B1509,"1 2 4 1 1 12 31111 6 M78 00000 001 001 003*")</f>
        <v>4606.8500000000004</v>
      </c>
      <c r="E98" s="29"/>
      <c r="F98" s="28">
        <f>SUMIFS(F99:F1509,K99:K1509,"0",B99:B1509,"1 2 4 1 1 12 31111 6 M78 00000 001 001 003*")</f>
        <v>0</v>
      </c>
      <c r="G98" s="28">
        <f>SUMIFS(G99:G1509,K99:K1509,"0",B99:B1509,"1 2 4 1 1 12 31111 6 M78 00000 001 001 003*")</f>
        <v>0</v>
      </c>
      <c r="H98" s="28">
        <f t="shared" si="1"/>
        <v>4606.8500000000004</v>
      </c>
      <c r="I98" s="28"/>
      <c r="K98" t="s">
        <v>15</v>
      </c>
    </row>
    <row r="99" spans="2:11" ht="22" x14ac:dyDescent="0.15">
      <c r="B99" s="30" t="s">
        <v>161</v>
      </c>
      <c r="C99" s="30" t="s">
        <v>156</v>
      </c>
      <c r="D99" s="31">
        <v>4606.8500000000004</v>
      </c>
      <c r="E99" s="31"/>
      <c r="F99" s="31">
        <v>0</v>
      </c>
      <c r="G99" s="31">
        <v>0</v>
      </c>
      <c r="H99" s="31">
        <f t="shared" si="1"/>
        <v>4606.8500000000004</v>
      </c>
      <c r="I99" s="31"/>
      <c r="K99" t="s">
        <v>38</v>
      </c>
    </row>
    <row r="100" spans="2:11" ht="22" x14ac:dyDescent="0.15">
      <c r="B100" s="27" t="s">
        <v>162</v>
      </c>
      <c r="C100" s="27" t="s">
        <v>163</v>
      </c>
      <c r="D100" s="28">
        <f>SUMIFS(D101:D1509,K101:K1509,"0",B101:B1509,"1 2 4 1 1 12 31111 6 M78 00000 001 001 004*")-SUMIFS(E101:E1509,K101:K1509,"0",B101:B1509,"1 2 4 1 1 12 31111 6 M78 00000 001 001 004*")</f>
        <v>3450</v>
      </c>
      <c r="E100" s="29"/>
      <c r="F100" s="28">
        <f>SUMIFS(F101:F1509,K101:K1509,"0",B101:B1509,"1 2 4 1 1 12 31111 6 M78 00000 001 001 004*")</f>
        <v>0</v>
      </c>
      <c r="G100" s="28">
        <f>SUMIFS(G101:G1509,K101:K1509,"0",B101:B1509,"1 2 4 1 1 12 31111 6 M78 00000 001 001 004*")</f>
        <v>0</v>
      </c>
      <c r="H100" s="28">
        <f t="shared" si="1"/>
        <v>3450</v>
      </c>
      <c r="I100" s="28"/>
      <c r="K100" t="s">
        <v>15</v>
      </c>
    </row>
    <row r="101" spans="2:11" ht="22" x14ac:dyDescent="0.15">
      <c r="B101" s="30" t="s">
        <v>164</v>
      </c>
      <c r="C101" s="30" t="s">
        <v>165</v>
      </c>
      <c r="D101" s="31">
        <v>3450</v>
      </c>
      <c r="E101" s="31"/>
      <c r="F101" s="31">
        <v>0</v>
      </c>
      <c r="G101" s="31">
        <v>0</v>
      </c>
      <c r="H101" s="31">
        <f t="shared" si="1"/>
        <v>3450</v>
      </c>
      <c r="I101" s="31"/>
      <c r="K101" t="s">
        <v>38</v>
      </c>
    </row>
    <row r="102" spans="2:11" ht="13" x14ac:dyDescent="0.15">
      <c r="B102" s="27" t="s">
        <v>166</v>
      </c>
      <c r="C102" s="27" t="s">
        <v>8</v>
      </c>
      <c r="D102" s="28">
        <f>SUMIFS(D103:D1509,K103:K1509,"0",B103:B1509,"1 2 4 1 1 12 31111 6 M78 07000*")-SUMIFS(E103:E1509,K103:K1509,"0",B103:B1509,"1 2 4 1 1 12 31111 6 M78 07000*")</f>
        <v>332666.46999999997</v>
      </c>
      <c r="E102" s="29"/>
      <c r="F102" s="28">
        <f>SUMIFS(F103:F1509,K103:K1509,"0",B103:B1509,"1 2 4 1 1 12 31111 6 M78 07000*")</f>
        <v>0</v>
      </c>
      <c r="G102" s="28">
        <f>SUMIFS(G103:G1509,K103:K1509,"0",B103:B1509,"1 2 4 1 1 12 31111 6 M78 07000*")</f>
        <v>0</v>
      </c>
      <c r="H102" s="28">
        <f t="shared" si="1"/>
        <v>332666.46999999997</v>
      </c>
      <c r="I102" s="28"/>
      <c r="K102" t="s">
        <v>15</v>
      </c>
    </row>
    <row r="103" spans="2:11" ht="13" x14ac:dyDescent="0.15">
      <c r="B103" s="27" t="s">
        <v>167</v>
      </c>
      <c r="C103" s="27" t="s">
        <v>168</v>
      </c>
      <c r="D103" s="28">
        <f>SUMIFS(D104:D1509,K104:K1509,"0",B104:B1509,"1 2 4 1 1 12 31111 6 M78 07000 151*")-SUMIFS(E104:E1509,K104:K1509,"0",B104:B1509,"1 2 4 1 1 12 31111 6 M78 07000 151*")</f>
        <v>332666.46999999997</v>
      </c>
      <c r="E103" s="29"/>
      <c r="F103" s="28">
        <f>SUMIFS(F104:F1509,K104:K1509,"0",B104:B1509,"1 2 4 1 1 12 31111 6 M78 07000 151*")</f>
        <v>0</v>
      </c>
      <c r="G103" s="28">
        <f>SUMIFS(G104:G1509,K104:K1509,"0",B104:B1509,"1 2 4 1 1 12 31111 6 M78 07000 151*")</f>
        <v>0</v>
      </c>
      <c r="H103" s="28">
        <f t="shared" si="1"/>
        <v>332666.46999999997</v>
      </c>
      <c r="I103" s="28"/>
      <c r="K103" t="s">
        <v>15</v>
      </c>
    </row>
    <row r="104" spans="2:11" ht="13" x14ac:dyDescent="0.15">
      <c r="B104" s="27" t="s">
        <v>169</v>
      </c>
      <c r="C104" s="27" t="s">
        <v>170</v>
      </c>
      <c r="D104" s="28">
        <f>SUMIFS(D105:D1509,K105:K1509,"0",B105:B1509,"1 2 4 1 1 12 31111 6 M78 07000 151 00C*")-SUMIFS(E105:E1509,K105:K1509,"0",B105:B1509,"1 2 4 1 1 12 31111 6 M78 07000 151 00C*")</f>
        <v>332666.46999999997</v>
      </c>
      <c r="E104" s="29"/>
      <c r="F104" s="28">
        <f>SUMIFS(F105:F1509,K105:K1509,"0",B105:B1509,"1 2 4 1 1 12 31111 6 M78 07000 151 00C*")</f>
        <v>0</v>
      </c>
      <c r="G104" s="28">
        <f>SUMIFS(G105:G1509,K105:K1509,"0",B105:B1509,"1 2 4 1 1 12 31111 6 M78 07000 151 00C*")</f>
        <v>0</v>
      </c>
      <c r="H104" s="28">
        <f t="shared" si="1"/>
        <v>332666.46999999997</v>
      </c>
      <c r="I104" s="28"/>
      <c r="K104" t="s">
        <v>15</v>
      </c>
    </row>
    <row r="105" spans="2:11" ht="22" x14ac:dyDescent="0.15">
      <c r="B105" s="27" t="s">
        <v>171</v>
      </c>
      <c r="C105" s="27" t="s">
        <v>172</v>
      </c>
      <c r="D105" s="28">
        <f>SUMIFS(D106:D1509,K106:K1509,"0",B106:B1509,"1 2 4 1 1 12 31111 6 M78 07000 151 00C 002*")-SUMIFS(E106:E1509,K106:K1509,"0",B106:B1509,"1 2 4 1 1 12 31111 6 M78 07000 151 00C 002*")</f>
        <v>332666.46999999997</v>
      </c>
      <c r="E105" s="29"/>
      <c r="F105" s="28">
        <f>SUMIFS(F106:F1509,K106:K1509,"0",B106:B1509,"1 2 4 1 1 12 31111 6 M78 07000 151 00C 002*")</f>
        <v>0</v>
      </c>
      <c r="G105" s="28">
        <f>SUMIFS(G106:G1509,K106:K1509,"0",B106:B1509,"1 2 4 1 1 12 31111 6 M78 07000 151 00C 002*")</f>
        <v>0</v>
      </c>
      <c r="H105" s="28">
        <f t="shared" si="1"/>
        <v>332666.46999999997</v>
      </c>
      <c r="I105" s="28"/>
      <c r="K105" t="s">
        <v>15</v>
      </c>
    </row>
    <row r="106" spans="2:11" ht="22" x14ac:dyDescent="0.15">
      <c r="B106" s="27" t="s">
        <v>173</v>
      </c>
      <c r="C106" s="27" t="s">
        <v>174</v>
      </c>
      <c r="D106" s="28">
        <f>SUMIFS(D107:D1509,K107:K1509,"0",B107:B1509,"1 2 4 1 1 12 31111 6 M78 07000 151 00C 002 51101*")-SUMIFS(E107:E1509,K107:K1509,"0",B107:B1509,"1 2 4 1 1 12 31111 6 M78 07000 151 00C 002 51101*")</f>
        <v>332666.46999999997</v>
      </c>
      <c r="E106" s="29"/>
      <c r="F106" s="28">
        <f>SUMIFS(F107:F1509,K107:K1509,"0",B107:B1509,"1 2 4 1 1 12 31111 6 M78 07000 151 00C 002 51101*")</f>
        <v>0</v>
      </c>
      <c r="G106" s="28">
        <f>SUMIFS(G107:G1509,K107:K1509,"0",B107:B1509,"1 2 4 1 1 12 31111 6 M78 07000 151 00C 002 51101*")</f>
        <v>0</v>
      </c>
      <c r="H106" s="28">
        <f t="shared" si="1"/>
        <v>332666.46999999997</v>
      </c>
      <c r="I106" s="28"/>
      <c r="K106" t="s">
        <v>15</v>
      </c>
    </row>
    <row r="107" spans="2:11" ht="22" x14ac:dyDescent="0.15">
      <c r="B107" s="27" t="s">
        <v>175</v>
      </c>
      <c r="C107" s="27" t="s">
        <v>176</v>
      </c>
      <c r="D107" s="28">
        <f>SUMIFS(D108:D1509,K108:K1509,"0",B108:B1509,"1 2 4 1 1 12 31111 6 M78 07000 151 00C 002 51101 015*")-SUMIFS(E108:E1509,K108:K1509,"0",B108:B1509,"1 2 4 1 1 12 31111 6 M78 07000 151 00C 002 51101 015*")</f>
        <v>332666.46999999997</v>
      </c>
      <c r="E107" s="29"/>
      <c r="F107" s="28">
        <f>SUMIFS(F108:F1509,K108:K1509,"0",B108:B1509,"1 2 4 1 1 12 31111 6 M78 07000 151 00C 002 51101 015*")</f>
        <v>0</v>
      </c>
      <c r="G107" s="28">
        <f>SUMIFS(G108:G1509,K108:K1509,"0",B108:B1509,"1 2 4 1 1 12 31111 6 M78 07000 151 00C 002 51101 015*")</f>
        <v>0</v>
      </c>
      <c r="H107" s="28">
        <f t="shared" si="1"/>
        <v>332666.46999999997</v>
      </c>
      <c r="I107" s="28"/>
      <c r="K107" t="s">
        <v>15</v>
      </c>
    </row>
    <row r="108" spans="2:11" ht="22" x14ac:dyDescent="0.15">
      <c r="B108" s="27" t="s">
        <v>177</v>
      </c>
      <c r="C108" s="27" t="s">
        <v>178</v>
      </c>
      <c r="D108" s="28">
        <f>SUMIFS(D109:D1509,K109:K1509,"0",B109:B1509,"1 2 4 1 1 12 31111 6 M78 07000 151 00C 002 51101 015 2112000*")-SUMIFS(E109:E1509,K109:K1509,"0",B109:B1509,"1 2 4 1 1 12 31111 6 M78 07000 151 00C 002 51101 015 2112000*")</f>
        <v>332666.46999999997</v>
      </c>
      <c r="E108" s="29"/>
      <c r="F108" s="28">
        <f>SUMIFS(F109:F1509,K109:K1509,"0",B109:B1509,"1 2 4 1 1 12 31111 6 M78 07000 151 00C 002 51101 015 2112000*")</f>
        <v>0</v>
      </c>
      <c r="G108" s="28">
        <f>SUMIFS(G109:G1509,K109:K1509,"0",B109:B1509,"1 2 4 1 1 12 31111 6 M78 07000 151 00C 002 51101 015 2112000*")</f>
        <v>0</v>
      </c>
      <c r="H108" s="28">
        <f t="shared" si="1"/>
        <v>332666.46999999997</v>
      </c>
      <c r="I108" s="28"/>
      <c r="K108" t="s">
        <v>15</v>
      </c>
    </row>
    <row r="109" spans="2:11" ht="22" x14ac:dyDescent="0.15">
      <c r="B109" s="27" t="s">
        <v>179</v>
      </c>
      <c r="C109" s="27" t="s">
        <v>180</v>
      </c>
      <c r="D109" s="28">
        <f>SUMIFS(D110:D1509,K110:K1509,"0",B110:B1509,"1 2 4 1 1 12 31111 6 M78 07000 151 00C 002 51101 015 2112000 2019*")-SUMIFS(E110:E1509,K110:K1509,"0",B110:B1509,"1 2 4 1 1 12 31111 6 M78 07000 151 00C 002 51101 015 2112000 2019*")</f>
        <v>332666.46999999997</v>
      </c>
      <c r="E109" s="29"/>
      <c r="F109" s="28">
        <f>SUMIFS(F110:F1509,K110:K1509,"0",B110:B1509,"1 2 4 1 1 12 31111 6 M78 07000 151 00C 002 51101 015 2112000 2019*")</f>
        <v>0</v>
      </c>
      <c r="G109" s="28">
        <f>SUMIFS(G110:G1509,K110:K1509,"0",B110:B1509,"1 2 4 1 1 12 31111 6 M78 07000 151 00C 002 51101 015 2112000 2019*")</f>
        <v>0</v>
      </c>
      <c r="H109" s="28">
        <f t="shared" si="1"/>
        <v>332666.46999999997</v>
      </c>
      <c r="I109" s="28"/>
      <c r="K109" t="s">
        <v>15</v>
      </c>
    </row>
    <row r="110" spans="2:11" ht="22" x14ac:dyDescent="0.15">
      <c r="B110" s="27" t="s">
        <v>181</v>
      </c>
      <c r="C110" s="27" t="s">
        <v>182</v>
      </c>
      <c r="D110" s="28">
        <f>SUMIFS(D111:D1509,K111:K1509,"0",B111:B1509,"1 2 4 1 1 12 31111 6 M78 07000 151 00C 002 51101 015 2112000 2019 00000000*")-SUMIFS(E111:E1509,K111:K1509,"0",B111:B1509,"1 2 4 1 1 12 31111 6 M78 07000 151 00C 002 51101 015 2112000 2019 00000000*")</f>
        <v>332666.46999999997</v>
      </c>
      <c r="E110" s="29"/>
      <c r="F110" s="28">
        <f>SUMIFS(F111:F1509,K111:K1509,"0",B111:B1509,"1 2 4 1 1 12 31111 6 M78 07000 151 00C 002 51101 015 2112000 2019 00000000*")</f>
        <v>0</v>
      </c>
      <c r="G110" s="28">
        <f>SUMIFS(G111:G1509,K111:K1509,"0",B111:B1509,"1 2 4 1 1 12 31111 6 M78 07000 151 00C 002 51101 015 2112000 2019 00000000*")</f>
        <v>0</v>
      </c>
      <c r="H110" s="28">
        <f t="shared" si="1"/>
        <v>332666.46999999997</v>
      </c>
      <c r="I110" s="28"/>
      <c r="K110" t="s">
        <v>15</v>
      </c>
    </row>
    <row r="111" spans="2:11" ht="33" x14ac:dyDescent="0.15">
      <c r="B111" s="27" t="s">
        <v>183</v>
      </c>
      <c r="C111" s="27" t="s">
        <v>9</v>
      </c>
      <c r="D111" s="28">
        <f>SUMIFS(D112:D1509,K112:K1509,"0",B112:B1509,"1 2 4 1 1 12 31111 6 M78 07000 151 00C 002 51101 015 2112000 2019 00000000 001*")-SUMIFS(E112:E1509,K112:K1509,"0",B112:B1509,"1 2 4 1 1 12 31111 6 M78 07000 151 00C 002 51101 015 2112000 2019 00000000 001*")</f>
        <v>332666.46999999997</v>
      </c>
      <c r="E111" s="29"/>
      <c r="F111" s="28">
        <f>SUMIFS(F112:F1509,K112:K1509,"0",B112:B1509,"1 2 4 1 1 12 31111 6 M78 07000 151 00C 002 51101 015 2112000 2019 00000000 001*")</f>
        <v>0</v>
      </c>
      <c r="G111" s="28">
        <f>SUMIFS(G112:G1509,K112:K1509,"0",B112:B1509,"1 2 4 1 1 12 31111 6 M78 07000 151 00C 002 51101 015 2112000 2019 00000000 001*")</f>
        <v>0</v>
      </c>
      <c r="H111" s="28">
        <f t="shared" si="1"/>
        <v>332666.46999999997</v>
      </c>
      <c r="I111" s="28"/>
      <c r="K111" t="s">
        <v>15</v>
      </c>
    </row>
    <row r="112" spans="2:11" ht="33" x14ac:dyDescent="0.15">
      <c r="B112" s="27" t="s">
        <v>184</v>
      </c>
      <c r="C112" s="27" t="s">
        <v>185</v>
      </c>
      <c r="D112" s="28">
        <f>SUMIFS(D113:D1509,K113:K1509,"0",B113:B1509,"1 2 4 1 1 12 31111 6 M78 07000 151 00C 002 51101 015 2112000 2019 00000000 001 001*")-SUMIFS(E113:E1509,K113:K1509,"0",B113:B1509,"1 2 4 1 1 12 31111 6 M78 07000 151 00C 002 51101 015 2112000 2019 00000000 001 001*")</f>
        <v>32036.799999999999</v>
      </c>
      <c r="E112" s="29"/>
      <c r="F112" s="28">
        <f>SUMIFS(F113:F1509,K113:K1509,"0",B113:B1509,"1 2 4 1 1 12 31111 6 M78 07000 151 00C 002 51101 015 2112000 2019 00000000 001 001*")</f>
        <v>0</v>
      </c>
      <c r="G112" s="28">
        <f>SUMIFS(G113:G1509,K113:K1509,"0",B113:B1509,"1 2 4 1 1 12 31111 6 M78 07000 151 00C 002 51101 015 2112000 2019 00000000 001 001*")</f>
        <v>0</v>
      </c>
      <c r="H112" s="28">
        <f t="shared" si="1"/>
        <v>32036.799999999999</v>
      </c>
      <c r="I112" s="28"/>
      <c r="K112" t="s">
        <v>15</v>
      </c>
    </row>
    <row r="113" spans="2:11" ht="33" x14ac:dyDescent="0.15">
      <c r="B113" s="30" t="s">
        <v>186</v>
      </c>
      <c r="C113" s="30" t="s">
        <v>187</v>
      </c>
      <c r="D113" s="31">
        <v>4639.8</v>
      </c>
      <c r="E113" s="31"/>
      <c r="F113" s="31">
        <v>0</v>
      </c>
      <c r="G113" s="31">
        <v>0</v>
      </c>
      <c r="H113" s="31">
        <f t="shared" si="1"/>
        <v>4639.8</v>
      </c>
      <c r="I113" s="31"/>
      <c r="K113" t="s">
        <v>38</v>
      </c>
    </row>
    <row r="114" spans="2:11" ht="33" x14ac:dyDescent="0.15">
      <c r="B114" s="30" t="s">
        <v>188</v>
      </c>
      <c r="C114" s="30" t="s">
        <v>189</v>
      </c>
      <c r="D114" s="31">
        <v>13899</v>
      </c>
      <c r="E114" s="31"/>
      <c r="F114" s="31">
        <v>0</v>
      </c>
      <c r="G114" s="31">
        <v>0</v>
      </c>
      <c r="H114" s="31">
        <f t="shared" si="1"/>
        <v>13899</v>
      </c>
      <c r="I114" s="31"/>
      <c r="K114" t="s">
        <v>38</v>
      </c>
    </row>
    <row r="115" spans="2:11" ht="33" x14ac:dyDescent="0.15">
      <c r="B115" s="30" t="s">
        <v>190</v>
      </c>
      <c r="C115" s="30" t="s">
        <v>191</v>
      </c>
      <c r="D115" s="31">
        <v>7999</v>
      </c>
      <c r="E115" s="31"/>
      <c r="F115" s="31">
        <v>0</v>
      </c>
      <c r="G115" s="31">
        <v>0</v>
      </c>
      <c r="H115" s="31">
        <f t="shared" si="1"/>
        <v>7999</v>
      </c>
      <c r="I115" s="31"/>
      <c r="K115" t="s">
        <v>38</v>
      </c>
    </row>
    <row r="116" spans="2:11" ht="33" x14ac:dyDescent="0.15">
      <c r="B116" s="30" t="s">
        <v>192</v>
      </c>
      <c r="C116" s="30" t="s">
        <v>193</v>
      </c>
      <c r="D116" s="31">
        <v>5499</v>
      </c>
      <c r="E116" s="31"/>
      <c r="F116" s="31">
        <v>0</v>
      </c>
      <c r="G116" s="31">
        <v>0</v>
      </c>
      <c r="H116" s="31">
        <f t="shared" si="1"/>
        <v>5499</v>
      </c>
      <c r="I116" s="31"/>
      <c r="K116" t="s">
        <v>38</v>
      </c>
    </row>
    <row r="117" spans="2:11" ht="33" x14ac:dyDescent="0.15">
      <c r="B117" s="27" t="s">
        <v>194</v>
      </c>
      <c r="C117" s="27" t="s">
        <v>195</v>
      </c>
      <c r="D117" s="28">
        <f>SUMIFS(D118:D1509,K118:K1509,"0",B118:B1509,"1 2 4 1 1 12 31111 6 M78 07000 151 00C 002 51101 015 2112000 2019 00000000 001 002*")-SUMIFS(E118:E1509,K118:K1509,"0",B118:B1509,"1 2 4 1 1 12 31111 6 M78 07000 151 00C 002 51101 015 2112000 2019 00000000 001 002*")</f>
        <v>4158.99</v>
      </c>
      <c r="E117" s="29"/>
      <c r="F117" s="28">
        <f>SUMIFS(F118:F1509,K118:K1509,"0",B118:B1509,"1 2 4 1 1 12 31111 6 M78 07000 151 00C 002 51101 015 2112000 2019 00000000 001 002*")</f>
        <v>0</v>
      </c>
      <c r="G117" s="28">
        <f>SUMIFS(G118:G1509,K118:K1509,"0",B118:B1509,"1 2 4 1 1 12 31111 6 M78 07000 151 00C 002 51101 015 2112000 2019 00000000 001 002*")</f>
        <v>0</v>
      </c>
      <c r="H117" s="28">
        <f t="shared" si="1"/>
        <v>4158.99</v>
      </c>
      <c r="I117" s="28"/>
      <c r="K117" t="s">
        <v>15</v>
      </c>
    </row>
    <row r="118" spans="2:11" ht="33" x14ac:dyDescent="0.15">
      <c r="B118" s="30" t="s">
        <v>196</v>
      </c>
      <c r="C118" s="30" t="s">
        <v>197</v>
      </c>
      <c r="D118" s="31">
        <v>4158.99</v>
      </c>
      <c r="E118" s="31"/>
      <c r="F118" s="31">
        <v>0</v>
      </c>
      <c r="G118" s="31">
        <v>0</v>
      </c>
      <c r="H118" s="31">
        <f t="shared" si="1"/>
        <v>4158.99</v>
      </c>
      <c r="I118" s="31"/>
      <c r="K118" t="s">
        <v>38</v>
      </c>
    </row>
    <row r="119" spans="2:11" ht="33" x14ac:dyDescent="0.15">
      <c r="B119" s="27" t="s">
        <v>198</v>
      </c>
      <c r="C119" s="27" t="s">
        <v>199</v>
      </c>
      <c r="D119" s="28">
        <f>SUMIFS(D120:D1509,K120:K1509,"0",B120:B1509,"1 2 4 1 1 12 31111 6 M78 07000 151 00C 002 51101 015 2112000 2019 00000000 001 007*")-SUMIFS(E120:E1509,K120:K1509,"0",B120:B1509,"1 2 4 1 1 12 31111 6 M78 07000 151 00C 002 51101 015 2112000 2019 00000000 001 007*")</f>
        <v>176471</v>
      </c>
      <c r="E119" s="29"/>
      <c r="F119" s="28">
        <f>SUMIFS(F120:F1509,K120:K1509,"0",B120:B1509,"1 2 4 1 1 12 31111 6 M78 07000 151 00C 002 51101 015 2112000 2019 00000000 001 007*")</f>
        <v>0</v>
      </c>
      <c r="G119" s="28">
        <f>SUMIFS(G120:G1509,K120:K1509,"0",B120:B1509,"1 2 4 1 1 12 31111 6 M78 07000 151 00C 002 51101 015 2112000 2019 00000000 001 007*")</f>
        <v>0</v>
      </c>
      <c r="H119" s="28">
        <f t="shared" si="1"/>
        <v>176471</v>
      </c>
      <c r="I119" s="28"/>
      <c r="K119" t="s">
        <v>15</v>
      </c>
    </row>
    <row r="120" spans="2:11" ht="33" x14ac:dyDescent="0.15">
      <c r="B120" s="30" t="s">
        <v>200</v>
      </c>
      <c r="C120" s="30" t="s">
        <v>201</v>
      </c>
      <c r="D120" s="31">
        <v>5999</v>
      </c>
      <c r="E120" s="31"/>
      <c r="F120" s="31">
        <v>0</v>
      </c>
      <c r="G120" s="31">
        <v>0</v>
      </c>
      <c r="H120" s="31">
        <f t="shared" si="1"/>
        <v>5999</v>
      </c>
      <c r="I120" s="31"/>
      <c r="K120" t="s">
        <v>38</v>
      </c>
    </row>
    <row r="121" spans="2:11" ht="33" x14ac:dyDescent="0.15">
      <c r="B121" s="30" t="s">
        <v>202</v>
      </c>
      <c r="C121" s="30" t="s">
        <v>203</v>
      </c>
      <c r="D121" s="31">
        <v>4396.08</v>
      </c>
      <c r="E121" s="31"/>
      <c r="F121" s="31">
        <v>0</v>
      </c>
      <c r="G121" s="31">
        <v>0</v>
      </c>
      <c r="H121" s="31">
        <f t="shared" si="1"/>
        <v>4396.08</v>
      </c>
      <c r="I121" s="31"/>
      <c r="K121" t="s">
        <v>38</v>
      </c>
    </row>
    <row r="122" spans="2:11" ht="33" x14ac:dyDescent="0.15">
      <c r="B122" s="30" t="s">
        <v>204</v>
      </c>
      <c r="C122" s="30" t="s">
        <v>205</v>
      </c>
      <c r="D122" s="31">
        <v>1914</v>
      </c>
      <c r="E122" s="31"/>
      <c r="F122" s="31">
        <v>0</v>
      </c>
      <c r="G122" s="31">
        <v>0</v>
      </c>
      <c r="H122" s="31">
        <f t="shared" si="1"/>
        <v>1914</v>
      </c>
      <c r="I122" s="31"/>
      <c r="K122" t="s">
        <v>38</v>
      </c>
    </row>
    <row r="123" spans="2:11" ht="33" x14ac:dyDescent="0.15">
      <c r="B123" s="30" t="s">
        <v>206</v>
      </c>
      <c r="C123" s="30" t="s">
        <v>207</v>
      </c>
      <c r="D123" s="31">
        <v>61270.83</v>
      </c>
      <c r="E123" s="31"/>
      <c r="F123" s="31">
        <v>0</v>
      </c>
      <c r="G123" s="31">
        <v>0</v>
      </c>
      <c r="H123" s="31">
        <f t="shared" si="1"/>
        <v>61270.83</v>
      </c>
      <c r="I123" s="31"/>
      <c r="K123" t="s">
        <v>38</v>
      </c>
    </row>
    <row r="124" spans="2:11" ht="33" x14ac:dyDescent="0.15">
      <c r="B124" s="30" t="s">
        <v>208</v>
      </c>
      <c r="C124" s="30" t="s">
        <v>209</v>
      </c>
      <c r="D124" s="31">
        <v>52311.15</v>
      </c>
      <c r="E124" s="31"/>
      <c r="F124" s="31">
        <v>0</v>
      </c>
      <c r="G124" s="31">
        <v>0</v>
      </c>
      <c r="H124" s="31">
        <f t="shared" si="1"/>
        <v>52311.15</v>
      </c>
      <c r="I124" s="31"/>
      <c r="K124" t="s">
        <v>38</v>
      </c>
    </row>
    <row r="125" spans="2:11" ht="33" x14ac:dyDescent="0.15">
      <c r="B125" s="30" t="s">
        <v>210</v>
      </c>
      <c r="C125" s="30" t="s">
        <v>211</v>
      </c>
      <c r="D125" s="31">
        <v>50579.94</v>
      </c>
      <c r="E125" s="31"/>
      <c r="F125" s="31">
        <v>0</v>
      </c>
      <c r="G125" s="31">
        <v>0</v>
      </c>
      <c r="H125" s="31">
        <f t="shared" si="1"/>
        <v>50579.94</v>
      </c>
      <c r="I125" s="31"/>
      <c r="K125" t="s">
        <v>38</v>
      </c>
    </row>
    <row r="126" spans="2:11" ht="33" x14ac:dyDescent="0.15">
      <c r="B126" s="27" t="s">
        <v>212</v>
      </c>
      <c r="C126" s="27" t="s">
        <v>213</v>
      </c>
      <c r="D126" s="28">
        <f>SUMIFS(D127:D1509,K127:K1509,"0",B127:B1509,"1 2 4 1 1 12 31111 6 M78 07000 151 00C 002 51101 015 2112000 2019 00000000 001 014*")-SUMIFS(E127:E1509,K127:K1509,"0",B127:B1509,"1 2 4 1 1 12 31111 6 M78 07000 151 00C 002 51101 015 2112000 2019 00000000 001 014*")</f>
        <v>119999.67999999999</v>
      </c>
      <c r="E126" s="29"/>
      <c r="F126" s="28">
        <f>SUMIFS(F127:F1509,K127:K1509,"0",B127:B1509,"1 2 4 1 1 12 31111 6 M78 07000 151 00C 002 51101 015 2112000 2019 00000000 001 014*")</f>
        <v>0</v>
      </c>
      <c r="G126" s="28">
        <f>SUMIFS(G127:G1509,K127:K1509,"0",B127:B1509,"1 2 4 1 1 12 31111 6 M78 07000 151 00C 002 51101 015 2112000 2019 00000000 001 014*")</f>
        <v>0</v>
      </c>
      <c r="H126" s="28">
        <f t="shared" si="1"/>
        <v>119999.67999999999</v>
      </c>
      <c r="I126" s="28"/>
      <c r="K126" t="s">
        <v>15</v>
      </c>
    </row>
    <row r="127" spans="2:11" ht="33" x14ac:dyDescent="0.15">
      <c r="B127" s="30" t="s">
        <v>214</v>
      </c>
      <c r="C127" s="30" t="s">
        <v>215</v>
      </c>
      <c r="D127" s="31">
        <v>119999.67999999999</v>
      </c>
      <c r="E127" s="31"/>
      <c r="F127" s="31">
        <v>0</v>
      </c>
      <c r="G127" s="31">
        <v>0</v>
      </c>
      <c r="H127" s="31">
        <f t="shared" si="1"/>
        <v>119999.67999999999</v>
      </c>
      <c r="I127" s="31"/>
      <c r="K127" t="s">
        <v>38</v>
      </c>
    </row>
    <row r="128" spans="2:11" ht="13" x14ac:dyDescent="0.15">
      <c r="B128" s="27" t="s">
        <v>216</v>
      </c>
      <c r="C128" s="27" t="s">
        <v>217</v>
      </c>
      <c r="D128" s="28">
        <f>SUMIFS(D129:D1509,K129:K1509,"0",B129:B1509,"1 2 4 1 2*")-SUMIFS(E129:E1509,K129:K1509,"0",B129:B1509,"1 2 4 1 2*")</f>
        <v>19998</v>
      </c>
      <c r="E128" s="29"/>
      <c r="F128" s="28">
        <f>SUMIFS(F129:F1509,K129:K1509,"0",B129:B1509,"1 2 4 1 2*")</f>
        <v>25500</v>
      </c>
      <c r="G128" s="28">
        <f>SUMIFS(G129:G1509,K129:K1509,"0",B129:B1509,"1 2 4 1 2*")</f>
        <v>0</v>
      </c>
      <c r="H128" s="28">
        <f t="shared" si="1"/>
        <v>45498</v>
      </c>
      <c r="I128" s="28"/>
      <c r="K128" t="s">
        <v>15</v>
      </c>
    </row>
    <row r="129" spans="2:11" ht="13" x14ac:dyDescent="0.15">
      <c r="B129" s="27" t="s">
        <v>218</v>
      </c>
      <c r="C129" s="27" t="s">
        <v>26</v>
      </c>
      <c r="D129" s="28">
        <f>SUMIFS(D130:D1509,K130:K1509,"0",B130:B1509,"1 2 4 1 2 12*")-SUMIFS(E130:E1509,K130:K1509,"0",B130:B1509,"1 2 4 1 2 12*")</f>
        <v>19998</v>
      </c>
      <c r="E129" s="29"/>
      <c r="F129" s="28">
        <f>SUMIFS(F130:F1509,K130:K1509,"0",B130:B1509,"1 2 4 1 2 12*")</f>
        <v>25500</v>
      </c>
      <c r="G129" s="28">
        <f>SUMIFS(G130:G1509,K130:K1509,"0",B130:B1509,"1 2 4 1 2 12*")</f>
        <v>0</v>
      </c>
      <c r="H129" s="28">
        <f t="shared" si="1"/>
        <v>45498</v>
      </c>
      <c r="I129" s="28"/>
      <c r="K129" t="s">
        <v>15</v>
      </c>
    </row>
    <row r="130" spans="2:11" ht="13" x14ac:dyDescent="0.15">
      <c r="B130" s="27" t="s">
        <v>219</v>
      </c>
      <c r="C130" s="27" t="s">
        <v>28</v>
      </c>
      <c r="D130" s="28">
        <f>SUMIFS(D131:D1509,K131:K1509,"0",B131:B1509,"1 2 4 1 2 12 31111*")-SUMIFS(E131:E1509,K131:K1509,"0",B131:B1509,"1 2 4 1 2 12 31111*")</f>
        <v>19998</v>
      </c>
      <c r="E130" s="29"/>
      <c r="F130" s="28">
        <f>SUMIFS(F131:F1509,K131:K1509,"0",B131:B1509,"1 2 4 1 2 12 31111*")</f>
        <v>25500</v>
      </c>
      <c r="G130" s="28">
        <f>SUMIFS(G131:G1509,K131:K1509,"0",B131:B1509,"1 2 4 1 2 12 31111*")</f>
        <v>0</v>
      </c>
      <c r="H130" s="28">
        <f t="shared" si="1"/>
        <v>45498</v>
      </c>
      <c r="I130" s="28"/>
      <c r="K130" t="s">
        <v>15</v>
      </c>
    </row>
    <row r="131" spans="2:11" ht="13" x14ac:dyDescent="0.15">
      <c r="B131" s="27" t="s">
        <v>220</v>
      </c>
      <c r="C131" s="27" t="s">
        <v>221</v>
      </c>
      <c r="D131" s="28">
        <f>SUMIFS(D132:D1509,K132:K1509,"0",B132:B1509,"1 2 4 1 2 12 31111 6*")-SUMIFS(E132:E1509,K132:K1509,"0",B132:B1509,"1 2 4 1 2 12 31111 6*")</f>
        <v>19998</v>
      </c>
      <c r="E131" s="29"/>
      <c r="F131" s="28">
        <f>SUMIFS(F132:F1509,K132:K1509,"0",B132:B1509,"1 2 4 1 2 12 31111 6*")</f>
        <v>25500</v>
      </c>
      <c r="G131" s="28">
        <f>SUMIFS(G132:G1509,K132:K1509,"0",B132:B1509,"1 2 4 1 2 12 31111 6*")</f>
        <v>0</v>
      </c>
      <c r="H131" s="28">
        <f t="shared" si="1"/>
        <v>45498</v>
      </c>
      <c r="I131" s="28"/>
      <c r="K131" t="s">
        <v>15</v>
      </c>
    </row>
    <row r="132" spans="2:11" ht="13" x14ac:dyDescent="0.15">
      <c r="B132" s="27" t="s">
        <v>222</v>
      </c>
      <c r="C132" s="27" t="s">
        <v>223</v>
      </c>
      <c r="D132" s="28">
        <f>SUMIFS(D133:D1509,K133:K1509,"0",B133:B1509,"1 2 4 1 2 12 31111 6 M78*")-SUMIFS(E133:E1509,K133:K1509,"0",B133:B1509,"1 2 4 1 2 12 31111 6 M78*")</f>
        <v>19998</v>
      </c>
      <c r="E132" s="29"/>
      <c r="F132" s="28">
        <f>SUMIFS(F133:F1509,K133:K1509,"0",B133:B1509,"1 2 4 1 2 12 31111 6 M78*")</f>
        <v>25500</v>
      </c>
      <c r="G132" s="28">
        <f>SUMIFS(G133:G1509,K133:K1509,"0",B133:B1509,"1 2 4 1 2 12 31111 6 M78*")</f>
        <v>0</v>
      </c>
      <c r="H132" s="28">
        <f t="shared" si="1"/>
        <v>45498</v>
      </c>
      <c r="I132" s="28"/>
      <c r="K132" t="s">
        <v>15</v>
      </c>
    </row>
    <row r="133" spans="2:11" ht="13" x14ac:dyDescent="0.15">
      <c r="B133" s="27" t="s">
        <v>224</v>
      </c>
      <c r="C133" s="27" t="s">
        <v>8</v>
      </c>
      <c r="D133" s="28">
        <f>SUMIFS(D134:D1509,K134:K1509,"0",B134:B1509,"1 2 4 1 2 12 31111 6 M78 07000*")-SUMIFS(E134:E1509,K134:K1509,"0",B134:B1509,"1 2 4 1 2 12 31111 6 M78 07000*")</f>
        <v>19998</v>
      </c>
      <c r="E133" s="29"/>
      <c r="F133" s="28">
        <f>SUMIFS(F134:F1509,K134:K1509,"0",B134:B1509,"1 2 4 1 2 12 31111 6 M78 07000*")</f>
        <v>25500</v>
      </c>
      <c r="G133" s="28">
        <f>SUMIFS(G134:G1509,K134:K1509,"0",B134:B1509,"1 2 4 1 2 12 31111 6 M78 07000*")</f>
        <v>0</v>
      </c>
      <c r="H133" s="28">
        <f t="shared" si="1"/>
        <v>45498</v>
      </c>
      <c r="I133" s="28"/>
      <c r="K133" t="s">
        <v>15</v>
      </c>
    </row>
    <row r="134" spans="2:11" ht="13" x14ac:dyDescent="0.15">
      <c r="B134" s="27" t="s">
        <v>225</v>
      </c>
      <c r="C134" s="27" t="s">
        <v>168</v>
      </c>
      <c r="D134" s="28">
        <f>SUMIFS(D135:D1509,K135:K1509,"0",B135:B1509,"1 2 4 1 2 12 31111 6 M78 07000 151*")-SUMIFS(E135:E1509,K135:K1509,"0",B135:B1509,"1 2 4 1 2 12 31111 6 M78 07000 151*")</f>
        <v>19998</v>
      </c>
      <c r="E134" s="29"/>
      <c r="F134" s="28">
        <f>SUMIFS(F135:F1509,K135:K1509,"0",B135:B1509,"1 2 4 1 2 12 31111 6 M78 07000 151*")</f>
        <v>25500</v>
      </c>
      <c r="G134" s="28">
        <f>SUMIFS(G135:G1509,K135:K1509,"0",B135:B1509,"1 2 4 1 2 12 31111 6 M78 07000 151*")</f>
        <v>0</v>
      </c>
      <c r="H134" s="28">
        <f t="shared" si="1"/>
        <v>45498</v>
      </c>
      <c r="I134" s="28"/>
      <c r="K134" t="s">
        <v>15</v>
      </c>
    </row>
    <row r="135" spans="2:11" ht="13" x14ac:dyDescent="0.15">
      <c r="B135" s="27" t="s">
        <v>226</v>
      </c>
      <c r="C135" s="27" t="s">
        <v>170</v>
      </c>
      <c r="D135" s="28">
        <f>SUMIFS(D136:D1509,K136:K1509,"0",B136:B1509,"1 2 4 1 2 12 31111 6 M78 07000 151 00C*")-SUMIFS(E136:E1509,K136:K1509,"0",B136:B1509,"1 2 4 1 2 12 31111 6 M78 07000 151 00C*")</f>
        <v>19998</v>
      </c>
      <c r="E135" s="29"/>
      <c r="F135" s="28">
        <f>SUMIFS(F136:F1509,K136:K1509,"0",B136:B1509,"1 2 4 1 2 12 31111 6 M78 07000 151 00C*")</f>
        <v>25500</v>
      </c>
      <c r="G135" s="28">
        <f>SUMIFS(G136:G1509,K136:K1509,"0",B136:B1509,"1 2 4 1 2 12 31111 6 M78 07000 151 00C*")</f>
        <v>0</v>
      </c>
      <c r="H135" s="28">
        <f t="shared" si="1"/>
        <v>45498</v>
      </c>
      <c r="I135" s="28"/>
      <c r="K135" t="s">
        <v>15</v>
      </c>
    </row>
    <row r="136" spans="2:11" ht="22" x14ac:dyDescent="0.15">
      <c r="B136" s="27" t="s">
        <v>227</v>
      </c>
      <c r="C136" s="27" t="s">
        <v>172</v>
      </c>
      <c r="D136" s="28">
        <f>SUMIFS(D137:D1509,K137:K1509,"0",B137:B1509,"1 2 4 1 2 12 31111 6 M78 07000 151 00C 002*")-SUMIFS(E137:E1509,K137:K1509,"0",B137:B1509,"1 2 4 1 2 12 31111 6 M78 07000 151 00C 002*")</f>
        <v>19998</v>
      </c>
      <c r="E136" s="29"/>
      <c r="F136" s="28">
        <f>SUMIFS(F137:F1509,K137:K1509,"0",B137:B1509,"1 2 4 1 2 12 31111 6 M78 07000 151 00C 002*")</f>
        <v>25500</v>
      </c>
      <c r="G136" s="28">
        <f>SUMIFS(G137:G1509,K137:K1509,"0",B137:B1509,"1 2 4 1 2 12 31111 6 M78 07000 151 00C 002*")</f>
        <v>0</v>
      </c>
      <c r="H136" s="28">
        <f t="shared" si="1"/>
        <v>45498</v>
      </c>
      <c r="I136" s="28"/>
      <c r="K136" t="s">
        <v>15</v>
      </c>
    </row>
    <row r="137" spans="2:11" ht="22" x14ac:dyDescent="0.15">
      <c r="B137" s="27" t="s">
        <v>228</v>
      </c>
      <c r="C137" s="27" t="s">
        <v>229</v>
      </c>
      <c r="D137" s="28">
        <f>SUMIFS(D138:D1509,K138:K1509,"0",B138:B1509,"1 2 4 1 2 12 31111 6 M78 07000 151 00C 002 51201*")-SUMIFS(E138:E1509,K138:K1509,"0",B138:B1509,"1 2 4 1 2 12 31111 6 M78 07000 151 00C 002 51201*")</f>
        <v>19998</v>
      </c>
      <c r="E137" s="29"/>
      <c r="F137" s="28">
        <f>SUMIFS(F138:F1509,K138:K1509,"0",B138:B1509,"1 2 4 1 2 12 31111 6 M78 07000 151 00C 002 51201*")</f>
        <v>25500</v>
      </c>
      <c r="G137" s="28">
        <f>SUMIFS(G138:G1509,K138:K1509,"0",B138:B1509,"1 2 4 1 2 12 31111 6 M78 07000 151 00C 002 51201*")</f>
        <v>0</v>
      </c>
      <c r="H137" s="28">
        <f t="shared" si="1"/>
        <v>45498</v>
      </c>
      <c r="I137" s="28"/>
      <c r="K137" t="s">
        <v>15</v>
      </c>
    </row>
    <row r="138" spans="2:11" ht="22" x14ac:dyDescent="0.15">
      <c r="B138" s="27" t="s">
        <v>230</v>
      </c>
      <c r="C138" s="27" t="s">
        <v>176</v>
      </c>
      <c r="D138" s="28">
        <f>SUMIFS(D139:D1509,K139:K1509,"0",B139:B1509,"1 2 4 1 2 12 31111 6 M78 07000 151 00C 002 51201 015*")-SUMIFS(E139:E1509,K139:K1509,"0",B139:B1509,"1 2 4 1 2 12 31111 6 M78 07000 151 00C 002 51201 015*")</f>
        <v>19998</v>
      </c>
      <c r="E138" s="29"/>
      <c r="F138" s="28">
        <f>SUMIFS(F139:F1509,K139:K1509,"0",B139:B1509,"1 2 4 1 2 12 31111 6 M78 07000 151 00C 002 51201 015*")</f>
        <v>25500</v>
      </c>
      <c r="G138" s="28">
        <f>SUMIFS(G139:G1509,K139:K1509,"0",B139:B1509,"1 2 4 1 2 12 31111 6 M78 07000 151 00C 002 51201 015*")</f>
        <v>0</v>
      </c>
      <c r="H138" s="28">
        <f t="shared" si="1"/>
        <v>45498</v>
      </c>
      <c r="I138" s="28"/>
      <c r="K138" t="s">
        <v>15</v>
      </c>
    </row>
    <row r="139" spans="2:11" ht="22" x14ac:dyDescent="0.15">
      <c r="B139" s="27" t="s">
        <v>231</v>
      </c>
      <c r="C139" s="27" t="s">
        <v>178</v>
      </c>
      <c r="D139" s="28">
        <f>SUMIFS(D140:D1509,K140:K1509,"0",B140:B1509,"1 2 4 1 2 12 31111 6 M78 07000 151 00C 002 51201 015 2112000*")-SUMIFS(E140:E1509,K140:K1509,"0",B140:B1509,"1 2 4 1 2 12 31111 6 M78 07000 151 00C 002 51201 015 2112000*")</f>
        <v>19998</v>
      </c>
      <c r="E139" s="29"/>
      <c r="F139" s="28">
        <f>SUMIFS(F140:F1509,K140:K1509,"0",B140:B1509,"1 2 4 1 2 12 31111 6 M78 07000 151 00C 002 51201 015 2112000*")</f>
        <v>25500</v>
      </c>
      <c r="G139" s="28">
        <f>SUMIFS(G140:G1509,K140:K1509,"0",B140:B1509,"1 2 4 1 2 12 31111 6 M78 07000 151 00C 002 51201 015 2112000*")</f>
        <v>0</v>
      </c>
      <c r="H139" s="28">
        <f t="shared" si="1"/>
        <v>45498</v>
      </c>
      <c r="I139" s="28"/>
      <c r="K139" t="s">
        <v>15</v>
      </c>
    </row>
    <row r="140" spans="2:11" ht="22" x14ac:dyDescent="0.15">
      <c r="B140" s="27" t="s">
        <v>232</v>
      </c>
      <c r="C140" s="27" t="s">
        <v>233</v>
      </c>
      <c r="D140" s="28">
        <f>SUMIFS(D141:D1509,K141:K1509,"0",B141:B1509,"1 2 4 1 2 12 31111 6 M78 07000 151 00C 002 51201 015 2112000 2020*")-SUMIFS(E141:E1509,K141:K1509,"0",B141:B1509,"1 2 4 1 2 12 31111 6 M78 07000 151 00C 002 51201 015 2112000 2020*")</f>
        <v>8999</v>
      </c>
      <c r="E140" s="29"/>
      <c r="F140" s="28">
        <f>SUMIFS(F141:F1509,K141:K1509,"0",B141:B1509,"1 2 4 1 2 12 31111 6 M78 07000 151 00C 002 51201 015 2112000 2020*")</f>
        <v>0</v>
      </c>
      <c r="G140" s="28">
        <f>SUMIFS(G141:G1509,K141:K1509,"0",B141:B1509,"1 2 4 1 2 12 31111 6 M78 07000 151 00C 002 51201 015 2112000 2020*")</f>
        <v>0</v>
      </c>
      <c r="H140" s="28">
        <f t="shared" ref="H140:H203" si="2">D140 + F140 - G140</f>
        <v>8999</v>
      </c>
      <c r="I140" s="28"/>
      <c r="K140" t="s">
        <v>15</v>
      </c>
    </row>
    <row r="141" spans="2:11" ht="22" x14ac:dyDescent="0.15">
      <c r="B141" s="27" t="s">
        <v>234</v>
      </c>
      <c r="C141" s="27" t="s">
        <v>182</v>
      </c>
      <c r="D141" s="28">
        <f>SUMIFS(D142:D1509,K142:K1509,"0",B142:B1509,"1 2 4 1 2 12 31111 6 M78 07000 151 00C 002 51201 015 2112000 2020 00000000*")-SUMIFS(E142:E1509,K142:K1509,"0",B142:B1509,"1 2 4 1 2 12 31111 6 M78 07000 151 00C 002 51201 015 2112000 2020 00000000*")</f>
        <v>8999</v>
      </c>
      <c r="E141" s="29"/>
      <c r="F141" s="28">
        <f>SUMIFS(F142:F1509,K142:K1509,"0",B142:B1509,"1 2 4 1 2 12 31111 6 M78 07000 151 00C 002 51201 015 2112000 2020 00000000*")</f>
        <v>0</v>
      </c>
      <c r="G141" s="28">
        <f>SUMIFS(G142:G1509,K142:K1509,"0",B142:B1509,"1 2 4 1 2 12 31111 6 M78 07000 151 00C 002 51201 015 2112000 2020 00000000*")</f>
        <v>0</v>
      </c>
      <c r="H141" s="28">
        <f t="shared" si="2"/>
        <v>8999</v>
      </c>
      <c r="I141" s="28"/>
      <c r="K141" t="s">
        <v>15</v>
      </c>
    </row>
    <row r="142" spans="2:11" ht="33" x14ac:dyDescent="0.15">
      <c r="B142" s="27" t="s">
        <v>235</v>
      </c>
      <c r="C142" s="27" t="s">
        <v>9</v>
      </c>
      <c r="D142" s="28">
        <f>SUMIFS(D143:D1509,K143:K1509,"0",B143:B1509,"1 2 4 1 2 12 31111 6 M78 07000 151 00C 002 51201 015 2112000 2020 00000000 001*")-SUMIFS(E143:E1509,K143:K1509,"0",B143:B1509,"1 2 4 1 2 12 31111 6 M78 07000 151 00C 002 51201 015 2112000 2020 00000000 001*")</f>
        <v>8999</v>
      </c>
      <c r="E142" s="29"/>
      <c r="F142" s="28">
        <f>SUMIFS(F143:F1509,K143:K1509,"0",B143:B1509,"1 2 4 1 2 12 31111 6 M78 07000 151 00C 002 51201 015 2112000 2020 00000000 001*")</f>
        <v>0</v>
      </c>
      <c r="G142" s="28">
        <f>SUMIFS(G143:G1509,K143:K1509,"0",B143:B1509,"1 2 4 1 2 12 31111 6 M78 07000 151 00C 002 51201 015 2112000 2020 00000000 001*")</f>
        <v>0</v>
      </c>
      <c r="H142" s="28">
        <f t="shared" si="2"/>
        <v>8999</v>
      </c>
      <c r="I142" s="28"/>
      <c r="K142" t="s">
        <v>15</v>
      </c>
    </row>
    <row r="143" spans="2:11" ht="33" x14ac:dyDescent="0.15">
      <c r="B143" s="27" t="s">
        <v>236</v>
      </c>
      <c r="C143" s="27" t="s">
        <v>237</v>
      </c>
      <c r="D143" s="28">
        <f>SUMIFS(D144:D1509,K144:K1509,"0",B144:B1509,"1 2 4 1 2 12 31111 6 M78 07000 151 00C 002 51201 015 2112000 2020 00000000 001 012*")-SUMIFS(E144:E1509,K144:K1509,"0",B144:B1509,"1 2 4 1 2 12 31111 6 M78 07000 151 00C 002 51201 015 2112000 2020 00000000 001 012*")</f>
        <v>8999</v>
      </c>
      <c r="E143" s="29"/>
      <c r="F143" s="28">
        <f>SUMIFS(F144:F1509,K144:K1509,"0",B144:B1509,"1 2 4 1 2 12 31111 6 M78 07000 151 00C 002 51201 015 2112000 2020 00000000 001 012*")</f>
        <v>0</v>
      </c>
      <c r="G143" s="28">
        <f>SUMIFS(G144:G1509,K144:K1509,"0",B144:B1509,"1 2 4 1 2 12 31111 6 M78 07000 151 00C 002 51201 015 2112000 2020 00000000 001 012*")</f>
        <v>0</v>
      </c>
      <c r="H143" s="28">
        <f t="shared" si="2"/>
        <v>8999</v>
      </c>
      <c r="I143" s="28"/>
      <c r="K143" t="s">
        <v>15</v>
      </c>
    </row>
    <row r="144" spans="2:11" ht="33" x14ac:dyDescent="0.15">
      <c r="B144" s="30" t="s">
        <v>238</v>
      </c>
      <c r="C144" s="30" t="s">
        <v>239</v>
      </c>
      <c r="D144" s="31">
        <v>8999</v>
      </c>
      <c r="E144" s="31"/>
      <c r="F144" s="31">
        <v>0</v>
      </c>
      <c r="G144" s="31">
        <v>0</v>
      </c>
      <c r="H144" s="31">
        <f t="shared" si="2"/>
        <v>8999</v>
      </c>
      <c r="I144" s="31"/>
      <c r="K144" t="s">
        <v>38</v>
      </c>
    </row>
    <row r="145" spans="2:11" ht="22" x14ac:dyDescent="0.15">
      <c r="B145" s="27" t="s">
        <v>240</v>
      </c>
      <c r="C145" s="27" t="s">
        <v>241</v>
      </c>
      <c r="D145" s="28">
        <f>SUMIFS(D146:D1509,K146:K1509,"0",B146:B1509,"1 2 4 1 2 12 31111 6 M78 07000 151 00C 002 51201 015 2112000 2021*")-SUMIFS(E146:E1509,K146:K1509,"0",B146:B1509,"1 2 4 1 2 12 31111 6 M78 07000 151 00C 002 51201 015 2112000 2021*")</f>
        <v>10999</v>
      </c>
      <c r="E145" s="29"/>
      <c r="F145" s="28">
        <f>SUMIFS(F146:F1509,K146:K1509,"0",B146:B1509,"1 2 4 1 2 12 31111 6 M78 07000 151 00C 002 51201 015 2112000 2021*")</f>
        <v>0</v>
      </c>
      <c r="G145" s="28">
        <f>SUMIFS(G146:G1509,K146:K1509,"0",B146:B1509,"1 2 4 1 2 12 31111 6 M78 07000 151 00C 002 51201 015 2112000 2021*")</f>
        <v>0</v>
      </c>
      <c r="H145" s="28">
        <f t="shared" si="2"/>
        <v>10999</v>
      </c>
      <c r="I145" s="28"/>
      <c r="K145" t="s">
        <v>15</v>
      </c>
    </row>
    <row r="146" spans="2:11" ht="22" x14ac:dyDescent="0.15">
      <c r="B146" s="27" t="s">
        <v>242</v>
      </c>
      <c r="C146" s="27" t="s">
        <v>182</v>
      </c>
      <c r="D146" s="28">
        <f>SUMIFS(D147:D1509,K147:K1509,"0",B147:B1509,"1 2 4 1 2 12 31111 6 M78 07000 151 00C 002 51201 015 2112000 2021 00000000*")-SUMIFS(E147:E1509,K147:K1509,"0",B147:B1509,"1 2 4 1 2 12 31111 6 M78 07000 151 00C 002 51201 015 2112000 2021 00000000*")</f>
        <v>10999</v>
      </c>
      <c r="E146" s="29"/>
      <c r="F146" s="28">
        <f>SUMIFS(F147:F1509,K147:K1509,"0",B147:B1509,"1 2 4 1 2 12 31111 6 M78 07000 151 00C 002 51201 015 2112000 2021 00000000*")</f>
        <v>0</v>
      </c>
      <c r="G146" s="28">
        <f>SUMIFS(G147:G1509,K147:K1509,"0",B147:B1509,"1 2 4 1 2 12 31111 6 M78 07000 151 00C 002 51201 015 2112000 2021 00000000*")</f>
        <v>0</v>
      </c>
      <c r="H146" s="28">
        <f t="shared" si="2"/>
        <v>10999</v>
      </c>
      <c r="I146" s="28"/>
      <c r="K146" t="s">
        <v>15</v>
      </c>
    </row>
    <row r="147" spans="2:11" ht="33" x14ac:dyDescent="0.15">
      <c r="B147" s="27" t="s">
        <v>243</v>
      </c>
      <c r="C147" s="27" t="s">
        <v>9</v>
      </c>
      <c r="D147" s="28">
        <f>SUMIFS(D148:D1509,K148:K1509,"0",B148:B1509,"1 2 4 1 2 12 31111 6 M78 07000 151 00C 002 51201 015 2112000 2021 00000000 001*")-SUMIFS(E148:E1509,K148:K1509,"0",B148:B1509,"1 2 4 1 2 12 31111 6 M78 07000 151 00C 002 51201 015 2112000 2021 00000000 001*")</f>
        <v>10999</v>
      </c>
      <c r="E147" s="29"/>
      <c r="F147" s="28">
        <f>SUMIFS(F148:F1509,K148:K1509,"0",B148:B1509,"1 2 4 1 2 12 31111 6 M78 07000 151 00C 002 51201 015 2112000 2021 00000000 001*")</f>
        <v>0</v>
      </c>
      <c r="G147" s="28">
        <f>SUMIFS(G148:G1509,K148:K1509,"0",B148:B1509,"1 2 4 1 2 12 31111 6 M78 07000 151 00C 002 51201 015 2112000 2021 00000000 001*")</f>
        <v>0</v>
      </c>
      <c r="H147" s="28">
        <f t="shared" si="2"/>
        <v>10999</v>
      </c>
      <c r="I147" s="28"/>
      <c r="K147" t="s">
        <v>15</v>
      </c>
    </row>
    <row r="148" spans="2:11" ht="33" x14ac:dyDescent="0.15">
      <c r="B148" s="27" t="s">
        <v>244</v>
      </c>
      <c r="C148" s="27" t="s">
        <v>237</v>
      </c>
      <c r="D148" s="28">
        <f>SUMIFS(D149:D1509,K149:K1509,"0",B149:B1509,"1 2 4 1 2 12 31111 6 M78 07000 151 00C 002 51201 015 2112000 2021 00000000 001 012*")-SUMIFS(E149:E1509,K149:K1509,"0",B149:B1509,"1 2 4 1 2 12 31111 6 M78 07000 151 00C 002 51201 015 2112000 2021 00000000 001 012*")</f>
        <v>10999</v>
      </c>
      <c r="E148" s="29"/>
      <c r="F148" s="28">
        <f>SUMIFS(F149:F1509,K149:K1509,"0",B149:B1509,"1 2 4 1 2 12 31111 6 M78 07000 151 00C 002 51201 015 2112000 2021 00000000 001 012*")</f>
        <v>0</v>
      </c>
      <c r="G148" s="28">
        <f>SUMIFS(G149:G1509,K149:K1509,"0",B149:B1509,"1 2 4 1 2 12 31111 6 M78 07000 151 00C 002 51201 015 2112000 2021 00000000 001 012*")</f>
        <v>0</v>
      </c>
      <c r="H148" s="28">
        <f t="shared" si="2"/>
        <v>10999</v>
      </c>
      <c r="I148" s="28"/>
      <c r="K148" t="s">
        <v>15</v>
      </c>
    </row>
    <row r="149" spans="2:11" ht="33" x14ac:dyDescent="0.15">
      <c r="B149" s="30" t="s">
        <v>245</v>
      </c>
      <c r="C149" s="30" t="s">
        <v>246</v>
      </c>
      <c r="D149" s="31">
        <v>10999</v>
      </c>
      <c r="E149" s="31"/>
      <c r="F149" s="31">
        <v>0</v>
      </c>
      <c r="G149" s="31">
        <v>0</v>
      </c>
      <c r="H149" s="31">
        <f t="shared" si="2"/>
        <v>10999</v>
      </c>
      <c r="I149" s="31"/>
      <c r="K149" t="s">
        <v>38</v>
      </c>
    </row>
    <row r="150" spans="2:11" ht="22" x14ac:dyDescent="0.15">
      <c r="B150" s="27" t="s">
        <v>247</v>
      </c>
      <c r="C150" s="27" t="s">
        <v>248</v>
      </c>
      <c r="D150" s="28">
        <f>SUMIFS(D151:D1509,K151:K1509,"0",B151:B1509,"1 2 4 1 2 12 31111 6 M78 07000 151 00C 002 51201 015 2112000 2024*")-SUMIFS(E151:E1509,K151:K1509,"0",B151:B1509,"1 2 4 1 2 12 31111 6 M78 07000 151 00C 002 51201 015 2112000 2024*")</f>
        <v>0</v>
      </c>
      <c r="E150" s="29"/>
      <c r="F150" s="28">
        <f>SUMIFS(F151:F1509,K151:K1509,"0",B151:B1509,"1 2 4 1 2 12 31111 6 M78 07000 151 00C 002 51201 015 2112000 2024*")</f>
        <v>25500</v>
      </c>
      <c r="G150" s="28">
        <f>SUMIFS(G151:G1509,K151:K1509,"0",B151:B1509,"1 2 4 1 2 12 31111 6 M78 07000 151 00C 002 51201 015 2112000 2024*")</f>
        <v>0</v>
      </c>
      <c r="H150" s="28">
        <f t="shared" si="2"/>
        <v>25500</v>
      </c>
      <c r="I150" s="28"/>
      <c r="K150" t="s">
        <v>15</v>
      </c>
    </row>
    <row r="151" spans="2:11" ht="22" x14ac:dyDescent="0.15">
      <c r="B151" s="27" t="s">
        <v>249</v>
      </c>
      <c r="C151" s="27" t="s">
        <v>182</v>
      </c>
      <c r="D151" s="28">
        <f>SUMIFS(D152:D1509,K152:K1509,"0",B152:B1509,"1 2 4 1 2 12 31111 6 M78 07000 151 00C 002 51201 015 2112000 2024 00000000*")-SUMIFS(E152:E1509,K152:K1509,"0",B152:B1509,"1 2 4 1 2 12 31111 6 M78 07000 151 00C 002 51201 015 2112000 2024 00000000*")</f>
        <v>0</v>
      </c>
      <c r="E151" s="29"/>
      <c r="F151" s="28">
        <f>SUMIFS(F152:F1509,K152:K1509,"0",B152:B1509,"1 2 4 1 2 12 31111 6 M78 07000 151 00C 002 51201 015 2112000 2024 00000000*")</f>
        <v>25500</v>
      </c>
      <c r="G151" s="28">
        <f>SUMIFS(G152:G1509,K152:K1509,"0",B152:B1509,"1 2 4 1 2 12 31111 6 M78 07000 151 00C 002 51201 015 2112000 2024 00000000*")</f>
        <v>0</v>
      </c>
      <c r="H151" s="28">
        <f t="shared" si="2"/>
        <v>25500</v>
      </c>
      <c r="I151" s="28"/>
      <c r="K151" t="s">
        <v>15</v>
      </c>
    </row>
    <row r="152" spans="2:11" ht="33" x14ac:dyDescent="0.15">
      <c r="B152" s="27" t="s">
        <v>250</v>
      </c>
      <c r="C152" s="27" t="s">
        <v>9</v>
      </c>
      <c r="D152" s="28">
        <f>SUMIFS(D153:D1509,K153:K1509,"0",B153:B1509,"1 2 4 1 2 12 31111 6 M78 07000 151 00C 002 51201 015 2112000 2024 00000000 001*")-SUMIFS(E153:E1509,K153:K1509,"0",B153:B1509,"1 2 4 1 2 12 31111 6 M78 07000 151 00C 002 51201 015 2112000 2024 00000000 001*")</f>
        <v>0</v>
      </c>
      <c r="E152" s="29"/>
      <c r="F152" s="28">
        <f>SUMIFS(F153:F1509,K153:K1509,"0",B153:B1509,"1 2 4 1 2 12 31111 6 M78 07000 151 00C 002 51201 015 2112000 2024 00000000 001*")</f>
        <v>25500</v>
      </c>
      <c r="G152" s="28">
        <f>SUMIFS(G153:G1509,K153:K1509,"0",B153:B1509,"1 2 4 1 2 12 31111 6 M78 07000 151 00C 002 51201 015 2112000 2024 00000000 001*")</f>
        <v>0</v>
      </c>
      <c r="H152" s="28">
        <f t="shared" si="2"/>
        <v>25500</v>
      </c>
      <c r="I152" s="28"/>
      <c r="K152" t="s">
        <v>15</v>
      </c>
    </row>
    <row r="153" spans="2:11" ht="33" x14ac:dyDescent="0.15">
      <c r="B153" s="27" t="s">
        <v>251</v>
      </c>
      <c r="C153" s="27" t="s">
        <v>237</v>
      </c>
      <c r="D153" s="28">
        <f>SUMIFS(D154:D1509,K154:K1509,"0",B154:B1509,"1 2 4 1 2 12 31111 6 M78 07000 151 00C 002 51201 015 2112000 2024 00000000 001 012*")-SUMIFS(E154:E1509,K154:K1509,"0",B154:B1509,"1 2 4 1 2 12 31111 6 M78 07000 151 00C 002 51201 015 2112000 2024 00000000 001 012*")</f>
        <v>0</v>
      </c>
      <c r="E153" s="29"/>
      <c r="F153" s="28">
        <f>SUMIFS(F154:F1509,K154:K1509,"0",B154:B1509,"1 2 4 1 2 12 31111 6 M78 07000 151 00C 002 51201 015 2112000 2024 00000000 001 012*")</f>
        <v>25500</v>
      </c>
      <c r="G153" s="28">
        <f>SUMIFS(G154:G1509,K154:K1509,"0",B154:B1509,"1 2 4 1 2 12 31111 6 M78 07000 151 00C 002 51201 015 2112000 2024 00000000 001 012*")</f>
        <v>0</v>
      </c>
      <c r="H153" s="28">
        <f t="shared" si="2"/>
        <v>25500</v>
      </c>
      <c r="I153" s="28"/>
      <c r="K153" t="s">
        <v>15</v>
      </c>
    </row>
    <row r="154" spans="2:11" ht="33" x14ac:dyDescent="0.15">
      <c r="B154" s="30" t="s">
        <v>252</v>
      </c>
      <c r="C154" s="30" t="s">
        <v>253</v>
      </c>
      <c r="D154" s="31">
        <v>0</v>
      </c>
      <c r="E154" s="31"/>
      <c r="F154" s="31">
        <v>8500</v>
      </c>
      <c r="G154" s="31">
        <v>0</v>
      </c>
      <c r="H154" s="31">
        <f t="shared" si="2"/>
        <v>8500</v>
      </c>
      <c r="I154" s="31"/>
      <c r="K154" t="s">
        <v>38</v>
      </c>
    </row>
    <row r="155" spans="2:11" ht="33" x14ac:dyDescent="0.15">
      <c r="B155" s="30" t="s">
        <v>254</v>
      </c>
      <c r="C155" s="30" t="s">
        <v>255</v>
      </c>
      <c r="D155" s="31">
        <v>0</v>
      </c>
      <c r="E155" s="31"/>
      <c r="F155" s="31">
        <v>8500</v>
      </c>
      <c r="G155" s="31">
        <v>0</v>
      </c>
      <c r="H155" s="31">
        <f t="shared" si="2"/>
        <v>8500</v>
      </c>
      <c r="I155" s="31"/>
      <c r="K155" t="s">
        <v>38</v>
      </c>
    </row>
    <row r="156" spans="2:11" ht="33" x14ac:dyDescent="0.15">
      <c r="B156" s="30" t="s">
        <v>256</v>
      </c>
      <c r="C156" s="30" t="s">
        <v>257</v>
      </c>
      <c r="D156" s="31">
        <v>0</v>
      </c>
      <c r="E156" s="31"/>
      <c r="F156" s="31">
        <v>8500</v>
      </c>
      <c r="G156" s="31">
        <v>0</v>
      </c>
      <c r="H156" s="31">
        <f t="shared" si="2"/>
        <v>8500</v>
      </c>
      <c r="I156" s="31"/>
      <c r="K156" t="s">
        <v>38</v>
      </c>
    </row>
    <row r="157" spans="2:11" ht="13" x14ac:dyDescent="0.15">
      <c r="B157" s="27" t="s">
        <v>258</v>
      </c>
      <c r="C157" s="27" t="s">
        <v>259</v>
      </c>
      <c r="D157" s="28">
        <f>SUMIFS(D158:D1509,K158:K1509,"0",B158:B1509,"1 2 4 1 3*")-SUMIFS(E158:E1509,K158:K1509,"0",B158:B1509,"1 2 4 1 3*")</f>
        <v>93686.78</v>
      </c>
      <c r="E157" s="29"/>
      <c r="F157" s="28">
        <f>SUMIFS(F158:F1509,K158:K1509,"0",B158:B1509,"1 2 4 1 3*")</f>
        <v>138186</v>
      </c>
      <c r="G157" s="28">
        <f>SUMIFS(G158:G1509,K158:K1509,"0",B158:B1509,"1 2 4 1 3*")</f>
        <v>0</v>
      </c>
      <c r="H157" s="28">
        <f t="shared" si="2"/>
        <v>231872.78</v>
      </c>
      <c r="I157" s="28"/>
      <c r="K157" t="s">
        <v>15</v>
      </c>
    </row>
    <row r="158" spans="2:11" ht="13" x14ac:dyDescent="0.15">
      <c r="B158" s="27" t="s">
        <v>260</v>
      </c>
      <c r="C158" s="27" t="s">
        <v>26</v>
      </c>
      <c r="D158" s="28">
        <f>SUMIFS(D159:D1509,K159:K1509,"0",B159:B1509,"1 2 4 1 3 12*")-SUMIFS(E159:E1509,K159:K1509,"0",B159:B1509,"1 2 4 1 3 12*")</f>
        <v>93686.78</v>
      </c>
      <c r="E158" s="29"/>
      <c r="F158" s="28">
        <f>SUMIFS(F159:F1509,K159:K1509,"0",B159:B1509,"1 2 4 1 3 12*")</f>
        <v>138186</v>
      </c>
      <c r="G158" s="28">
        <f>SUMIFS(G159:G1509,K159:K1509,"0",B159:B1509,"1 2 4 1 3 12*")</f>
        <v>0</v>
      </c>
      <c r="H158" s="28">
        <f t="shared" si="2"/>
        <v>231872.78</v>
      </c>
      <c r="I158" s="28"/>
      <c r="K158" t="s">
        <v>15</v>
      </c>
    </row>
    <row r="159" spans="2:11" ht="13" x14ac:dyDescent="0.15">
      <c r="B159" s="27" t="s">
        <v>261</v>
      </c>
      <c r="C159" s="27" t="s">
        <v>28</v>
      </c>
      <c r="D159" s="28">
        <f>SUMIFS(D160:D1509,K160:K1509,"0",B160:B1509,"1 2 4 1 3 12 31111*")-SUMIFS(E160:E1509,K160:K1509,"0",B160:B1509,"1 2 4 1 3 12 31111*")</f>
        <v>93686.78</v>
      </c>
      <c r="E159" s="29"/>
      <c r="F159" s="28">
        <f>SUMIFS(F160:F1509,K160:K1509,"0",B160:B1509,"1 2 4 1 3 12 31111*")</f>
        <v>138186</v>
      </c>
      <c r="G159" s="28">
        <f>SUMIFS(G160:G1509,K160:K1509,"0",B160:B1509,"1 2 4 1 3 12 31111*")</f>
        <v>0</v>
      </c>
      <c r="H159" s="28">
        <f t="shared" si="2"/>
        <v>231872.78</v>
      </c>
      <c r="I159" s="28"/>
      <c r="K159" t="s">
        <v>15</v>
      </c>
    </row>
    <row r="160" spans="2:11" ht="13" x14ac:dyDescent="0.15">
      <c r="B160" s="27" t="s">
        <v>262</v>
      </c>
      <c r="C160" s="27" t="s">
        <v>30</v>
      </c>
      <c r="D160" s="28">
        <f>SUMIFS(D161:D1509,K161:K1509,"0",B161:B1509,"1 2 4 1 3 12 31111 6*")-SUMIFS(E161:E1509,K161:K1509,"0",B161:B1509,"1 2 4 1 3 12 31111 6*")</f>
        <v>93686.78</v>
      </c>
      <c r="E160" s="29"/>
      <c r="F160" s="28">
        <f>SUMIFS(F161:F1509,K161:K1509,"0",B161:B1509,"1 2 4 1 3 12 31111 6*")</f>
        <v>138186</v>
      </c>
      <c r="G160" s="28">
        <f>SUMIFS(G161:G1509,K161:K1509,"0",B161:B1509,"1 2 4 1 3 12 31111 6*")</f>
        <v>0</v>
      </c>
      <c r="H160" s="28">
        <f t="shared" si="2"/>
        <v>231872.78</v>
      </c>
      <c r="I160" s="28"/>
      <c r="K160" t="s">
        <v>15</v>
      </c>
    </row>
    <row r="161" spans="2:11" ht="13" x14ac:dyDescent="0.15">
      <c r="B161" s="27" t="s">
        <v>263</v>
      </c>
      <c r="C161" s="27" t="s">
        <v>32</v>
      </c>
      <c r="D161" s="28">
        <f>SUMIFS(D162:D1509,K162:K1509,"0",B162:B1509,"1 2 4 1 3 12 31111 6 M78*")-SUMIFS(E162:E1509,K162:K1509,"0",B162:B1509,"1 2 4 1 3 12 31111 6 M78*")</f>
        <v>93686.78</v>
      </c>
      <c r="E161" s="29"/>
      <c r="F161" s="28">
        <f>SUMIFS(F162:F1509,K162:K1509,"0",B162:B1509,"1 2 4 1 3 12 31111 6 M78*")</f>
        <v>138186</v>
      </c>
      <c r="G161" s="28">
        <f>SUMIFS(G162:G1509,K162:K1509,"0",B162:B1509,"1 2 4 1 3 12 31111 6 M78*")</f>
        <v>0</v>
      </c>
      <c r="H161" s="28">
        <f t="shared" si="2"/>
        <v>231872.78</v>
      </c>
      <c r="I161" s="28"/>
      <c r="K161" t="s">
        <v>15</v>
      </c>
    </row>
    <row r="162" spans="2:11" ht="13" x14ac:dyDescent="0.15">
      <c r="B162" s="27" t="s">
        <v>264</v>
      </c>
      <c r="C162" s="27" t="s">
        <v>136</v>
      </c>
      <c r="D162" s="28">
        <f>SUMIFS(D163:D1509,K163:K1509,"0",B163:B1509,"1 2 4 1 3 12 31111 6 M78 00000*")-SUMIFS(E163:E1509,K163:K1509,"0",B163:B1509,"1 2 4 1 3 12 31111 6 M78 00000*")</f>
        <v>64311.78</v>
      </c>
      <c r="E162" s="29"/>
      <c r="F162" s="28">
        <f>SUMIFS(F163:F1509,K163:K1509,"0",B163:B1509,"1 2 4 1 3 12 31111 6 M78 00000*")</f>
        <v>0</v>
      </c>
      <c r="G162" s="28">
        <f>SUMIFS(G163:G1509,K163:K1509,"0",B163:B1509,"1 2 4 1 3 12 31111 6 M78 00000*")</f>
        <v>0</v>
      </c>
      <c r="H162" s="28">
        <f t="shared" si="2"/>
        <v>64311.78</v>
      </c>
      <c r="I162" s="28"/>
      <c r="K162" t="s">
        <v>15</v>
      </c>
    </row>
    <row r="163" spans="2:11" ht="13" x14ac:dyDescent="0.15">
      <c r="B163" s="27" t="s">
        <v>265</v>
      </c>
      <c r="C163" s="27" t="s">
        <v>266</v>
      </c>
      <c r="D163" s="28">
        <f>SUMIFS(D164:D1509,K164:K1509,"0",B164:B1509,"1 2 4 1 3 12 31111 6 M78 00000 001*")-SUMIFS(E164:E1509,K164:K1509,"0",B164:B1509,"1 2 4 1 3 12 31111 6 M78 00000 001*")</f>
        <v>64311.78</v>
      </c>
      <c r="E163" s="29"/>
      <c r="F163" s="28">
        <f>SUMIFS(F164:F1509,K164:K1509,"0",B164:B1509,"1 2 4 1 3 12 31111 6 M78 00000 001*")</f>
        <v>0</v>
      </c>
      <c r="G163" s="28">
        <f>SUMIFS(G164:G1509,K164:K1509,"0",B164:B1509,"1 2 4 1 3 12 31111 6 M78 00000 001*")</f>
        <v>0</v>
      </c>
      <c r="H163" s="28">
        <f t="shared" si="2"/>
        <v>64311.78</v>
      </c>
      <c r="I163" s="28"/>
      <c r="K163" t="s">
        <v>15</v>
      </c>
    </row>
    <row r="164" spans="2:11" ht="13" x14ac:dyDescent="0.15">
      <c r="B164" s="27" t="s">
        <v>267</v>
      </c>
      <c r="C164" s="27" t="s">
        <v>139</v>
      </c>
      <c r="D164" s="28">
        <f>SUMIFS(D165:D1509,K165:K1509,"0",B165:B1509,"1 2 4 1 3 12 31111 6 M78 00000 001 001*")-SUMIFS(E165:E1509,K165:K1509,"0",B165:B1509,"1 2 4 1 3 12 31111 6 M78 00000 001 001*")</f>
        <v>64311.78</v>
      </c>
      <c r="E164" s="29"/>
      <c r="F164" s="28">
        <f>SUMIFS(F165:F1509,K165:K1509,"0",B165:B1509,"1 2 4 1 3 12 31111 6 M78 00000 001 001*")</f>
        <v>0</v>
      </c>
      <c r="G164" s="28">
        <f>SUMIFS(G165:G1509,K165:K1509,"0",B165:B1509,"1 2 4 1 3 12 31111 6 M78 00000 001 001*")</f>
        <v>0</v>
      </c>
      <c r="H164" s="28">
        <f t="shared" si="2"/>
        <v>64311.78</v>
      </c>
      <c r="I164" s="28"/>
      <c r="K164" t="s">
        <v>15</v>
      </c>
    </row>
    <row r="165" spans="2:11" ht="22" x14ac:dyDescent="0.15">
      <c r="B165" s="27" t="s">
        <v>268</v>
      </c>
      <c r="C165" s="27" t="s">
        <v>150</v>
      </c>
      <c r="D165" s="28">
        <f>SUMIFS(D166:D1509,K166:K1509,"0",B166:B1509,"1 2 4 1 3 12 31111 6 M78 00000 001 001 004*")-SUMIFS(E166:E1509,K166:K1509,"0",B166:B1509,"1 2 4 1 3 12 31111 6 M78 00000 001 001 004*")</f>
        <v>23712.780000000002</v>
      </c>
      <c r="E165" s="29"/>
      <c r="F165" s="28">
        <f>SUMIFS(F166:F1509,K166:K1509,"0",B166:B1509,"1 2 4 1 3 12 31111 6 M78 00000 001 001 004*")</f>
        <v>0</v>
      </c>
      <c r="G165" s="28">
        <f>SUMIFS(G166:G1509,K166:K1509,"0",B166:B1509,"1 2 4 1 3 12 31111 6 M78 00000 001 001 004*")</f>
        <v>0</v>
      </c>
      <c r="H165" s="28">
        <f t="shared" si="2"/>
        <v>23712.780000000002</v>
      </c>
      <c r="I165" s="28"/>
      <c r="K165" t="s">
        <v>15</v>
      </c>
    </row>
    <row r="166" spans="2:11" ht="22" x14ac:dyDescent="0.15">
      <c r="B166" s="30" t="s">
        <v>269</v>
      </c>
      <c r="C166" s="30" t="s">
        <v>270</v>
      </c>
      <c r="D166" s="31">
        <v>3001</v>
      </c>
      <c r="E166" s="31"/>
      <c r="F166" s="31">
        <v>0</v>
      </c>
      <c r="G166" s="31">
        <v>0</v>
      </c>
      <c r="H166" s="31">
        <f t="shared" si="2"/>
        <v>3001</v>
      </c>
      <c r="I166" s="31"/>
      <c r="K166" t="s">
        <v>38</v>
      </c>
    </row>
    <row r="167" spans="2:11" ht="22" x14ac:dyDescent="0.15">
      <c r="B167" s="30" t="s">
        <v>271</v>
      </c>
      <c r="C167" s="30" t="s">
        <v>272</v>
      </c>
      <c r="D167" s="31">
        <v>6251.22</v>
      </c>
      <c r="E167" s="31"/>
      <c r="F167" s="31">
        <v>0</v>
      </c>
      <c r="G167" s="31">
        <v>0</v>
      </c>
      <c r="H167" s="31">
        <f t="shared" si="2"/>
        <v>6251.22</v>
      </c>
      <c r="I167" s="31"/>
      <c r="K167" t="s">
        <v>38</v>
      </c>
    </row>
    <row r="168" spans="2:11" ht="22" x14ac:dyDescent="0.15">
      <c r="B168" s="30" t="s">
        <v>273</v>
      </c>
      <c r="C168" s="30" t="s">
        <v>272</v>
      </c>
      <c r="D168" s="31">
        <v>6251.22</v>
      </c>
      <c r="E168" s="31"/>
      <c r="F168" s="31">
        <v>0</v>
      </c>
      <c r="G168" s="31">
        <v>0</v>
      </c>
      <c r="H168" s="31">
        <f t="shared" si="2"/>
        <v>6251.22</v>
      </c>
      <c r="I168" s="31"/>
      <c r="K168" t="s">
        <v>38</v>
      </c>
    </row>
    <row r="169" spans="2:11" ht="22" x14ac:dyDescent="0.15">
      <c r="B169" s="30" t="s">
        <v>274</v>
      </c>
      <c r="C169" s="30" t="s">
        <v>275</v>
      </c>
      <c r="D169" s="31">
        <v>2989.34</v>
      </c>
      <c r="E169" s="31"/>
      <c r="F169" s="31">
        <v>0</v>
      </c>
      <c r="G169" s="31">
        <v>0</v>
      </c>
      <c r="H169" s="31">
        <f t="shared" si="2"/>
        <v>2989.34</v>
      </c>
      <c r="I169" s="31"/>
      <c r="K169" t="s">
        <v>38</v>
      </c>
    </row>
    <row r="170" spans="2:11" ht="22" x14ac:dyDescent="0.15">
      <c r="B170" s="30" t="s">
        <v>276</v>
      </c>
      <c r="C170" s="30" t="s">
        <v>277</v>
      </c>
      <c r="D170" s="31">
        <v>5220</v>
      </c>
      <c r="E170" s="31"/>
      <c r="F170" s="31">
        <v>0</v>
      </c>
      <c r="G170" s="31">
        <v>0</v>
      </c>
      <c r="H170" s="31">
        <f t="shared" si="2"/>
        <v>5220</v>
      </c>
      <c r="I170" s="31"/>
      <c r="K170" t="s">
        <v>38</v>
      </c>
    </row>
    <row r="171" spans="2:11" ht="22" x14ac:dyDescent="0.15">
      <c r="B171" s="27" t="s">
        <v>278</v>
      </c>
      <c r="C171" s="27" t="s">
        <v>160</v>
      </c>
      <c r="D171" s="28">
        <f>SUMIFS(D172:D1509,K172:K1509,"0",B172:B1509,"1 2 4 1 3 12 31111 6 M78 00000 001 001 005*")-SUMIFS(E172:E1509,K172:K1509,"0",B172:B1509,"1 2 4 1 3 12 31111 6 M78 00000 001 001 005*")</f>
        <v>20300</v>
      </c>
      <c r="E171" s="29"/>
      <c r="F171" s="28">
        <f>SUMIFS(F172:F1509,K172:K1509,"0",B172:B1509,"1 2 4 1 3 12 31111 6 M78 00000 001 001 005*")</f>
        <v>0</v>
      </c>
      <c r="G171" s="28">
        <f>SUMIFS(G172:G1509,K172:K1509,"0",B172:B1509,"1 2 4 1 3 12 31111 6 M78 00000 001 001 005*")</f>
        <v>0</v>
      </c>
      <c r="H171" s="28">
        <f t="shared" si="2"/>
        <v>20300</v>
      </c>
      <c r="I171" s="28"/>
      <c r="K171" t="s">
        <v>15</v>
      </c>
    </row>
    <row r="172" spans="2:11" ht="22" x14ac:dyDescent="0.15">
      <c r="B172" s="30" t="s">
        <v>279</v>
      </c>
      <c r="C172" s="30" t="s">
        <v>280</v>
      </c>
      <c r="D172" s="31">
        <v>20300</v>
      </c>
      <c r="E172" s="31"/>
      <c r="F172" s="31">
        <v>0</v>
      </c>
      <c r="G172" s="31">
        <v>0</v>
      </c>
      <c r="H172" s="31">
        <f t="shared" si="2"/>
        <v>20300</v>
      </c>
      <c r="I172" s="31"/>
      <c r="K172" t="s">
        <v>38</v>
      </c>
    </row>
    <row r="173" spans="2:11" ht="22" x14ac:dyDescent="0.15">
      <c r="B173" s="27" t="s">
        <v>281</v>
      </c>
      <c r="C173" s="27" t="s">
        <v>237</v>
      </c>
      <c r="D173" s="28">
        <f>SUMIFS(D174:D1509,K174:K1509,"0",B174:B1509,"1 2 4 1 3 12 31111 6 M78 00000 001 001 006*")-SUMIFS(E174:E1509,K174:K1509,"0",B174:B1509,"1 2 4 1 3 12 31111 6 M78 00000 001 001 006*")</f>
        <v>20299</v>
      </c>
      <c r="E173" s="29"/>
      <c r="F173" s="28">
        <f>SUMIFS(F174:F1509,K174:K1509,"0",B174:B1509,"1 2 4 1 3 12 31111 6 M78 00000 001 001 006*")</f>
        <v>0</v>
      </c>
      <c r="G173" s="28">
        <f>SUMIFS(G174:G1509,K174:K1509,"0",B174:B1509,"1 2 4 1 3 12 31111 6 M78 00000 001 001 006*")</f>
        <v>0</v>
      </c>
      <c r="H173" s="28">
        <f t="shared" si="2"/>
        <v>20299</v>
      </c>
      <c r="I173" s="28"/>
      <c r="K173" t="s">
        <v>15</v>
      </c>
    </row>
    <row r="174" spans="2:11" ht="22" x14ac:dyDescent="0.15">
      <c r="B174" s="30" t="s">
        <v>282</v>
      </c>
      <c r="C174" s="30" t="s">
        <v>283</v>
      </c>
      <c r="D174" s="31">
        <v>20299</v>
      </c>
      <c r="E174" s="31"/>
      <c r="F174" s="31">
        <v>0</v>
      </c>
      <c r="G174" s="31">
        <v>0</v>
      </c>
      <c r="H174" s="31">
        <f t="shared" si="2"/>
        <v>20299</v>
      </c>
      <c r="I174" s="31"/>
      <c r="K174" t="s">
        <v>38</v>
      </c>
    </row>
    <row r="175" spans="2:11" ht="13" x14ac:dyDescent="0.15">
      <c r="B175" s="27" t="s">
        <v>284</v>
      </c>
      <c r="C175" s="27" t="s">
        <v>8</v>
      </c>
      <c r="D175" s="28">
        <f>SUMIFS(D176:D1509,K176:K1509,"0",B176:B1509,"1 2 4 1 3 12 31111 6 M78 07000*")-SUMIFS(E176:E1509,K176:K1509,"0",B176:B1509,"1 2 4 1 3 12 31111 6 M78 07000*")</f>
        <v>29375</v>
      </c>
      <c r="E175" s="29"/>
      <c r="F175" s="28">
        <f>SUMIFS(F176:F1509,K176:K1509,"0",B176:B1509,"1 2 4 1 3 12 31111 6 M78 07000*")</f>
        <v>138186</v>
      </c>
      <c r="G175" s="28">
        <f>SUMIFS(G176:G1509,K176:K1509,"0",B176:B1509,"1 2 4 1 3 12 31111 6 M78 07000*")</f>
        <v>0</v>
      </c>
      <c r="H175" s="28">
        <f t="shared" si="2"/>
        <v>167561</v>
      </c>
      <c r="I175" s="28"/>
      <c r="K175" t="s">
        <v>15</v>
      </c>
    </row>
    <row r="176" spans="2:11" ht="13" x14ac:dyDescent="0.15">
      <c r="B176" s="27" t="s">
        <v>285</v>
      </c>
      <c r="C176" s="27" t="s">
        <v>168</v>
      </c>
      <c r="D176" s="28">
        <f>SUMIFS(D177:D1509,K177:K1509,"0",B177:B1509,"1 2 4 1 3 12 31111 6 M78 07000 151*")-SUMIFS(E177:E1509,K177:K1509,"0",B177:B1509,"1 2 4 1 3 12 31111 6 M78 07000 151*")</f>
        <v>29375</v>
      </c>
      <c r="E176" s="29"/>
      <c r="F176" s="28">
        <f>SUMIFS(F177:F1509,K177:K1509,"0",B177:B1509,"1 2 4 1 3 12 31111 6 M78 07000 151*")</f>
        <v>138186</v>
      </c>
      <c r="G176" s="28">
        <f>SUMIFS(G177:G1509,K177:K1509,"0",B177:B1509,"1 2 4 1 3 12 31111 6 M78 07000 151*")</f>
        <v>0</v>
      </c>
      <c r="H176" s="28">
        <f t="shared" si="2"/>
        <v>167561</v>
      </c>
      <c r="I176" s="28"/>
      <c r="K176" t="s">
        <v>15</v>
      </c>
    </row>
    <row r="177" spans="2:11" ht="13" x14ac:dyDescent="0.15">
      <c r="B177" s="27" t="s">
        <v>286</v>
      </c>
      <c r="C177" s="27" t="s">
        <v>170</v>
      </c>
      <c r="D177" s="28">
        <f>SUMIFS(D178:D1509,K178:K1509,"0",B178:B1509,"1 2 4 1 3 12 31111 6 M78 07000 151 00C*")-SUMIFS(E178:E1509,K178:K1509,"0",B178:B1509,"1 2 4 1 3 12 31111 6 M78 07000 151 00C*")</f>
        <v>29375</v>
      </c>
      <c r="E177" s="29"/>
      <c r="F177" s="28">
        <f>SUMIFS(F178:F1509,K178:K1509,"0",B178:B1509,"1 2 4 1 3 12 31111 6 M78 07000 151 00C*")</f>
        <v>138186</v>
      </c>
      <c r="G177" s="28">
        <f>SUMIFS(G178:G1509,K178:K1509,"0",B178:B1509,"1 2 4 1 3 12 31111 6 M78 07000 151 00C*")</f>
        <v>0</v>
      </c>
      <c r="H177" s="28">
        <f t="shared" si="2"/>
        <v>167561</v>
      </c>
      <c r="I177" s="28"/>
      <c r="K177" t="s">
        <v>15</v>
      </c>
    </row>
    <row r="178" spans="2:11" ht="22" x14ac:dyDescent="0.15">
      <c r="B178" s="27" t="s">
        <v>287</v>
      </c>
      <c r="C178" s="27" t="s">
        <v>172</v>
      </c>
      <c r="D178" s="28">
        <f>SUMIFS(D179:D1509,K179:K1509,"0",B179:B1509,"1 2 4 1 3 12 31111 6 M78 07000 151 00C 002*")-SUMIFS(E179:E1509,K179:K1509,"0",B179:B1509,"1 2 4 1 3 12 31111 6 M78 07000 151 00C 002*")</f>
        <v>29375</v>
      </c>
      <c r="E178" s="29"/>
      <c r="F178" s="28">
        <f>SUMIFS(F179:F1509,K179:K1509,"0",B179:B1509,"1 2 4 1 3 12 31111 6 M78 07000 151 00C 002*")</f>
        <v>138186</v>
      </c>
      <c r="G178" s="28">
        <f>SUMIFS(G179:G1509,K179:K1509,"0",B179:B1509,"1 2 4 1 3 12 31111 6 M78 07000 151 00C 002*")</f>
        <v>0</v>
      </c>
      <c r="H178" s="28">
        <f t="shared" si="2"/>
        <v>167561</v>
      </c>
      <c r="I178" s="28"/>
      <c r="K178" t="s">
        <v>15</v>
      </c>
    </row>
    <row r="179" spans="2:11" ht="22" x14ac:dyDescent="0.15">
      <c r="B179" s="27" t="s">
        <v>288</v>
      </c>
      <c r="C179" s="27" t="s">
        <v>289</v>
      </c>
      <c r="D179" s="28">
        <f>SUMIFS(D180:D1509,K180:K1509,"0",B180:B1509,"1 2 4 1 3 12 31111 6 M78 07000 151 00C 002 51501*")-SUMIFS(E180:E1509,K180:K1509,"0",B180:B1509,"1 2 4 1 3 12 31111 6 M78 07000 151 00C 002 51501*")</f>
        <v>29375</v>
      </c>
      <c r="E179" s="29"/>
      <c r="F179" s="28">
        <f>SUMIFS(F180:F1509,K180:K1509,"0",B180:B1509,"1 2 4 1 3 12 31111 6 M78 07000 151 00C 002 51501*")</f>
        <v>138186</v>
      </c>
      <c r="G179" s="28">
        <f>SUMIFS(G180:G1509,K180:K1509,"0",B180:B1509,"1 2 4 1 3 12 31111 6 M78 07000 151 00C 002 51501*")</f>
        <v>0</v>
      </c>
      <c r="H179" s="28">
        <f t="shared" si="2"/>
        <v>167561</v>
      </c>
      <c r="I179" s="28"/>
      <c r="K179" t="s">
        <v>15</v>
      </c>
    </row>
    <row r="180" spans="2:11" ht="22" x14ac:dyDescent="0.15">
      <c r="B180" s="27" t="s">
        <v>290</v>
      </c>
      <c r="C180" s="27" t="s">
        <v>176</v>
      </c>
      <c r="D180" s="28">
        <f>SUMIFS(D181:D1509,K181:K1509,"0",B181:B1509,"1 2 4 1 3 12 31111 6 M78 07000 151 00C 002 51501 015*")-SUMIFS(E181:E1509,K181:K1509,"0",B181:B1509,"1 2 4 1 3 12 31111 6 M78 07000 151 00C 002 51501 015*")</f>
        <v>29375</v>
      </c>
      <c r="E180" s="29"/>
      <c r="F180" s="28">
        <f>SUMIFS(F181:F1509,K181:K1509,"0",B181:B1509,"1 2 4 1 3 12 31111 6 M78 07000 151 00C 002 51501 015*")</f>
        <v>138186</v>
      </c>
      <c r="G180" s="28">
        <f>SUMIFS(G181:G1509,K181:K1509,"0",B181:B1509,"1 2 4 1 3 12 31111 6 M78 07000 151 00C 002 51501 015*")</f>
        <v>0</v>
      </c>
      <c r="H180" s="28">
        <f t="shared" si="2"/>
        <v>167561</v>
      </c>
      <c r="I180" s="28"/>
      <c r="K180" t="s">
        <v>15</v>
      </c>
    </row>
    <row r="181" spans="2:11" ht="22" x14ac:dyDescent="0.15">
      <c r="B181" s="27" t="s">
        <v>291</v>
      </c>
      <c r="C181" s="27" t="s">
        <v>178</v>
      </c>
      <c r="D181" s="28">
        <f>SUMIFS(D182:D1509,K182:K1509,"0",B182:B1509,"1 2 4 1 3 12 31111 6 M78 07000 151 00C 002 51501 015 2112000*")-SUMIFS(E182:E1509,K182:K1509,"0",B182:B1509,"1 2 4 1 3 12 31111 6 M78 07000 151 00C 002 51501 015 2112000*")</f>
        <v>29375</v>
      </c>
      <c r="E181" s="29"/>
      <c r="F181" s="28">
        <f>SUMIFS(F182:F1509,K182:K1509,"0",B182:B1509,"1 2 4 1 3 12 31111 6 M78 07000 151 00C 002 51501 015 2112000*")</f>
        <v>138186</v>
      </c>
      <c r="G181" s="28">
        <f>SUMIFS(G182:G1509,K182:K1509,"0",B182:B1509,"1 2 4 1 3 12 31111 6 M78 07000 151 00C 002 51501 015 2112000*")</f>
        <v>0</v>
      </c>
      <c r="H181" s="28">
        <f t="shared" si="2"/>
        <v>167561</v>
      </c>
      <c r="I181" s="28"/>
      <c r="K181" t="s">
        <v>15</v>
      </c>
    </row>
    <row r="182" spans="2:11" ht="22" x14ac:dyDescent="0.15">
      <c r="B182" s="27" t="s">
        <v>292</v>
      </c>
      <c r="C182" s="27" t="s">
        <v>180</v>
      </c>
      <c r="D182" s="28">
        <f>SUMIFS(D183:D1509,K183:K1509,"0",B183:B1509,"1 2 4 1 3 12 31111 6 M78 07000 151 00C 002 51501 015 2112000 2019*")-SUMIFS(E183:E1509,K183:K1509,"0",B183:B1509,"1 2 4 1 3 12 31111 6 M78 07000 151 00C 002 51501 015 2112000 2019*")</f>
        <v>19051</v>
      </c>
      <c r="E182" s="29"/>
      <c r="F182" s="28">
        <f>SUMIFS(F183:F1509,K183:K1509,"0",B183:B1509,"1 2 4 1 3 12 31111 6 M78 07000 151 00C 002 51501 015 2112000 2019*")</f>
        <v>0</v>
      </c>
      <c r="G182" s="28">
        <f>SUMIFS(G183:G1509,K183:K1509,"0",B183:B1509,"1 2 4 1 3 12 31111 6 M78 07000 151 00C 002 51501 015 2112000 2019*")</f>
        <v>0</v>
      </c>
      <c r="H182" s="28">
        <f t="shared" si="2"/>
        <v>19051</v>
      </c>
      <c r="I182" s="28"/>
      <c r="K182" t="s">
        <v>15</v>
      </c>
    </row>
    <row r="183" spans="2:11" ht="22" x14ac:dyDescent="0.15">
      <c r="B183" s="27" t="s">
        <v>293</v>
      </c>
      <c r="C183" s="27" t="s">
        <v>182</v>
      </c>
      <c r="D183" s="28">
        <f>SUMIFS(D184:D1509,K184:K1509,"0",B184:B1509,"1 2 4 1 3 12 31111 6 M78 07000 151 00C 002 51501 015 2112000 2019 00000000*")-SUMIFS(E184:E1509,K184:K1509,"0",B184:B1509,"1 2 4 1 3 12 31111 6 M78 07000 151 00C 002 51501 015 2112000 2019 00000000*")</f>
        <v>19051</v>
      </c>
      <c r="E183" s="29"/>
      <c r="F183" s="28">
        <f>SUMIFS(F184:F1509,K184:K1509,"0",B184:B1509,"1 2 4 1 3 12 31111 6 M78 07000 151 00C 002 51501 015 2112000 2019 00000000*")</f>
        <v>0</v>
      </c>
      <c r="G183" s="28">
        <f>SUMIFS(G184:G1509,K184:K1509,"0",B184:B1509,"1 2 4 1 3 12 31111 6 M78 07000 151 00C 002 51501 015 2112000 2019 00000000*")</f>
        <v>0</v>
      </c>
      <c r="H183" s="28">
        <f t="shared" si="2"/>
        <v>19051</v>
      </c>
      <c r="I183" s="28"/>
      <c r="K183" t="s">
        <v>15</v>
      </c>
    </row>
    <row r="184" spans="2:11" ht="33" x14ac:dyDescent="0.15">
      <c r="B184" s="27" t="s">
        <v>294</v>
      </c>
      <c r="C184" s="27" t="s">
        <v>9</v>
      </c>
      <c r="D184" s="28">
        <f>SUMIFS(D185:D1509,K185:K1509,"0",B185:B1509,"1 2 4 1 3 12 31111 6 M78 07000 151 00C 002 51501 015 2112000 2019 00000000 001*")-SUMIFS(E185:E1509,K185:K1509,"0",B185:B1509,"1 2 4 1 3 12 31111 6 M78 07000 151 00C 002 51501 015 2112000 2019 00000000 001*")</f>
        <v>19051</v>
      </c>
      <c r="E184" s="29"/>
      <c r="F184" s="28">
        <f>SUMIFS(F185:F1509,K185:K1509,"0",B185:B1509,"1 2 4 1 3 12 31111 6 M78 07000 151 00C 002 51501 015 2112000 2019 00000000 001*")</f>
        <v>0</v>
      </c>
      <c r="G184" s="28">
        <f>SUMIFS(G185:G1509,K185:K1509,"0",B185:B1509,"1 2 4 1 3 12 31111 6 M78 07000 151 00C 002 51501 015 2112000 2019 00000000 001*")</f>
        <v>0</v>
      </c>
      <c r="H184" s="28">
        <f t="shared" si="2"/>
        <v>19051</v>
      </c>
      <c r="I184" s="28"/>
      <c r="K184" t="s">
        <v>15</v>
      </c>
    </row>
    <row r="185" spans="2:11" ht="33" x14ac:dyDescent="0.15">
      <c r="B185" s="27" t="s">
        <v>295</v>
      </c>
      <c r="C185" s="27" t="s">
        <v>8</v>
      </c>
      <c r="D185" s="28">
        <f>SUMIFS(D186:D1509,K186:K1509,"0",B186:B1509,"1 2 4 1 3 12 31111 6 M78 07000 151 00C 002 51501 015 2112000 2019 00000000 001 007*")-SUMIFS(E186:E1509,K186:K1509,"0",B186:B1509,"1 2 4 1 3 12 31111 6 M78 07000 151 00C 002 51501 015 2112000 2019 00000000 001 007*")</f>
        <v>4899</v>
      </c>
      <c r="E185" s="29"/>
      <c r="F185" s="28">
        <f>SUMIFS(F186:F1509,K186:K1509,"0",B186:B1509,"1 2 4 1 3 12 31111 6 M78 07000 151 00C 002 51501 015 2112000 2019 00000000 001 007*")</f>
        <v>0</v>
      </c>
      <c r="G185" s="28">
        <f>SUMIFS(G186:G1509,K186:K1509,"0",B186:B1509,"1 2 4 1 3 12 31111 6 M78 07000 151 00C 002 51501 015 2112000 2019 00000000 001 007*")</f>
        <v>0</v>
      </c>
      <c r="H185" s="28">
        <f t="shared" si="2"/>
        <v>4899</v>
      </c>
      <c r="I185" s="28"/>
      <c r="K185" t="s">
        <v>15</v>
      </c>
    </row>
    <row r="186" spans="2:11" ht="33" x14ac:dyDescent="0.15">
      <c r="B186" s="30" t="s">
        <v>296</v>
      </c>
      <c r="C186" s="30" t="s">
        <v>297</v>
      </c>
      <c r="D186" s="31">
        <v>4899</v>
      </c>
      <c r="E186" s="31"/>
      <c r="F186" s="31">
        <v>0</v>
      </c>
      <c r="G186" s="31">
        <v>0</v>
      </c>
      <c r="H186" s="31">
        <f t="shared" si="2"/>
        <v>4899</v>
      </c>
      <c r="I186" s="31"/>
      <c r="K186" t="s">
        <v>38</v>
      </c>
    </row>
    <row r="187" spans="2:11" ht="33" x14ac:dyDescent="0.15">
      <c r="B187" s="27" t="s">
        <v>298</v>
      </c>
      <c r="C187" s="27" t="s">
        <v>299</v>
      </c>
      <c r="D187" s="28">
        <f>SUMIFS(D188:D1509,K188:K1509,"0",B188:B1509,"1 2 4 1 3 12 31111 6 M78 07000 151 00C 002 51501 015 2112000 2019 00000000 001 019*")-SUMIFS(E188:E1509,K188:K1509,"0",B188:B1509,"1 2 4 1 3 12 31111 6 M78 07000 151 00C 002 51501 015 2112000 2019 00000000 001 019*")</f>
        <v>14152</v>
      </c>
      <c r="E187" s="29"/>
      <c r="F187" s="28">
        <f>SUMIFS(F188:F1509,K188:K1509,"0",B188:B1509,"1 2 4 1 3 12 31111 6 M78 07000 151 00C 002 51501 015 2112000 2019 00000000 001 019*")</f>
        <v>0</v>
      </c>
      <c r="G187" s="28">
        <f>SUMIFS(G188:G1509,K188:K1509,"0",B188:B1509,"1 2 4 1 3 12 31111 6 M78 07000 151 00C 002 51501 015 2112000 2019 00000000 001 019*")</f>
        <v>0</v>
      </c>
      <c r="H187" s="28">
        <f t="shared" si="2"/>
        <v>14152</v>
      </c>
      <c r="I187" s="28"/>
      <c r="K187" t="s">
        <v>15</v>
      </c>
    </row>
    <row r="188" spans="2:11" ht="33" x14ac:dyDescent="0.15">
      <c r="B188" s="30" t="s">
        <v>300</v>
      </c>
      <c r="C188" s="30" t="s">
        <v>301</v>
      </c>
      <c r="D188" s="31">
        <v>14152</v>
      </c>
      <c r="E188" s="31"/>
      <c r="F188" s="31">
        <v>0</v>
      </c>
      <c r="G188" s="31">
        <v>0</v>
      </c>
      <c r="H188" s="31">
        <f t="shared" si="2"/>
        <v>14152</v>
      </c>
      <c r="I188" s="31"/>
      <c r="K188" t="s">
        <v>38</v>
      </c>
    </row>
    <row r="189" spans="2:11" ht="22" x14ac:dyDescent="0.15">
      <c r="B189" s="27" t="s">
        <v>302</v>
      </c>
      <c r="C189" s="27" t="s">
        <v>303</v>
      </c>
      <c r="D189" s="28">
        <f>SUMIFS(D190:D1509,K190:K1509,"0",B190:B1509,"1 2 4 1 3 12 31111 6 M78 07000 151 00C 002 51501 015 2112000 2023*")-SUMIFS(E190:E1509,K190:K1509,"0",B190:B1509,"1 2 4 1 3 12 31111 6 M78 07000 151 00C 002 51501 015 2112000 2023*")</f>
        <v>10324</v>
      </c>
      <c r="E189" s="29"/>
      <c r="F189" s="28">
        <f>SUMIFS(F190:F1509,K190:K1509,"0",B190:B1509,"1 2 4 1 3 12 31111 6 M78 07000 151 00C 002 51501 015 2112000 2023*")</f>
        <v>0</v>
      </c>
      <c r="G189" s="28">
        <f>SUMIFS(G190:G1509,K190:K1509,"0",B190:B1509,"1 2 4 1 3 12 31111 6 M78 07000 151 00C 002 51501 015 2112000 2023*")</f>
        <v>0</v>
      </c>
      <c r="H189" s="28">
        <f t="shared" si="2"/>
        <v>10324</v>
      </c>
      <c r="I189" s="28"/>
      <c r="K189" t="s">
        <v>15</v>
      </c>
    </row>
    <row r="190" spans="2:11" ht="22" x14ac:dyDescent="0.15">
      <c r="B190" s="27" t="s">
        <v>304</v>
      </c>
      <c r="C190" s="27" t="s">
        <v>182</v>
      </c>
      <c r="D190" s="28">
        <f>SUMIFS(D191:D1509,K191:K1509,"0",B191:B1509,"1 2 4 1 3 12 31111 6 M78 07000 151 00C 002 51501 015 2112000 2023 00000000*")-SUMIFS(E191:E1509,K191:K1509,"0",B191:B1509,"1 2 4 1 3 12 31111 6 M78 07000 151 00C 002 51501 015 2112000 2023 00000000*")</f>
        <v>10324</v>
      </c>
      <c r="E190" s="29"/>
      <c r="F190" s="28">
        <f>SUMIFS(F191:F1509,K191:K1509,"0",B191:B1509,"1 2 4 1 3 12 31111 6 M78 07000 151 00C 002 51501 015 2112000 2023 00000000*")</f>
        <v>0</v>
      </c>
      <c r="G190" s="28">
        <f>SUMIFS(G191:G1509,K191:K1509,"0",B191:B1509,"1 2 4 1 3 12 31111 6 M78 07000 151 00C 002 51501 015 2112000 2023 00000000*")</f>
        <v>0</v>
      </c>
      <c r="H190" s="28">
        <f t="shared" si="2"/>
        <v>10324</v>
      </c>
      <c r="I190" s="28"/>
      <c r="K190" t="s">
        <v>15</v>
      </c>
    </row>
    <row r="191" spans="2:11" ht="33" x14ac:dyDescent="0.15">
      <c r="B191" s="27" t="s">
        <v>305</v>
      </c>
      <c r="C191" s="27" t="s">
        <v>9</v>
      </c>
      <c r="D191" s="28">
        <f>SUMIFS(D192:D1509,K192:K1509,"0",B192:B1509,"1 2 4 1 3 12 31111 6 M78 07000 151 00C 002 51501 015 2112000 2023 00000000 001*")-SUMIFS(E192:E1509,K192:K1509,"0",B192:B1509,"1 2 4 1 3 12 31111 6 M78 07000 151 00C 002 51501 015 2112000 2023 00000000 001*")</f>
        <v>10324</v>
      </c>
      <c r="E191" s="29"/>
      <c r="F191" s="28">
        <f>SUMIFS(F192:F1509,K192:K1509,"0",B192:B1509,"1 2 4 1 3 12 31111 6 M78 07000 151 00C 002 51501 015 2112000 2023 00000000 001*")</f>
        <v>0</v>
      </c>
      <c r="G191" s="28">
        <f>SUMIFS(G192:G1509,K192:K1509,"0",B192:B1509,"1 2 4 1 3 12 31111 6 M78 07000 151 00C 002 51501 015 2112000 2023 00000000 001*")</f>
        <v>0</v>
      </c>
      <c r="H191" s="28">
        <f t="shared" si="2"/>
        <v>10324</v>
      </c>
      <c r="I191" s="28"/>
      <c r="K191" t="s">
        <v>15</v>
      </c>
    </row>
    <row r="192" spans="2:11" ht="33" x14ac:dyDescent="0.15">
      <c r="B192" s="27" t="s">
        <v>306</v>
      </c>
      <c r="C192" s="27" t="s">
        <v>8</v>
      </c>
      <c r="D192" s="28">
        <f>SUMIFS(D193:D1509,K193:K1509,"0",B193:B1509,"1 2 4 1 3 12 31111 6 M78 07000 151 00C 002 51501 015 2112000 2023 00000000 001 007*")-SUMIFS(E193:E1509,K193:K1509,"0",B193:B1509,"1 2 4 1 3 12 31111 6 M78 07000 151 00C 002 51501 015 2112000 2023 00000000 001 007*")</f>
        <v>10324</v>
      </c>
      <c r="E192" s="29"/>
      <c r="F192" s="28">
        <f>SUMIFS(F193:F1509,K193:K1509,"0",B193:B1509,"1 2 4 1 3 12 31111 6 M78 07000 151 00C 002 51501 015 2112000 2023 00000000 001 007*")</f>
        <v>0</v>
      </c>
      <c r="G192" s="28">
        <f>SUMIFS(G193:G1509,K193:K1509,"0",B193:B1509,"1 2 4 1 3 12 31111 6 M78 07000 151 00C 002 51501 015 2112000 2023 00000000 001 007*")</f>
        <v>0</v>
      </c>
      <c r="H192" s="28">
        <f t="shared" si="2"/>
        <v>10324</v>
      </c>
      <c r="I192" s="28"/>
      <c r="K192" t="s">
        <v>15</v>
      </c>
    </row>
    <row r="193" spans="2:11" ht="33" x14ac:dyDescent="0.15">
      <c r="B193" s="30" t="s">
        <v>307</v>
      </c>
      <c r="C193" s="30" t="s">
        <v>308</v>
      </c>
      <c r="D193" s="31">
        <v>10324</v>
      </c>
      <c r="E193" s="31"/>
      <c r="F193" s="31">
        <v>0</v>
      </c>
      <c r="G193" s="31">
        <v>0</v>
      </c>
      <c r="H193" s="31">
        <f t="shared" si="2"/>
        <v>10324</v>
      </c>
      <c r="I193" s="31"/>
      <c r="K193" t="s">
        <v>38</v>
      </c>
    </row>
    <row r="194" spans="2:11" ht="22" x14ac:dyDescent="0.15">
      <c r="B194" s="27" t="s">
        <v>309</v>
      </c>
      <c r="C194" s="27" t="s">
        <v>248</v>
      </c>
      <c r="D194" s="28">
        <f>SUMIFS(D195:D1509,K195:K1509,"0",B195:B1509,"1 2 4 1 3 12 31111 6 M78 07000 151 00C 002 51501 015 2112000 2024*")-SUMIFS(E195:E1509,K195:K1509,"0",B195:B1509,"1 2 4 1 3 12 31111 6 M78 07000 151 00C 002 51501 015 2112000 2024*")</f>
        <v>0</v>
      </c>
      <c r="E194" s="29"/>
      <c r="F194" s="28">
        <f>SUMIFS(F195:F1509,K195:K1509,"0",B195:B1509,"1 2 4 1 3 12 31111 6 M78 07000 151 00C 002 51501 015 2112000 2024*")</f>
        <v>138186</v>
      </c>
      <c r="G194" s="28">
        <f>SUMIFS(G195:G1509,K195:K1509,"0",B195:B1509,"1 2 4 1 3 12 31111 6 M78 07000 151 00C 002 51501 015 2112000 2024*")</f>
        <v>0</v>
      </c>
      <c r="H194" s="28">
        <f t="shared" si="2"/>
        <v>138186</v>
      </c>
      <c r="I194" s="28"/>
      <c r="K194" t="s">
        <v>15</v>
      </c>
    </row>
    <row r="195" spans="2:11" ht="22" x14ac:dyDescent="0.15">
      <c r="B195" s="27" t="s">
        <v>310</v>
      </c>
      <c r="C195" s="27" t="s">
        <v>182</v>
      </c>
      <c r="D195" s="28">
        <f>SUMIFS(D196:D1509,K196:K1509,"0",B196:B1509,"1 2 4 1 3 12 31111 6 M78 07000 151 00C 002 51501 015 2112000 2024 00000000*")-SUMIFS(E196:E1509,K196:K1509,"0",B196:B1509,"1 2 4 1 3 12 31111 6 M78 07000 151 00C 002 51501 015 2112000 2024 00000000*")</f>
        <v>0</v>
      </c>
      <c r="E195" s="29"/>
      <c r="F195" s="28">
        <f>SUMIFS(F196:F1509,K196:K1509,"0",B196:B1509,"1 2 4 1 3 12 31111 6 M78 07000 151 00C 002 51501 015 2112000 2024 00000000*")</f>
        <v>138186</v>
      </c>
      <c r="G195" s="28">
        <f>SUMIFS(G196:G1509,K196:K1509,"0",B196:B1509,"1 2 4 1 3 12 31111 6 M78 07000 151 00C 002 51501 015 2112000 2024 00000000*")</f>
        <v>0</v>
      </c>
      <c r="H195" s="28">
        <f t="shared" si="2"/>
        <v>138186</v>
      </c>
      <c r="I195" s="28"/>
      <c r="K195" t="s">
        <v>15</v>
      </c>
    </row>
    <row r="196" spans="2:11" ht="33" x14ac:dyDescent="0.15">
      <c r="B196" s="27" t="s">
        <v>311</v>
      </c>
      <c r="C196" s="27" t="s">
        <v>9</v>
      </c>
      <c r="D196" s="28">
        <f>SUMIFS(D197:D1509,K197:K1509,"0",B197:B1509,"1 2 4 1 3 12 31111 6 M78 07000 151 00C 002 51501 015 2112000 2024 00000000 001*")-SUMIFS(E197:E1509,K197:K1509,"0",B197:B1509,"1 2 4 1 3 12 31111 6 M78 07000 151 00C 002 51501 015 2112000 2024 00000000 001*")</f>
        <v>0</v>
      </c>
      <c r="E196" s="29"/>
      <c r="F196" s="28">
        <f>SUMIFS(F197:F1509,K197:K1509,"0",B197:B1509,"1 2 4 1 3 12 31111 6 M78 07000 151 00C 002 51501 015 2112000 2024 00000000 001*")</f>
        <v>138186</v>
      </c>
      <c r="G196" s="28">
        <f>SUMIFS(G197:G1509,K197:K1509,"0",B197:B1509,"1 2 4 1 3 12 31111 6 M78 07000 151 00C 002 51501 015 2112000 2024 00000000 001*")</f>
        <v>0</v>
      </c>
      <c r="H196" s="28">
        <f t="shared" si="2"/>
        <v>138186</v>
      </c>
      <c r="I196" s="28"/>
      <c r="K196" t="s">
        <v>15</v>
      </c>
    </row>
    <row r="197" spans="2:11" ht="33" x14ac:dyDescent="0.15">
      <c r="B197" s="27" t="s">
        <v>312</v>
      </c>
      <c r="C197" s="27" t="s">
        <v>8</v>
      </c>
      <c r="D197" s="28">
        <f>SUMIFS(D198:D1509,K198:K1509,"0",B198:B1509,"1 2 4 1 3 12 31111 6 M78 07000 151 00C 002 51501 015 2112000 2024 00000000 001 007*")-SUMIFS(E198:E1509,K198:K1509,"0",B198:B1509,"1 2 4 1 3 12 31111 6 M78 07000 151 00C 002 51501 015 2112000 2024 00000000 001 007*")</f>
        <v>0</v>
      </c>
      <c r="E197" s="29"/>
      <c r="F197" s="28">
        <f>SUMIFS(F198:F1509,K198:K1509,"0",B198:B1509,"1 2 4 1 3 12 31111 6 M78 07000 151 00C 002 51501 015 2112000 2024 00000000 001 007*")</f>
        <v>138186</v>
      </c>
      <c r="G197" s="28">
        <f>SUMIFS(G198:G1509,K198:K1509,"0",B198:B1509,"1 2 4 1 3 12 31111 6 M78 07000 151 00C 002 51501 015 2112000 2024 00000000 001 007*")</f>
        <v>0</v>
      </c>
      <c r="H197" s="28">
        <f t="shared" si="2"/>
        <v>138186</v>
      </c>
      <c r="I197" s="28"/>
      <c r="K197" t="s">
        <v>15</v>
      </c>
    </row>
    <row r="198" spans="2:11" ht="33" x14ac:dyDescent="0.15">
      <c r="B198" s="30" t="s">
        <v>313</v>
      </c>
      <c r="C198" s="30" t="s">
        <v>314</v>
      </c>
      <c r="D198" s="31">
        <v>0</v>
      </c>
      <c r="E198" s="31"/>
      <c r="F198" s="31">
        <v>24800</v>
      </c>
      <c r="G198" s="31">
        <v>0</v>
      </c>
      <c r="H198" s="31">
        <f t="shared" si="2"/>
        <v>24800</v>
      </c>
      <c r="I198" s="31"/>
      <c r="K198" t="s">
        <v>38</v>
      </c>
    </row>
    <row r="199" spans="2:11" ht="33" x14ac:dyDescent="0.15">
      <c r="B199" s="30" t="s">
        <v>315</v>
      </c>
      <c r="C199" s="30" t="s">
        <v>316</v>
      </c>
      <c r="D199" s="31">
        <v>0</v>
      </c>
      <c r="E199" s="31"/>
      <c r="F199" s="31">
        <v>14499</v>
      </c>
      <c r="G199" s="31">
        <v>0</v>
      </c>
      <c r="H199" s="31">
        <f t="shared" si="2"/>
        <v>14499</v>
      </c>
      <c r="I199" s="31"/>
      <c r="K199" t="s">
        <v>38</v>
      </c>
    </row>
    <row r="200" spans="2:11" ht="33" x14ac:dyDescent="0.15">
      <c r="B200" s="30" t="s">
        <v>317</v>
      </c>
      <c r="C200" s="30" t="s">
        <v>318</v>
      </c>
      <c r="D200" s="31">
        <v>0</v>
      </c>
      <c r="E200" s="31"/>
      <c r="F200" s="31">
        <v>14499</v>
      </c>
      <c r="G200" s="31">
        <v>0</v>
      </c>
      <c r="H200" s="31">
        <f t="shared" si="2"/>
        <v>14499</v>
      </c>
      <c r="I200" s="31"/>
      <c r="K200" t="s">
        <v>38</v>
      </c>
    </row>
    <row r="201" spans="2:11" ht="33" x14ac:dyDescent="0.15">
      <c r="B201" s="30" t="s">
        <v>319</v>
      </c>
      <c r="C201" s="30" t="s">
        <v>320</v>
      </c>
      <c r="D201" s="31">
        <v>0</v>
      </c>
      <c r="E201" s="31"/>
      <c r="F201" s="31">
        <v>14499</v>
      </c>
      <c r="G201" s="31">
        <v>0</v>
      </c>
      <c r="H201" s="31">
        <f t="shared" si="2"/>
        <v>14499</v>
      </c>
      <c r="I201" s="31"/>
      <c r="K201" t="s">
        <v>38</v>
      </c>
    </row>
    <row r="202" spans="2:11" ht="33" x14ac:dyDescent="0.15">
      <c r="B202" s="30" t="s">
        <v>321</v>
      </c>
      <c r="C202" s="30" t="s">
        <v>322</v>
      </c>
      <c r="D202" s="31">
        <v>0</v>
      </c>
      <c r="E202" s="31"/>
      <c r="F202" s="31">
        <v>14499</v>
      </c>
      <c r="G202" s="31">
        <v>0</v>
      </c>
      <c r="H202" s="31">
        <f t="shared" si="2"/>
        <v>14499</v>
      </c>
      <c r="I202" s="31"/>
      <c r="K202" t="s">
        <v>38</v>
      </c>
    </row>
    <row r="203" spans="2:11" ht="33" x14ac:dyDescent="0.15">
      <c r="B203" s="30" t="s">
        <v>323</v>
      </c>
      <c r="C203" s="30" t="s">
        <v>324</v>
      </c>
      <c r="D203" s="31">
        <v>0</v>
      </c>
      <c r="E203" s="31"/>
      <c r="F203" s="31">
        <v>5539</v>
      </c>
      <c r="G203" s="31">
        <v>0</v>
      </c>
      <c r="H203" s="31">
        <f t="shared" si="2"/>
        <v>5539</v>
      </c>
      <c r="I203" s="31"/>
      <c r="K203" t="s">
        <v>38</v>
      </c>
    </row>
    <row r="204" spans="2:11" ht="33" x14ac:dyDescent="0.15">
      <c r="B204" s="30" t="s">
        <v>325</v>
      </c>
      <c r="C204" s="30" t="s">
        <v>326</v>
      </c>
      <c r="D204" s="31">
        <v>0</v>
      </c>
      <c r="E204" s="31"/>
      <c r="F204" s="31">
        <v>5539</v>
      </c>
      <c r="G204" s="31">
        <v>0</v>
      </c>
      <c r="H204" s="31">
        <f t="shared" ref="H204:H267" si="3">D204 + F204 - G204</f>
        <v>5539</v>
      </c>
      <c r="I204" s="31"/>
      <c r="K204" t="s">
        <v>38</v>
      </c>
    </row>
    <row r="205" spans="2:11" ht="33" x14ac:dyDescent="0.15">
      <c r="B205" s="30" t="s">
        <v>327</v>
      </c>
      <c r="C205" s="30" t="s">
        <v>328</v>
      </c>
      <c r="D205" s="31">
        <v>0</v>
      </c>
      <c r="E205" s="31"/>
      <c r="F205" s="31">
        <v>5539</v>
      </c>
      <c r="G205" s="31">
        <v>0</v>
      </c>
      <c r="H205" s="31">
        <f t="shared" si="3"/>
        <v>5539</v>
      </c>
      <c r="I205" s="31"/>
      <c r="K205" t="s">
        <v>38</v>
      </c>
    </row>
    <row r="206" spans="2:11" ht="33" x14ac:dyDescent="0.15">
      <c r="B206" s="30" t="s">
        <v>329</v>
      </c>
      <c r="C206" s="30" t="s">
        <v>330</v>
      </c>
      <c r="D206" s="31">
        <v>0</v>
      </c>
      <c r="E206" s="31"/>
      <c r="F206" s="31">
        <v>5539</v>
      </c>
      <c r="G206" s="31">
        <v>0</v>
      </c>
      <c r="H206" s="31">
        <f t="shared" si="3"/>
        <v>5539</v>
      </c>
      <c r="I206" s="31"/>
      <c r="K206" t="s">
        <v>38</v>
      </c>
    </row>
    <row r="207" spans="2:11" ht="33" x14ac:dyDescent="0.15">
      <c r="B207" s="30" t="s">
        <v>331</v>
      </c>
      <c r="C207" s="30" t="s">
        <v>332</v>
      </c>
      <c r="D207" s="31">
        <v>0</v>
      </c>
      <c r="E207" s="31"/>
      <c r="F207" s="31">
        <v>5539</v>
      </c>
      <c r="G207" s="31">
        <v>0</v>
      </c>
      <c r="H207" s="31">
        <f t="shared" si="3"/>
        <v>5539</v>
      </c>
      <c r="I207" s="31"/>
      <c r="K207" t="s">
        <v>38</v>
      </c>
    </row>
    <row r="208" spans="2:11" ht="33" x14ac:dyDescent="0.15">
      <c r="B208" s="30" t="s">
        <v>333</v>
      </c>
      <c r="C208" s="30" t="s">
        <v>334</v>
      </c>
      <c r="D208" s="31">
        <v>0</v>
      </c>
      <c r="E208" s="31"/>
      <c r="F208" s="31">
        <v>5539</v>
      </c>
      <c r="G208" s="31">
        <v>0</v>
      </c>
      <c r="H208" s="31">
        <f t="shared" si="3"/>
        <v>5539</v>
      </c>
      <c r="I208" s="31"/>
      <c r="K208" t="s">
        <v>38</v>
      </c>
    </row>
    <row r="209" spans="2:11" ht="33" x14ac:dyDescent="0.15">
      <c r="B209" s="30" t="s">
        <v>335</v>
      </c>
      <c r="C209" s="30" t="s">
        <v>336</v>
      </c>
      <c r="D209" s="31">
        <v>0</v>
      </c>
      <c r="E209" s="31"/>
      <c r="F209" s="31">
        <v>5539</v>
      </c>
      <c r="G209" s="31">
        <v>0</v>
      </c>
      <c r="H209" s="31">
        <f t="shared" si="3"/>
        <v>5539</v>
      </c>
      <c r="I209" s="31"/>
      <c r="K209" t="s">
        <v>38</v>
      </c>
    </row>
    <row r="210" spans="2:11" ht="33" x14ac:dyDescent="0.15">
      <c r="B210" s="30" t="s">
        <v>337</v>
      </c>
      <c r="C210" s="30" t="s">
        <v>338</v>
      </c>
      <c r="D210" s="31">
        <v>0</v>
      </c>
      <c r="E210" s="31"/>
      <c r="F210" s="31">
        <v>5539</v>
      </c>
      <c r="G210" s="31">
        <v>0</v>
      </c>
      <c r="H210" s="31">
        <f t="shared" si="3"/>
        <v>5539</v>
      </c>
      <c r="I210" s="31"/>
      <c r="K210" t="s">
        <v>38</v>
      </c>
    </row>
    <row r="211" spans="2:11" ht="33" x14ac:dyDescent="0.15">
      <c r="B211" s="30" t="s">
        <v>339</v>
      </c>
      <c r="C211" s="30" t="s">
        <v>340</v>
      </c>
      <c r="D211" s="31">
        <v>0</v>
      </c>
      <c r="E211" s="31"/>
      <c r="F211" s="31">
        <v>5539</v>
      </c>
      <c r="G211" s="31">
        <v>0</v>
      </c>
      <c r="H211" s="31">
        <f t="shared" si="3"/>
        <v>5539</v>
      </c>
      <c r="I211" s="31"/>
      <c r="K211" t="s">
        <v>38</v>
      </c>
    </row>
    <row r="212" spans="2:11" ht="33" x14ac:dyDescent="0.15">
      <c r="B212" s="30" t="s">
        <v>341</v>
      </c>
      <c r="C212" s="30" t="s">
        <v>342</v>
      </c>
      <c r="D212" s="31">
        <v>0</v>
      </c>
      <c r="E212" s="31"/>
      <c r="F212" s="31">
        <v>5539</v>
      </c>
      <c r="G212" s="31">
        <v>0</v>
      </c>
      <c r="H212" s="31">
        <f t="shared" si="3"/>
        <v>5539</v>
      </c>
      <c r="I212" s="31"/>
      <c r="K212" t="s">
        <v>38</v>
      </c>
    </row>
    <row r="213" spans="2:11" ht="13" x14ac:dyDescent="0.15">
      <c r="B213" s="27" t="s">
        <v>343</v>
      </c>
      <c r="C213" s="27" t="s">
        <v>344</v>
      </c>
      <c r="D213" s="28">
        <f>SUMIFS(D214:D1509,K214:K1509,"0",B214:B1509,"1 2 4 1 9*")-SUMIFS(E214:E1509,K214:K1509,"0",B214:B1509,"1 2 4 1 9*")</f>
        <v>19200</v>
      </c>
      <c r="E213" s="29"/>
      <c r="F213" s="28">
        <f>SUMIFS(F214:F1509,K214:K1509,"0",B214:B1509,"1 2 4 1 9*")</f>
        <v>0</v>
      </c>
      <c r="G213" s="28">
        <f>SUMIFS(G214:G1509,K214:K1509,"0",B214:B1509,"1 2 4 1 9*")</f>
        <v>0</v>
      </c>
      <c r="H213" s="28">
        <f t="shared" si="3"/>
        <v>19200</v>
      </c>
      <c r="I213" s="28"/>
      <c r="K213" t="s">
        <v>15</v>
      </c>
    </row>
    <row r="214" spans="2:11" ht="13" x14ac:dyDescent="0.15">
      <c r="B214" s="27" t="s">
        <v>345</v>
      </c>
      <c r="C214" s="27" t="s">
        <v>26</v>
      </c>
      <c r="D214" s="28">
        <f>SUMIFS(D215:D1509,K215:K1509,"0",B215:B1509,"1 2 4 1 9 12*")-SUMIFS(E215:E1509,K215:K1509,"0",B215:B1509,"1 2 4 1 9 12*")</f>
        <v>19200</v>
      </c>
      <c r="E214" s="29"/>
      <c r="F214" s="28">
        <f>SUMIFS(F215:F1509,K215:K1509,"0",B215:B1509,"1 2 4 1 9 12*")</f>
        <v>0</v>
      </c>
      <c r="G214" s="28">
        <f>SUMIFS(G215:G1509,K215:K1509,"0",B215:B1509,"1 2 4 1 9 12*")</f>
        <v>0</v>
      </c>
      <c r="H214" s="28">
        <f t="shared" si="3"/>
        <v>19200</v>
      </c>
      <c r="I214" s="28"/>
      <c r="K214" t="s">
        <v>15</v>
      </c>
    </row>
    <row r="215" spans="2:11" ht="13" x14ac:dyDescent="0.15">
      <c r="B215" s="27" t="s">
        <v>346</v>
      </c>
      <c r="C215" s="27" t="s">
        <v>28</v>
      </c>
      <c r="D215" s="28">
        <f>SUMIFS(D216:D1509,K216:K1509,"0",B216:B1509,"1 2 4 1 9 12 31111*")-SUMIFS(E216:E1509,K216:K1509,"0",B216:B1509,"1 2 4 1 9 12 31111*")</f>
        <v>19200</v>
      </c>
      <c r="E215" s="29"/>
      <c r="F215" s="28">
        <f>SUMIFS(F216:F1509,K216:K1509,"0",B216:B1509,"1 2 4 1 9 12 31111*")</f>
        <v>0</v>
      </c>
      <c r="G215" s="28">
        <f>SUMIFS(G216:G1509,K216:K1509,"0",B216:B1509,"1 2 4 1 9 12 31111*")</f>
        <v>0</v>
      </c>
      <c r="H215" s="28">
        <f t="shared" si="3"/>
        <v>19200</v>
      </c>
      <c r="I215" s="28"/>
      <c r="K215" t="s">
        <v>15</v>
      </c>
    </row>
    <row r="216" spans="2:11" ht="13" x14ac:dyDescent="0.15">
      <c r="B216" s="27" t="s">
        <v>347</v>
      </c>
      <c r="C216" s="27" t="s">
        <v>30</v>
      </c>
      <c r="D216" s="28">
        <f>SUMIFS(D217:D1509,K217:K1509,"0",B217:B1509,"1 2 4 1 9 12 31111 6*")-SUMIFS(E217:E1509,K217:K1509,"0",B217:B1509,"1 2 4 1 9 12 31111 6*")</f>
        <v>19200</v>
      </c>
      <c r="E216" s="29"/>
      <c r="F216" s="28">
        <f>SUMIFS(F217:F1509,K217:K1509,"0",B217:B1509,"1 2 4 1 9 12 31111 6*")</f>
        <v>0</v>
      </c>
      <c r="G216" s="28">
        <f>SUMIFS(G217:G1509,K217:K1509,"0",B217:B1509,"1 2 4 1 9 12 31111 6*")</f>
        <v>0</v>
      </c>
      <c r="H216" s="28">
        <f t="shared" si="3"/>
        <v>19200</v>
      </c>
      <c r="I216" s="28"/>
      <c r="K216" t="s">
        <v>15</v>
      </c>
    </row>
    <row r="217" spans="2:11" ht="13" x14ac:dyDescent="0.15">
      <c r="B217" s="27" t="s">
        <v>348</v>
      </c>
      <c r="C217" s="27" t="s">
        <v>32</v>
      </c>
      <c r="D217" s="28">
        <f>SUMIFS(D218:D1509,K218:K1509,"0",B218:B1509,"1 2 4 1 9 12 31111 6 M78*")-SUMIFS(E218:E1509,K218:K1509,"0",B218:B1509,"1 2 4 1 9 12 31111 6 M78*")</f>
        <v>19200</v>
      </c>
      <c r="E217" s="29"/>
      <c r="F217" s="28">
        <f>SUMIFS(F218:F1509,K218:K1509,"0",B218:B1509,"1 2 4 1 9 12 31111 6 M78*")</f>
        <v>0</v>
      </c>
      <c r="G217" s="28">
        <f>SUMIFS(G218:G1509,K218:K1509,"0",B218:B1509,"1 2 4 1 9 12 31111 6 M78*")</f>
        <v>0</v>
      </c>
      <c r="H217" s="28">
        <f t="shared" si="3"/>
        <v>19200</v>
      </c>
      <c r="I217" s="28"/>
      <c r="K217" t="s">
        <v>15</v>
      </c>
    </row>
    <row r="218" spans="2:11" ht="13" x14ac:dyDescent="0.15">
      <c r="B218" s="27" t="s">
        <v>349</v>
      </c>
      <c r="C218" s="27" t="s">
        <v>8</v>
      </c>
      <c r="D218" s="28">
        <f>SUMIFS(D219:D1509,K219:K1509,"0",B219:B1509,"1 2 4 1 9 12 31111 6 M78 07000*")-SUMIFS(E219:E1509,K219:K1509,"0",B219:B1509,"1 2 4 1 9 12 31111 6 M78 07000*")</f>
        <v>19200</v>
      </c>
      <c r="E218" s="29"/>
      <c r="F218" s="28">
        <f>SUMIFS(F219:F1509,K219:K1509,"0",B219:B1509,"1 2 4 1 9 12 31111 6 M78 07000*")</f>
        <v>0</v>
      </c>
      <c r="G218" s="28">
        <f>SUMIFS(G219:G1509,K219:K1509,"0",B219:B1509,"1 2 4 1 9 12 31111 6 M78 07000*")</f>
        <v>0</v>
      </c>
      <c r="H218" s="28">
        <f t="shared" si="3"/>
        <v>19200</v>
      </c>
      <c r="I218" s="28"/>
      <c r="K218" t="s">
        <v>15</v>
      </c>
    </row>
    <row r="219" spans="2:11" ht="13" x14ac:dyDescent="0.15">
      <c r="B219" s="27" t="s">
        <v>350</v>
      </c>
      <c r="C219" s="27" t="s">
        <v>168</v>
      </c>
      <c r="D219" s="28">
        <f>SUMIFS(D220:D1509,K220:K1509,"0",B220:B1509,"1 2 4 1 9 12 31111 6 M78 07000 151*")-SUMIFS(E220:E1509,K220:K1509,"0",B220:B1509,"1 2 4 1 9 12 31111 6 M78 07000 151*")</f>
        <v>19200</v>
      </c>
      <c r="E219" s="29"/>
      <c r="F219" s="28">
        <f>SUMIFS(F220:F1509,K220:K1509,"0",B220:B1509,"1 2 4 1 9 12 31111 6 M78 07000 151*")</f>
        <v>0</v>
      </c>
      <c r="G219" s="28">
        <f>SUMIFS(G220:G1509,K220:K1509,"0",B220:B1509,"1 2 4 1 9 12 31111 6 M78 07000 151*")</f>
        <v>0</v>
      </c>
      <c r="H219" s="28">
        <f t="shared" si="3"/>
        <v>19200</v>
      </c>
      <c r="I219" s="28"/>
      <c r="K219" t="s">
        <v>15</v>
      </c>
    </row>
    <row r="220" spans="2:11" ht="13" x14ac:dyDescent="0.15">
      <c r="B220" s="27" t="s">
        <v>351</v>
      </c>
      <c r="C220" s="27" t="s">
        <v>170</v>
      </c>
      <c r="D220" s="28">
        <f>SUMIFS(D221:D1509,K221:K1509,"0",B221:B1509,"1 2 4 1 9 12 31111 6 M78 07000 151 00C*")-SUMIFS(E221:E1509,K221:K1509,"0",B221:B1509,"1 2 4 1 9 12 31111 6 M78 07000 151 00C*")</f>
        <v>19200</v>
      </c>
      <c r="E220" s="29"/>
      <c r="F220" s="28">
        <f>SUMIFS(F221:F1509,K221:K1509,"0",B221:B1509,"1 2 4 1 9 12 31111 6 M78 07000 151 00C*")</f>
        <v>0</v>
      </c>
      <c r="G220" s="28">
        <f>SUMIFS(G221:G1509,K221:K1509,"0",B221:B1509,"1 2 4 1 9 12 31111 6 M78 07000 151 00C*")</f>
        <v>0</v>
      </c>
      <c r="H220" s="28">
        <f t="shared" si="3"/>
        <v>19200</v>
      </c>
      <c r="I220" s="28"/>
      <c r="K220" t="s">
        <v>15</v>
      </c>
    </row>
    <row r="221" spans="2:11" ht="22" x14ac:dyDescent="0.15">
      <c r="B221" s="27" t="s">
        <v>352</v>
      </c>
      <c r="C221" s="27" t="s">
        <v>172</v>
      </c>
      <c r="D221" s="28">
        <f>SUMIFS(D222:D1509,K222:K1509,"0",B222:B1509,"1 2 4 1 9 12 31111 6 M78 07000 151 00C 002*")-SUMIFS(E222:E1509,K222:K1509,"0",B222:B1509,"1 2 4 1 9 12 31111 6 M78 07000 151 00C 002*")</f>
        <v>19200</v>
      </c>
      <c r="E221" s="29"/>
      <c r="F221" s="28">
        <f>SUMIFS(F222:F1509,K222:K1509,"0",B222:B1509,"1 2 4 1 9 12 31111 6 M78 07000 151 00C 002*")</f>
        <v>0</v>
      </c>
      <c r="G221" s="28">
        <f>SUMIFS(G222:G1509,K222:K1509,"0",B222:B1509,"1 2 4 1 9 12 31111 6 M78 07000 151 00C 002*")</f>
        <v>0</v>
      </c>
      <c r="H221" s="28">
        <f t="shared" si="3"/>
        <v>19200</v>
      </c>
      <c r="I221" s="28"/>
      <c r="K221" t="s">
        <v>15</v>
      </c>
    </row>
    <row r="222" spans="2:11" ht="22" x14ac:dyDescent="0.15">
      <c r="B222" s="27" t="s">
        <v>353</v>
      </c>
      <c r="C222" s="27" t="s">
        <v>354</v>
      </c>
      <c r="D222" s="28">
        <f>SUMIFS(D223:D1509,K223:K1509,"0",B223:B1509,"1 2 4 1 9 12 31111 6 M78 07000 151 00C 002 51901*")-SUMIFS(E223:E1509,K223:K1509,"0",B223:B1509,"1 2 4 1 9 12 31111 6 M78 07000 151 00C 002 51901*")</f>
        <v>19200</v>
      </c>
      <c r="E222" s="29"/>
      <c r="F222" s="28">
        <f>SUMIFS(F223:F1509,K223:K1509,"0",B223:B1509,"1 2 4 1 9 12 31111 6 M78 07000 151 00C 002 51901*")</f>
        <v>0</v>
      </c>
      <c r="G222" s="28">
        <f>SUMIFS(G223:G1509,K223:K1509,"0",B223:B1509,"1 2 4 1 9 12 31111 6 M78 07000 151 00C 002 51901*")</f>
        <v>0</v>
      </c>
      <c r="H222" s="28">
        <f t="shared" si="3"/>
        <v>19200</v>
      </c>
      <c r="I222" s="28"/>
      <c r="K222" t="s">
        <v>15</v>
      </c>
    </row>
    <row r="223" spans="2:11" ht="22" x14ac:dyDescent="0.15">
      <c r="B223" s="27" t="s">
        <v>355</v>
      </c>
      <c r="C223" s="27" t="s">
        <v>176</v>
      </c>
      <c r="D223" s="28">
        <f>SUMIFS(D224:D1509,K224:K1509,"0",B224:B1509,"1 2 4 1 9 12 31111 6 M78 07000 151 00C 002 51901 015*")-SUMIFS(E224:E1509,K224:K1509,"0",B224:B1509,"1 2 4 1 9 12 31111 6 M78 07000 151 00C 002 51901 015*")</f>
        <v>19200</v>
      </c>
      <c r="E223" s="29"/>
      <c r="F223" s="28">
        <f>SUMIFS(F224:F1509,K224:K1509,"0",B224:B1509,"1 2 4 1 9 12 31111 6 M78 07000 151 00C 002 51901 015*")</f>
        <v>0</v>
      </c>
      <c r="G223" s="28">
        <f>SUMIFS(G224:G1509,K224:K1509,"0",B224:B1509,"1 2 4 1 9 12 31111 6 M78 07000 151 00C 002 51901 015*")</f>
        <v>0</v>
      </c>
      <c r="H223" s="28">
        <f t="shared" si="3"/>
        <v>19200</v>
      </c>
      <c r="I223" s="28"/>
      <c r="K223" t="s">
        <v>15</v>
      </c>
    </row>
    <row r="224" spans="2:11" ht="22" x14ac:dyDescent="0.15">
      <c r="B224" s="27" t="s">
        <v>356</v>
      </c>
      <c r="C224" s="27" t="s">
        <v>178</v>
      </c>
      <c r="D224" s="28">
        <f>SUMIFS(D225:D1509,K225:K1509,"0",B225:B1509,"1 2 4 1 9 12 31111 6 M78 07000 151 00C 002 51901 015 2112000*")-SUMIFS(E225:E1509,K225:K1509,"0",B225:B1509,"1 2 4 1 9 12 31111 6 M78 07000 151 00C 002 51901 015 2112000*")</f>
        <v>19200</v>
      </c>
      <c r="E224" s="29"/>
      <c r="F224" s="28">
        <f>SUMIFS(F225:F1509,K225:K1509,"0",B225:B1509,"1 2 4 1 9 12 31111 6 M78 07000 151 00C 002 51901 015 2112000*")</f>
        <v>0</v>
      </c>
      <c r="G224" s="28">
        <f>SUMIFS(G225:G1509,K225:K1509,"0",B225:B1509,"1 2 4 1 9 12 31111 6 M78 07000 151 00C 002 51901 015 2112000*")</f>
        <v>0</v>
      </c>
      <c r="H224" s="28">
        <f t="shared" si="3"/>
        <v>19200</v>
      </c>
      <c r="I224" s="28"/>
      <c r="K224" t="s">
        <v>15</v>
      </c>
    </row>
    <row r="225" spans="2:11" ht="22" x14ac:dyDescent="0.15">
      <c r="B225" s="27" t="s">
        <v>357</v>
      </c>
      <c r="C225" s="27" t="s">
        <v>180</v>
      </c>
      <c r="D225" s="28">
        <f>SUMIFS(D226:D1509,K226:K1509,"0",B226:B1509,"1 2 4 1 9 12 31111 6 M78 07000 151 00C 002 51901 015 2112000 2019*")-SUMIFS(E226:E1509,K226:K1509,"0",B226:B1509,"1 2 4 1 9 12 31111 6 M78 07000 151 00C 002 51901 015 2112000 2019*")</f>
        <v>19200</v>
      </c>
      <c r="E225" s="29"/>
      <c r="F225" s="28">
        <f>SUMIFS(F226:F1509,K226:K1509,"0",B226:B1509,"1 2 4 1 9 12 31111 6 M78 07000 151 00C 002 51901 015 2112000 2019*")</f>
        <v>0</v>
      </c>
      <c r="G225" s="28">
        <f>SUMIFS(G226:G1509,K226:K1509,"0",B226:B1509,"1 2 4 1 9 12 31111 6 M78 07000 151 00C 002 51901 015 2112000 2019*")</f>
        <v>0</v>
      </c>
      <c r="H225" s="28">
        <f t="shared" si="3"/>
        <v>19200</v>
      </c>
      <c r="I225" s="28"/>
      <c r="K225" t="s">
        <v>15</v>
      </c>
    </row>
    <row r="226" spans="2:11" ht="22" x14ac:dyDescent="0.15">
      <c r="B226" s="27" t="s">
        <v>358</v>
      </c>
      <c r="C226" s="27" t="s">
        <v>182</v>
      </c>
      <c r="D226" s="28">
        <f>SUMIFS(D227:D1509,K227:K1509,"0",B227:B1509,"1 2 4 1 9 12 31111 6 M78 07000 151 00C 002 51901 015 2112000 2019 00000000*")-SUMIFS(E227:E1509,K227:K1509,"0",B227:B1509,"1 2 4 1 9 12 31111 6 M78 07000 151 00C 002 51901 015 2112000 2019 00000000*")</f>
        <v>19200</v>
      </c>
      <c r="E226" s="29"/>
      <c r="F226" s="28">
        <f>SUMIFS(F227:F1509,K227:K1509,"0",B227:B1509,"1 2 4 1 9 12 31111 6 M78 07000 151 00C 002 51901 015 2112000 2019 00000000*")</f>
        <v>0</v>
      </c>
      <c r="G226" s="28">
        <f>SUMIFS(G227:G1509,K227:K1509,"0",B227:B1509,"1 2 4 1 9 12 31111 6 M78 07000 151 00C 002 51901 015 2112000 2019 00000000*")</f>
        <v>0</v>
      </c>
      <c r="H226" s="28">
        <f t="shared" si="3"/>
        <v>19200</v>
      </c>
      <c r="I226" s="28"/>
      <c r="K226" t="s">
        <v>15</v>
      </c>
    </row>
    <row r="227" spans="2:11" ht="33" x14ac:dyDescent="0.15">
      <c r="B227" s="27" t="s">
        <v>359</v>
      </c>
      <c r="C227" s="27" t="s">
        <v>9</v>
      </c>
      <c r="D227" s="28">
        <f>SUMIFS(D228:D1509,K228:K1509,"0",B228:B1509,"1 2 4 1 9 12 31111 6 M78 07000 151 00C 002 51901 015 2112000 2019 00000000 001*")-SUMIFS(E228:E1509,K228:K1509,"0",B228:B1509,"1 2 4 1 9 12 31111 6 M78 07000 151 00C 002 51901 015 2112000 2019 00000000 001*")</f>
        <v>19200</v>
      </c>
      <c r="E227" s="29"/>
      <c r="F227" s="28">
        <f>SUMIFS(F228:F1509,K228:K1509,"0",B228:B1509,"1 2 4 1 9 12 31111 6 M78 07000 151 00C 002 51901 015 2112000 2019 00000000 001*")</f>
        <v>0</v>
      </c>
      <c r="G227" s="28">
        <f>SUMIFS(G228:G1509,K228:K1509,"0",B228:B1509,"1 2 4 1 9 12 31111 6 M78 07000 151 00C 002 51901 015 2112000 2019 00000000 001*")</f>
        <v>0</v>
      </c>
      <c r="H227" s="28">
        <f t="shared" si="3"/>
        <v>19200</v>
      </c>
      <c r="I227" s="28"/>
      <c r="K227" t="s">
        <v>15</v>
      </c>
    </row>
    <row r="228" spans="2:11" ht="33" x14ac:dyDescent="0.15">
      <c r="B228" s="27" t="s">
        <v>360</v>
      </c>
      <c r="C228" s="27" t="s">
        <v>185</v>
      </c>
      <c r="D228" s="28">
        <f>SUMIFS(D229:D1509,K229:K1509,"0",B229:B1509,"1 2 4 1 9 12 31111 6 M78 07000 151 00C 002 51901 015 2112000 2019 00000000 001 001*")-SUMIFS(E229:E1509,K229:K1509,"0",B229:B1509,"1 2 4 1 9 12 31111 6 M78 07000 151 00C 002 51901 015 2112000 2019 00000000 001 001*")</f>
        <v>4800</v>
      </c>
      <c r="E228" s="29"/>
      <c r="F228" s="28">
        <f>SUMIFS(F229:F1509,K229:K1509,"0",B229:B1509,"1 2 4 1 9 12 31111 6 M78 07000 151 00C 002 51901 015 2112000 2019 00000000 001 001*")</f>
        <v>0</v>
      </c>
      <c r="G228" s="28">
        <f>SUMIFS(G229:G1509,K229:K1509,"0",B229:B1509,"1 2 4 1 9 12 31111 6 M78 07000 151 00C 002 51901 015 2112000 2019 00000000 001 001*")</f>
        <v>0</v>
      </c>
      <c r="H228" s="28">
        <f t="shared" si="3"/>
        <v>4800</v>
      </c>
      <c r="I228" s="28"/>
      <c r="K228" t="s">
        <v>15</v>
      </c>
    </row>
    <row r="229" spans="2:11" ht="33" x14ac:dyDescent="0.15">
      <c r="B229" s="30" t="s">
        <v>361</v>
      </c>
      <c r="C229" s="30" t="s">
        <v>362</v>
      </c>
      <c r="D229" s="31">
        <v>4800</v>
      </c>
      <c r="E229" s="31"/>
      <c r="F229" s="31">
        <v>0</v>
      </c>
      <c r="G229" s="31">
        <v>0</v>
      </c>
      <c r="H229" s="31">
        <f t="shared" si="3"/>
        <v>4800</v>
      </c>
      <c r="I229" s="31"/>
      <c r="K229" t="s">
        <v>38</v>
      </c>
    </row>
    <row r="230" spans="2:11" ht="33" x14ac:dyDescent="0.15">
      <c r="B230" s="27" t="s">
        <v>363</v>
      </c>
      <c r="C230" s="27" t="s">
        <v>195</v>
      </c>
      <c r="D230" s="28">
        <f>SUMIFS(D231:D1509,K231:K1509,"0",B231:B1509,"1 2 4 1 9 12 31111 6 M78 07000 151 00C 002 51901 015 2112000 2019 00000000 001 002*")-SUMIFS(E231:E1509,K231:K1509,"0",B231:B1509,"1 2 4 1 9 12 31111 6 M78 07000 151 00C 002 51901 015 2112000 2019 00000000 001 002*")</f>
        <v>4800</v>
      </c>
      <c r="E230" s="29"/>
      <c r="F230" s="28">
        <f>SUMIFS(F231:F1509,K231:K1509,"0",B231:B1509,"1 2 4 1 9 12 31111 6 M78 07000 151 00C 002 51901 015 2112000 2019 00000000 001 002*")</f>
        <v>0</v>
      </c>
      <c r="G230" s="28">
        <f>SUMIFS(G231:G1509,K231:K1509,"0",B231:B1509,"1 2 4 1 9 12 31111 6 M78 07000 151 00C 002 51901 015 2112000 2019 00000000 001 002*")</f>
        <v>0</v>
      </c>
      <c r="H230" s="28">
        <f t="shared" si="3"/>
        <v>4800</v>
      </c>
      <c r="I230" s="28"/>
      <c r="K230" t="s">
        <v>15</v>
      </c>
    </row>
    <row r="231" spans="2:11" ht="33" x14ac:dyDescent="0.15">
      <c r="B231" s="30" t="s">
        <v>364</v>
      </c>
      <c r="C231" s="30" t="s">
        <v>362</v>
      </c>
      <c r="D231" s="31">
        <v>4800</v>
      </c>
      <c r="E231" s="31"/>
      <c r="F231" s="31">
        <v>0</v>
      </c>
      <c r="G231" s="31">
        <v>0</v>
      </c>
      <c r="H231" s="31">
        <f t="shared" si="3"/>
        <v>4800</v>
      </c>
      <c r="I231" s="31"/>
      <c r="K231" t="s">
        <v>38</v>
      </c>
    </row>
    <row r="232" spans="2:11" ht="33" x14ac:dyDescent="0.15">
      <c r="B232" s="27" t="s">
        <v>365</v>
      </c>
      <c r="C232" s="27" t="s">
        <v>366</v>
      </c>
      <c r="D232" s="28">
        <f>SUMIFS(D233:D1509,K233:K1509,"0",B233:B1509,"1 2 4 1 9 12 31111 6 M78 07000 151 00C 002 51901 015 2112000 2019 00000000 001 007*")-SUMIFS(E233:E1509,K233:K1509,"0",B233:B1509,"1 2 4 1 9 12 31111 6 M78 07000 151 00C 002 51901 015 2112000 2019 00000000 001 007*")</f>
        <v>4800</v>
      </c>
      <c r="E232" s="29"/>
      <c r="F232" s="28">
        <f>SUMIFS(F233:F1509,K233:K1509,"0",B233:B1509,"1 2 4 1 9 12 31111 6 M78 07000 151 00C 002 51901 015 2112000 2019 00000000 001 007*")</f>
        <v>0</v>
      </c>
      <c r="G232" s="28">
        <f>SUMIFS(G233:G1509,K233:K1509,"0",B233:B1509,"1 2 4 1 9 12 31111 6 M78 07000 151 00C 002 51901 015 2112000 2019 00000000 001 007*")</f>
        <v>0</v>
      </c>
      <c r="H232" s="28">
        <f t="shared" si="3"/>
        <v>4800</v>
      </c>
      <c r="I232" s="28"/>
      <c r="K232" t="s">
        <v>15</v>
      </c>
    </row>
    <row r="233" spans="2:11" ht="33" x14ac:dyDescent="0.15">
      <c r="B233" s="30" t="s">
        <v>367</v>
      </c>
      <c r="C233" s="30" t="s">
        <v>362</v>
      </c>
      <c r="D233" s="31">
        <v>4800</v>
      </c>
      <c r="E233" s="31"/>
      <c r="F233" s="31">
        <v>0</v>
      </c>
      <c r="G233" s="31">
        <v>0</v>
      </c>
      <c r="H233" s="31">
        <f t="shared" si="3"/>
        <v>4800</v>
      </c>
      <c r="I233" s="31"/>
      <c r="K233" t="s">
        <v>38</v>
      </c>
    </row>
    <row r="234" spans="2:11" ht="33" x14ac:dyDescent="0.15">
      <c r="B234" s="27" t="s">
        <v>368</v>
      </c>
      <c r="C234" s="27" t="s">
        <v>369</v>
      </c>
      <c r="D234" s="28">
        <f>SUMIFS(D235:D1509,K235:K1509,"0",B235:B1509,"1 2 4 1 9 12 31111 6 M78 07000 151 00C 002 51901 015 2112000 2019 00000000 001 009*")-SUMIFS(E235:E1509,K235:K1509,"0",B235:B1509,"1 2 4 1 9 12 31111 6 M78 07000 151 00C 002 51901 015 2112000 2019 00000000 001 009*")</f>
        <v>4800</v>
      </c>
      <c r="E234" s="29"/>
      <c r="F234" s="28">
        <f>SUMIFS(F235:F1509,K235:K1509,"0",B235:B1509,"1 2 4 1 9 12 31111 6 M78 07000 151 00C 002 51901 015 2112000 2019 00000000 001 009*")</f>
        <v>0</v>
      </c>
      <c r="G234" s="28">
        <f>SUMIFS(G235:G1509,K235:K1509,"0",B235:B1509,"1 2 4 1 9 12 31111 6 M78 07000 151 00C 002 51901 015 2112000 2019 00000000 001 009*")</f>
        <v>0</v>
      </c>
      <c r="H234" s="28">
        <f t="shared" si="3"/>
        <v>4800</v>
      </c>
      <c r="I234" s="28"/>
      <c r="K234" t="s">
        <v>15</v>
      </c>
    </row>
    <row r="235" spans="2:11" ht="33" x14ac:dyDescent="0.15">
      <c r="B235" s="30" t="s">
        <v>370</v>
      </c>
      <c r="C235" s="30" t="s">
        <v>362</v>
      </c>
      <c r="D235" s="31">
        <v>4800</v>
      </c>
      <c r="E235" s="31"/>
      <c r="F235" s="31">
        <v>0</v>
      </c>
      <c r="G235" s="31">
        <v>0</v>
      </c>
      <c r="H235" s="31">
        <f t="shared" si="3"/>
        <v>4800</v>
      </c>
      <c r="I235" s="31"/>
      <c r="K235" t="s">
        <v>38</v>
      </c>
    </row>
    <row r="236" spans="2:11" ht="13" x14ac:dyDescent="0.15">
      <c r="B236" s="27" t="s">
        <v>371</v>
      </c>
      <c r="C236" s="27" t="s">
        <v>372</v>
      </c>
      <c r="D236" s="28">
        <f>SUMIFS(D237:D1509,K237:K1509,"0",B237:B1509,"1 2 4 4*")-SUMIFS(E237:E1509,K237:K1509,"0",B237:B1509,"1 2 4 4*")</f>
        <v>786235</v>
      </c>
      <c r="E236" s="29"/>
      <c r="F236" s="28">
        <f>SUMIFS(F237:F1509,K237:K1509,"0",B237:B1509,"1 2 4 4*")</f>
        <v>0</v>
      </c>
      <c r="G236" s="28">
        <f>SUMIFS(G237:G1509,K237:K1509,"0",B237:B1509,"1 2 4 4*")</f>
        <v>40000</v>
      </c>
      <c r="H236" s="28">
        <f t="shared" si="3"/>
        <v>746235</v>
      </c>
      <c r="I236" s="28"/>
      <c r="K236" t="s">
        <v>15</v>
      </c>
    </row>
    <row r="237" spans="2:11" ht="13" x14ac:dyDescent="0.15">
      <c r="B237" s="27" t="s">
        <v>373</v>
      </c>
      <c r="C237" s="27" t="s">
        <v>374</v>
      </c>
      <c r="D237" s="28">
        <f>SUMIFS(D238:D1509,K238:K1509,"0",B238:B1509,"1 2 4 4 1*")-SUMIFS(E238:E1509,K238:K1509,"0",B238:B1509,"1 2 4 4 1*")</f>
        <v>786235</v>
      </c>
      <c r="E237" s="29"/>
      <c r="F237" s="28">
        <f>SUMIFS(F238:F1509,K238:K1509,"0",B238:B1509,"1 2 4 4 1*")</f>
        <v>0</v>
      </c>
      <c r="G237" s="28">
        <f>SUMIFS(G238:G1509,K238:K1509,"0",B238:B1509,"1 2 4 4 1*")</f>
        <v>40000</v>
      </c>
      <c r="H237" s="28">
        <f t="shared" si="3"/>
        <v>746235</v>
      </c>
      <c r="I237" s="28"/>
      <c r="K237" t="s">
        <v>15</v>
      </c>
    </row>
    <row r="238" spans="2:11" ht="13" x14ac:dyDescent="0.15">
      <c r="B238" s="27" t="s">
        <v>375</v>
      </c>
      <c r="C238" s="27" t="s">
        <v>26</v>
      </c>
      <c r="D238" s="28">
        <f>SUMIFS(D239:D1509,K239:K1509,"0",B239:B1509,"1 2 4 4 1 12*")-SUMIFS(E239:E1509,K239:K1509,"0",B239:B1509,"1 2 4 4 1 12*")</f>
        <v>786235</v>
      </c>
      <c r="E238" s="29"/>
      <c r="F238" s="28">
        <f>SUMIFS(F239:F1509,K239:K1509,"0",B239:B1509,"1 2 4 4 1 12*")</f>
        <v>0</v>
      </c>
      <c r="G238" s="28">
        <f>SUMIFS(G239:G1509,K239:K1509,"0",B239:B1509,"1 2 4 4 1 12*")</f>
        <v>40000</v>
      </c>
      <c r="H238" s="28">
        <f t="shared" si="3"/>
        <v>746235</v>
      </c>
      <c r="I238" s="28"/>
      <c r="K238" t="s">
        <v>15</v>
      </c>
    </row>
    <row r="239" spans="2:11" ht="13" x14ac:dyDescent="0.15">
      <c r="B239" s="27" t="s">
        <v>376</v>
      </c>
      <c r="C239" s="27" t="s">
        <v>28</v>
      </c>
      <c r="D239" s="28">
        <f>SUMIFS(D240:D1509,K240:K1509,"0",B240:B1509,"1 2 4 4 1 12 31111*")-SUMIFS(E240:E1509,K240:K1509,"0",B240:B1509,"1 2 4 4 1 12 31111*")</f>
        <v>786235</v>
      </c>
      <c r="E239" s="29"/>
      <c r="F239" s="28">
        <f>SUMIFS(F240:F1509,K240:K1509,"0",B240:B1509,"1 2 4 4 1 12 31111*")</f>
        <v>0</v>
      </c>
      <c r="G239" s="28">
        <f>SUMIFS(G240:G1509,K240:K1509,"0",B240:B1509,"1 2 4 4 1 12 31111*")</f>
        <v>40000</v>
      </c>
      <c r="H239" s="28">
        <f t="shared" si="3"/>
        <v>746235</v>
      </c>
      <c r="I239" s="28"/>
      <c r="K239" t="s">
        <v>15</v>
      </c>
    </row>
    <row r="240" spans="2:11" ht="13" x14ac:dyDescent="0.15">
      <c r="B240" s="27" t="s">
        <v>377</v>
      </c>
      <c r="C240" s="27" t="s">
        <v>30</v>
      </c>
      <c r="D240" s="28">
        <f>SUMIFS(D241:D1509,K241:K1509,"0",B241:B1509,"1 2 4 4 1 12 31111 6*")-SUMIFS(E241:E1509,K241:K1509,"0",B241:B1509,"1 2 4 4 1 12 31111 6*")</f>
        <v>786235</v>
      </c>
      <c r="E240" s="29"/>
      <c r="F240" s="28">
        <f>SUMIFS(F241:F1509,K241:K1509,"0",B241:B1509,"1 2 4 4 1 12 31111 6*")</f>
        <v>0</v>
      </c>
      <c r="G240" s="28">
        <f>SUMIFS(G241:G1509,K241:K1509,"0",B241:B1509,"1 2 4 4 1 12 31111 6*")</f>
        <v>40000</v>
      </c>
      <c r="H240" s="28">
        <f t="shared" si="3"/>
        <v>746235</v>
      </c>
      <c r="I240" s="28"/>
      <c r="K240" t="s">
        <v>15</v>
      </c>
    </row>
    <row r="241" spans="2:11" ht="13" x14ac:dyDescent="0.15">
      <c r="B241" s="27" t="s">
        <v>378</v>
      </c>
      <c r="C241" s="27" t="s">
        <v>32</v>
      </c>
      <c r="D241" s="28">
        <f>SUMIFS(D242:D1509,K242:K1509,"0",B242:B1509,"1 2 4 4 1 12 31111 6 M78*")-SUMIFS(E242:E1509,K242:K1509,"0",B242:B1509,"1 2 4 4 1 12 31111 6 M78*")</f>
        <v>786235</v>
      </c>
      <c r="E241" s="29"/>
      <c r="F241" s="28">
        <f>SUMIFS(F242:F1509,K242:K1509,"0",B242:B1509,"1 2 4 4 1 12 31111 6 M78*")</f>
        <v>0</v>
      </c>
      <c r="G241" s="28">
        <f>SUMIFS(G242:G1509,K242:K1509,"0",B242:B1509,"1 2 4 4 1 12 31111 6 M78*")</f>
        <v>40000</v>
      </c>
      <c r="H241" s="28">
        <f t="shared" si="3"/>
        <v>746235</v>
      </c>
      <c r="I241" s="28"/>
      <c r="K241" t="s">
        <v>15</v>
      </c>
    </row>
    <row r="242" spans="2:11" ht="13" x14ac:dyDescent="0.15">
      <c r="B242" s="27" t="s">
        <v>379</v>
      </c>
      <c r="C242" s="27" t="s">
        <v>136</v>
      </c>
      <c r="D242" s="28">
        <f>SUMIFS(D243:D1509,K243:K1509,"0",B243:B1509,"1 2 4 4 1 12 31111 6 M78 00000*")-SUMIFS(E243:E1509,K243:K1509,"0",B243:B1509,"1 2 4 4 1 12 31111 6 M78 00000*")</f>
        <v>274735</v>
      </c>
      <c r="E242" s="29"/>
      <c r="F242" s="28">
        <f>SUMIFS(F243:F1509,K243:K1509,"0",B243:B1509,"1 2 4 4 1 12 31111 6 M78 00000*")</f>
        <v>0</v>
      </c>
      <c r="G242" s="28">
        <f>SUMIFS(G243:G1509,K243:K1509,"0",B243:B1509,"1 2 4 4 1 12 31111 6 M78 00000*")</f>
        <v>40000</v>
      </c>
      <c r="H242" s="28">
        <f t="shared" si="3"/>
        <v>234735</v>
      </c>
      <c r="I242" s="28"/>
      <c r="K242" t="s">
        <v>15</v>
      </c>
    </row>
    <row r="243" spans="2:11" ht="13" x14ac:dyDescent="0.15">
      <c r="B243" s="27" t="s">
        <v>380</v>
      </c>
      <c r="C243" s="27" t="s">
        <v>9</v>
      </c>
      <c r="D243" s="28">
        <f>SUMIFS(D244:D1509,K244:K1509,"0",B244:B1509,"1 2 4 4 1 12 31111 6 M78 00000 001*")-SUMIFS(E244:E1509,K244:K1509,"0",B244:B1509,"1 2 4 4 1 12 31111 6 M78 00000 001*")</f>
        <v>274735</v>
      </c>
      <c r="E243" s="29"/>
      <c r="F243" s="28">
        <f>SUMIFS(F244:F1509,K244:K1509,"0",B244:B1509,"1 2 4 4 1 12 31111 6 M78 00000 001*")</f>
        <v>0</v>
      </c>
      <c r="G243" s="28">
        <f>SUMIFS(G244:G1509,K244:K1509,"0",B244:B1509,"1 2 4 4 1 12 31111 6 M78 00000 001*")</f>
        <v>40000</v>
      </c>
      <c r="H243" s="28">
        <f t="shared" si="3"/>
        <v>234735</v>
      </c>
      <c r="I243" s="28"/>
      <c r="K243" t="s">
        <v>15</v>
      </c>
    </row>
    <row r="244" spans="2:11" ht="13" x14ac:dyDescent="0.15">
      <c r="B244" s="27" t="s">
        <v>381</v>
      </c>
      <c r="C244" s="27" t="s">
        <v>139</v>
      </c>
      <c r="D244" s="28">
        <f>SUMIFS(D245:D1509,K245:K1509,"0",B245:B1509,"1 2 4 4 1 12 31111 6 M78 00000 001 001*")-SUMIFS(E245:E1509,K245:K1509,"0",B245:B1509,"1 2 4 4 1 12 31111 6 M78 00000 001 001*")</f>
        <v>274735</v>
      </c>
      <c r="E244" s="29"/>
      <c r="F244" s="28">
        <f>SUMIFS(F245:F1509,K245:K1509,"0",B245:B1509,"1 2 4 4 1 12 31111 6 M78 00000 001 001*")</f>
        <v>0</v>
      </c>
      <c r="G244" s="28">
        <f>SUMIFS(G245:G1509,K245:K1509,"0",B245:B1509,"1 2 4 4 1 12 31111 6 M78 00000 001 001*")</f>
        <v>40000</v>
      </c>
      <c r="H244" s="28">
        <f t="shared" si="3"/>
        <v>234735</v>
      </c>
      <c r="I244" s="28"/>
      <c r="K244" t="s">
        <v>15</v>
      </c>
    </row>
    <row r="245" spans="2:11" ht="22" x14ac:dyDescent="0.15">
      <c r="B245" s="27" t="s">
        <v>382</v>
      </c>
      <c r="C245" s="27" t="s">
        <v>383</v>
      </c>
      <c r="D245" s="28">
        <f>SUMIFS(D246:D1509,K246:K1509,"0",B246:B1509,"1 2 4 4 1 12 31111 6 M78 00000 001 001 001*")-SUMIFS(E246:E1509,K246:K1509,"0",B246:B1509,"1 2 4 4 1 12 31111 6 M78 00000 001 001 001*")</f>
        <v>274735</v>
      </c>
      <c r="E245" s="29"/>
      <c r="F245" s="28">
        <f>SUMIFS(F246:F1509,K246:K1509,"0",B246:B1509,"1 2 4 4 1 12 31111 6 M78 00000 001 001 001*")</f>
        <v>0</v>
      </c>
      <c r="G245" s="28">
        <f>SUMIFS(G246:G1509,K246:K1509,"0",B246:B1509,"1 2 4 4 1 12 31111 6 M78 00000 001 001 001*")</f>
        <v>40000</v>
      </c>
      <c r="H245" s="28">
        <f t="shared" si="3"/>
        <v>234735</v>
      </c>
      <c r="I245" s="28"/>
      <c r="K245" t="s">
        <v>15</v>
      </c>
    </row>
    <row r="246" spans="2:11" ht="22" x14ac:dyDescent="0.15">
      <c r="B246" s="27" t="s">
        <v>384</v>
      </c>
      <c r="C246" s="27" t="s">
        <v>195</v>
      </c>
      <c r="D246" s="28">
        <f>SUMIFS(D247:D1509,K247:K1509,"0",B247:B1509,"1 2 4 4 1 12 31111 6 M78 00000 001 001 001 00001*")-SUMIFS(E247:E1509,K247:K1509,"0",B247:B1509,"1 2 4 4 1 12 31111 6 M78 00000 001 001 001 00001*")</f>
        <v>194735</v>
      </c>
      <c r="E246" s="29"/>
      <c r="F246" s="28">
        <f>SUMIFS(F247:F1509,K247:K1509,"0",B247:B1509,"1 2 4 4 1 12 31111 6 M78 00000 001 001 001 00001*")</f>
        <v>0</v>
      </c>
      <c r="G246" s="28">
        <f>SUMIFS(G247:G1509,K247:K1509,"0",B247:B1509,"1 2 4 4 1 12 31111 6 M78 00000 001 001 001 00001*")</f>
        <v>0</v>
      </c>
      <c r="H246" s="28">
        <f t="shared" si="3"/>
        <v>194735</v>
      </c>
      <c r="I246" s="28"/>
      <c r="K246" t="s">
        <v>15</v>
      </c>
    </row>
    <row r="247" spans="2:11" ht="22" x14ac:dyDescent="0.15">
      <c r="B247" s="30" t="s">
        <v>385</v>
      </c>
      <c r="C247" s="30" t="s">
        <v>386</v>
      </c>
      <c r="D247" s="31">
        <v>194735</v>
      </c>
      <c r="E247" s="31"/>
      <c r="F247" s="31">
        <v>0</v>
      </c>
      <c r="G247" s="31">
        <v>0</v>
      </c>
      <c r="H247" s="31">
        <f t="shared" si="3"/>
        <v>194735</v>
      </c>
      <c r="I247" s="31"/>
      <c r="K247" t="s">
        <v>38</v>
      </c>
    </row>
    <row r="248" spans="2:11" ht="22" x14ac:dyDescent="0.15">
      <c r="B248" s="27" t="s">
        <v>387</v>
      </c>
      <c r="C248" s="27" t="s">
        <v>9</v>
      </c>
      <c r="D248" s="28">
        <f>SUMIFS(D249:D1509,K249:K1509,"0",B249:B1509,"1 2 4 4 1 12 31111 6 M78 00000 001 001 001 00002*")-SUMIFS(E249:E1509,K249:K1509,"0",B249:B1509,"1 2 4 4 1 12 31111 6 M78 00000 001 001 001 00002*")</f>
        <v>40000</v>
      </c>
      <c r="E248" s="29"/>
      <c r="F248" s="28">
        <f>SUMIFS(F249:F1509,K249:K1509,"0",B249:B1509,"1 2 4 4 1 12 31111 6 M78 00000 001 001 001 00002*")</f>
        <v>0</v>
      </c>
      <c r="G248" s="28">
        <f>SUMIFS(G249:G1509,K249:K1509,"0",B249:B1509,"1 2 4 4 1 12 31111 6 M78 00000 001 001 001 00002*")</f>
        <v>0</v>
      </c>
      <c r="H248" s="28">
        <f t="shared" si="3"/>
        <v>40000</v>
      </c>
      <c r="I248" s="28"/>
      <c r="K248" t="s">
        <v>15</v>
      </c>
    </row>
    <row r="249" spans="2:11" ht="22" x14ac:dyDescent="0.15">
      <c r="B249" s="30" t="s">
        <v>388</v>
      </c>
      <c r="C249" s="30" t="s">
        <v>389</v>
      </c>
      <c r="D249" s="31">
        <v>40000</v>
      </c>
      <c r="E249" s="31"/>
      <c r="F249" s="31">
        <v>0</v>
      </c>
      <c r="G249" s="31">
        <v>0</v>
      </c>
      <c r="H249" s="31">
        <f t="shared" si="3"/>
        <v>40000</v>
      </c>
      <c r="I249" s="31"/>
      <c r="K249" t="s">
        <v>38</v>
      </c>
    </row>
    <row r="250" spans="2:11" ht="22" x14ac:dyDescent="0.15">
      <c r="B250" s="27" t="s">
        <v>390</v>
      </c>
      <c r="C250" s="27" t="s">
        <v>237</v>
      </c>
      <c r="D250" s="28">
        <f>SUMIFS(D251:D1509,K251:K1509,"0",B251:B1509,"1 2 4 4 1 12 31111 6 M78 00000 001 001 001 00003*")-SUMIFS(E251:E1509,K251:K1509,"0",B251:B1509,"1 2 4 4 1 12 31111 6 M78 00000 001 001 001 00003*")</f>
        <v>40000</v>
      </c>
      <c r="E250" s="29"/>
      <c r="F250" s="28">
        <f>SUMIFS(F251:F1509,K251:K1509,"0",B251:B1509,"1 2 4 4 1 12 31111 6 M78 00000 001 001 001 00003*")</f>
        <v>0</v>
      </c>
      <c r="G250" s="28">
        <f>SUMIFS(G251:G1509,K251:K1509,"0",B251:B1509,"1 2 4 4 1 12 31111 6 M78 00000 001 001 001 00003*")</f>
        <v>40000</v>
      </c>
      <c r="H250" s="28">
        <f t="shared" si="3"/>
        <v>0</v>
      </c>
      <c r="I250" s="28"/>
      <c r="K250" t="s">
        <v>15</v>
      </c>
    </row>
    <row r="251" spans="2:11" ht="22" x14ac:dyDescent="0.15">
      <c r="B251" s="30" t="s">
        <v>391</v>
      </c>
      <c r="C251" s="30" t="s">
        <v>392</v>
      </c>
      <c r="D251" s="31">
        <v>40000</v>
      </c>
      <c r="E251" s="31"/>
      <c r="F251" s="31">
        <v>0</v>
      </c>
      <c r="G251" s="31">
        <v>40000</v>
      </c>
      <c r="H251" s="31">
        <f t="shared" si="3"/>
        <v>0</v>
      </c>
      <c r="I251" s="31"/>
      <c r="K251" t="s">
        <v>38</v>
      </c>
    </row>
    <row r="252" spans="2:11" ht="13" x14ac:dyDescent="0.15">
      <c r="B252" s="27" t="s">
        <v>393</v>
      </c>
      <c r="C252" s="27" t="s">
        <v>8</v>
      </c>
      <c r="D252" s="28">
        <f>SUMIFS(D253:D1509,K253:K1509,"0",B253:B1509,"1 2 4 4 1 12 31111 6 M78 07000*")-SUMIFS(E253:E1509,K253:K1509,"0",B253:B1509,"1 2 4 4 1 12 31111 6 M78 07000*")</f>
        <v>511500</v>
      </c>
      <c r="E252" s="29"/>
      <c r="F252" s="28">
        <f>SUMIFS(F253:F1509,K253:K1509,"0",B253:B1509,"1 2 4 4 1 12 31111 6 M78 07000*")</f>
        <v>0</v>
      </c>
      <c r="G252" s="28">
        <f>SUMIFS(G253:G1509,K253:K1509,"0",B253:B1509,"1 2 4 4 1 12 31111 6 M78 07000*")</f>
        <v>0</v>
      </c>
      <c r="H252" s="28">
        <f t="shared" si="3"/>
        <v>511500</v>
      </c>
      <c r="I252" s="28"/>
      <c r="K252" t="s">
        <v>15</v>
      </c>
    </row>
    <row r="253" spans="2:11" ht="13" x14ac:dyDescent="0.15">
      <c r="B253" s="27" t="s">
        <v>394</v>
      </c>
      <c r="C253" s="27" t="s">
        <v>168</v>
      </c>
      <c r="D253" s="28">
        <f>SUMIFS(D254:D1509,K254:K1509,"0",B254:B1509,"1 2 4 4 1 12 31111 6 M78 07000 151*")-SUMIFS(E254:E1509,K254:K1509,"0",B254:B1509,"1 2 4 4 1 12 31111 6 M78 07000 151*")</f>
        <v>511500</v>
      </c>
      <c r="E253" s="29"/>
      <c r="F253" s="28">
        <f>SUMIFS(F254:F1509,K254:K1509,"0",B254:B1509,"1 2 4 4 1 12 31111 6 M78 07000 151*")</f>
        <v>0</v>
      </c>
      <c r="G253" s="28">
        <f>SUMIFS(G254:G1509,K254:K1509,"0",B254:B1509,"1 2 4 4 1 12 31111 6 M78 07000 151*")</f>
        <v>0</v>
      </c>
      <c r="H253" s="28">
        <f t="shared" si="3"/>
        <v>511500</v>
      </c>
      <c r="I253" s="28"/>
      <c r="K253" t="s">
        <v>15</v>
      </c>
    </row>
    <row r="254" spans="2:11" ht="13" x14ac:dyDescent="0.15">
      <c r="B254" s="27" t="s">
        <v>395</v>
      </c>
      <c r="C254" s="27" t="s">
        <v>170</v>
      </c>
      <c r="D254" s="28">
        <f>SUMIFS(D255:D1509,K255:K1509,"0",B255:B1509,"1 2 4 4 1 12 31111 6 M78 07000 151 00C*")-SUMIFS(E255:E1509,K255:K1509,"0",B255:B1509,"1 2 4 4 1 12 31111 6 M78 07000 151 00C*")</f>
        <v>511500</v>
      </c>
      <c r="E254" s="29"/>
      <c r="F254" s="28">
        <f>SUMIFS(F255:F1509,K255:K1509,"0",B255:B1509,"1 2 4 4 1 12 31111 6 M78 07000 151 00C*")</f>
        <v>0</v>
      </c>
      <c r="G254" s="28">
        <f>SUMIFS(G255:G1509,K255:K1509,"0",B255:B1509,"1 2 4 4 1 12 31111 6 M78 07000 151 00C*")</f>
        <v>0</v>
      </c>
      <c r="H254" s="28">
        <f t="shared" si="3"/>
        <v>511500</v>
      </c>
      <c r="I254" s="28"/>
      <c r="K254" t="s">
        <v>15</v>
      </c>
    </row>
    <row r="255" spans="2:11" ht="22" x14ac:dyDescent="0.15">
      <c r="B255" s="27" t="s">
        <v>396</v>
      </c>
      <c r="C255" s="27" t="s">
        <v>172</v>
      </c>
      <c r="D255" s="28">
        <f>SUMIFS(D256:D1509,K256:K1509,"0",B256:B1509,"1 2 4 4 1 12 31111 6 M78 07000 151 00C 002*")-SUMIFS(E256:E1509,K256:K1509,"0",B256:B1509,"1 2 4 4 1 12 31111 6 M78 07000 151 00C 002*")</f>
        <v>511500</v>
      </c>
      <c r="E255" s="29"/>
      <c r="F255" s="28">
        <f>SUMIFS(F256:F1509,K256:K1509,"0",B256:B1509,"1 2 4 4 1 12 31111 6 M78 07000 151 00C 002*")</f>
        <v>0</v>
      </c>
      <c r="G255" s="28">
        <f>SUMIFS(G256:G1509,K256:K1509,"0",B256:B1509,"1 2 4 4 1 12 31111 6 M78 07000 151 00C 002*")</f>
        <v>0</v>
      </c>
      <c r="H255" s="28">
        <f t="shared" si="3"/>
        <v>511500</v>
      </c>
      <c r="I255" s="28"/>
      <c r="K255" t="s">
        <v>15</v>
      </c>
    </row>
    <row r="256" spans="2:11" ht="22" x14ac:dyDescent="0.15">
      <c r="B256" s="27" t="s">
        <v>397</v>
      </c>
      <c r="C256" s="27" t="s">
        <v>398</v>
      </c>
      <c r="D256" s="28">
        <f>SUMIFS(D257:D1509,K257:K1509,"0",B257:B1509,"1 2 4 4 1 12 31111 6 M78 07000 151 00C 002 54105*")-SUMIFS(E257:E1509,K257:K1509,"0",B257:B1509,"1 2 4 4 1 12 31111 6 M78 07000 151 00C 002 54105*")</f>
        <v>511500</v>
      </c>
      <c r="E256" s="29"/>
      <c r="F256" s="28">
        <f>SUMIFS(F257:F1509,K257:K1509,"0",B257:B1509,"1 2 4 4 1 12 31111 6 M78 07000 151 00C 002 54105*")</f>
        <v>0</v>
      </c>
      <c r="G256" s="28">
        <f>SUMIFS(G257:G1509,K257:K1509,"0",B257:B1509,"1 2 4 4 1 12 31111 6 M78 07000 151 00C 002 54105*")</f>
        <v>0</v>
      </c>
      <c r="H256" s="28">
        <f t="shared" si="3"/>
        <v>511500</v>
      </c>
      <c r="I256" s="28"/>
      <c r="K256" t="s">
        <v>15</v>
      </c>
    </row>
    <row r="257" spans="2:11" ht="22" x14ac:dyDescent="0.15">
      <c r="B257" s="27" t="s">
        <v>399</v>
      </c>
      <c r="C257" s="27" t="s">
        <v>400</v>
      </c>
      <c r="D257" s="28">
        <f>SUMIFS(D258:D1509,K258:K1509,"0",B258:B1509,"1 2 4 4 1 12 31111 6 M78 07000 151 00C 002 54105 015*")-SUMIFS(E258:E1509,K258:K1509,"0",B258:B1509,"1 2 4 4 1 12 31111 6 M78 07000 151 00C 002 54105 015*")</f>
        <v>511500</v>
      </c>
      <c r="E257" s="29"/>
      <c r="F257" s="28">
        <f>SUMIFS(F258:F1509,K258:K1509,"0",B258:B1509,"1 2 4 4 1 12 31111 6 M78 07000 151 00C 002 54105 015*")</f>
        <v>0</v>
      </c>
      <c r="G257" s="28">
        <f>SUMIFS(G258:G1509,K258:K1509,"0",B258:B1509,"1 2 4 4 1 12 31111 6 M78 07000 151 00C 002 54105 015*")</f>
        <v>0</v>
      </c>
      <c r="H257" s="28">
        <f t="shared" si="3"/>
        <v>511500</v>
      </c>
      <c r="I257" s="28"/>
      <c r="K257" t="s">
        <v>15</v>
      </c>
    </row>
    <row r="258" spans="2:11" ht="22" x14ac:dyDescent="0.15">
      <c r="B258" s="27" t="s">
        <v>401</v>
      </c>
      <c r="C258" s="27" t="s">
        <v>402</v>
      </c>
      <c r="D258" s="28">
        <f>SUMIFS(D259:D1509,K259:K1509,"0",B259:B1509,"1 2 4 4 1 12 31111 6 M78 07000 151 00C 002 54105 015 2222100*")-SUMIFS(E259:E1509,K259:K1509,"0",B259:B1509,"1 2 4 4 1 12 31111 6 M78 07000 151 00C 002 54105 015 2222100*")</f>
        <v>511500</v>
      </c>
      <c r="E258" s="29"/>
      <c r="F258" s="28">
        <f>SUMIFS(F259:F1509,K259:K1509,"0",B259:B1509,"1 2 4 4 1 12 31111 6 M78 07000 151 00C 002 54105 015 2222100*")</f>
        <v>0</v>
      </c>
      <c r="G258" s="28">
        <f>SUMIFS(G259:G1509,K259:K1509,"0",B259:B1509,"1 2 4 4 1 12 31111 6 M78 07000 151 00C 002 54105 015 2222100*")</f>
        <v>0</v>
      </c>
      <c r="H258" s="28">
        <f t="shared" si="3"/>
        <v>511500</v>
      </c>
      <c r="I258" s="28"/>
      <c r="K258" t="s">
        <v>15</v>
      </c>
    </row>
    <row r="259" spans="2:11" ht="22" x14ac:dyDescent="0.15">
      <c r="B259" s="27" t="s">
        <v>403</v>
      </c>
      <c r="C259" s="27" t="s">
        <v>404</v>
      </c>
      <c r="D259" s="28">
        <f>SUMIFS(D260:D1509,K260:K1509,"0",B260:B1509,"1 2 4 4 1 12 31111 6 M78 07000 151 00C 002 54105 015 2222100 2022*")-SUMIFS(E260:E1509,K260:K1509,"0",B260:B1509,"1 2 4 4 1 12 31111 6 M78 07000 151 00C 002 54105 015 2222100 2022*")</f>
        <v>511500</v>
      </c>
      <c r="E259" s="29"/>
      <c r="F259" s="28">
        <f>SUMIFS(F260:F1509,K260:K1509,"0",B260:B1509,"1 2 4 4 1 12 31111 6 M78 07000 151 00C 002 54105 015 2222100 2022*")</f>
        <v>0</v>
      </c>
      <c r="G259" s="28">
        <f>SUMIFS(G260:G1509,K260:K1509,"0",B260:B1509,"1 2 4 4 1 12 31111 6 M78 07000 151 00C 002 54105 015 2222100 2022*")</f>
        <v>0</v>
      </c>
      <c r="H259" s="28">
        <f t="shared" si="3"/>
        <v>511500</v>
      </c>
      <c r="I259" s="28"/>
      <c r="K259" t="s">
        <v>15</v>
      </c>
    </row>
    <row r="260" spans="2:11" ht="33" x14ac:dyDescent="0.15">
      <c r="B260" s="30" t="s">
        <v>405</v>
      </c>
      <c r="C260" s="30" t="s">
        <v>406</v>
      </c>
      <c r="D260" s="31">
        <v>511500</v>
      </c>
      <c r="E260" s="31"/>
      <c r="F260" s="31">
        <v>0</v>
      </c>
      <c r="G260" s="31">
        <v>0</v>
      </c>
      <c r="H260" s="31">
        <f t="shared" si="3"/>
        <v>511500</v>
      </c>
      <c r="I260" s="31"/>
      <c r="K260" t="s">
        <v>38</v>
      </c>
    </row>
    <row r="261" spans="2:11" ht="13" x14ac:dyDescent="0.15">
      <c r="B261" s="27" t="s">
        <v>407</v>
      </c>
      <c r="C261" s="27" t="s">
        <v>408</v>
      </c>
      <c r="D261" s="28">
        <f>SUMIFS(D262:D1509,K262:K1509,"0",B262:B1509,"1 2 5*")-SUMIFS(E262:E1509,K262:K1509,"0",B262:B1509,"1 2 5*")</f>
        <v>15250</v>
      </c>
      <c r="E261" s="29"/>
      <c r="F261" s="28">
        <f>SUMIFS(F262:F1509,K262:K1509,"0",B262:B1509,"1 2 5*")</f>
        <v>0</v>
      </c>
      <c r="G261" s="28">
        <f>SUMIFS(G262:G1509,K262:K1509,"0",B262:B1509,"1 2 5*")</f>
        <v>0</v>
      </c>
      <c r="H261" s="28">
        <f t="shared" si="3"/>
        <v>15250</v>
      </c>
      <c r="I261" s="28"/>
      <c r="K261" t="s">
        <v>15</v>
      </c>
    </row>
    <row r="262" spans="2:11" ht="13" x14ac:dyDescent="0.15">
      <c r="B262" s="27" t="s">
        <v>409</v>
      </c>
      <c r="C262" s="27" t="s">
        <v>410</v>
      </c>
      <c r="D262" s="28">
        <f>SUMIFS(D263:D1509,K263:K1509,"0",B263:B1509,"1 2 5 1*")-SUMIFS(E263:E1509,K263:K1509,"0",B263:B1509,"1 2 5 1*")</f>
        <v>15250</v>
      </c>
      <c r="E262" s="29"/>
      <c r="F262" s="28">
        <f>SUMIFS(F263:F1509,K263:K1509,"0",B263:B1509,"1 2 5 1*")</f>
        <v>0</v>
      </c>
      <c r="G262" s="28">
        <f>SUMIFS(G263:G1509,K263:K1509,"0",B263:B1509,"1 2 5 1*")</f>
        <v>0</v>
      </c>
      <c r="H262" s="28">
        <f t="shared" si="3"/>
        <v>15250</v>
      </c>
      <c r="I262" s="28"/>
      <c r="K262" t="s">
        <v>15</v>
      </c>
    </row>
    <row r="263" spans="2:11" ht="13" x14ac:dyDescent="0.15">
      <c r="B263" s="27" t="s">
        <v>411</v>
      </c>
      <c r="C263" s="27" t="s">
        <v>410</v>
      </c>
      <c r="D263" s="28">
        <f>SUMIFS(D264:D1509,K264:K1509,"0",B264:B1509,"1 2 5 1 1*")-SUMIFS(E264:E1509,K264:K1509,"0",B264:B1509,"1 2 5 1 1*")</f>
        <v>15250</v>
      </c>
      <c r="E263" s="29"/>
      <c r="F263" s="28">
        <f>SUMIFS(F264:F1509,K264:K1509,"0",B264:B1509,"1 2 5 1 1*")</f>
        <v>0</v>
      </c>
      <c r="G263" s="28">
        <f>SUMIFS(G264:G1509,K264:K1509,"0",B264:B1509,"1 2 5 1 1*")</f>
        <v>0</v>
      </c>
      <c r="H263" s="28">
        <f t="shared" si="3"/>
        <v>15250</v>
      </c>
      <c r="I263" s="28"/>
      <c r="K263" t="s">
        <v>15</v>
      </c>
    </row>
    <row r="264" spans="2:11" ht="13" x14ac:dyDescent="0.15">
      <c r="B264" s="27" t="s">
        <v>412</v>
      </c>
      <c r="C264" s="27" t="s">
        <v>26</v>
      </c>
      <c r="D264" s="28">
        <f>SUMIFS(D265:D1509,K265:K1509,"0",B265:B1509,"1 2 5 1 1 12*")-SUMIFS(E265:E1509,K265:K1509,"0",B265:B1509,"1 2 5 1 1 12*")</f>
        <v>15250</v>
      </c>
      <c r="E264" s="29"/>
      <c r="F264" s="28">
        <f>SUMIFS(F265:F1509,K265:K1509,"0",B265:B1509,"1 2 5 1 1 12*")</f>
        <v>0</v>
      </c>
      <c r="G264" s="28">
        <f>SUMIFS(G265:G1509,K265:K1509,"0",B265:B1509,"1 2 5 1 1 12*")</f>
        <v>0</v>
      </c>
      <c r="H264" s="28">
        <f t="shared" si="3"/>
        <v>15250</v>
      </c>
      <c r="I264" s="28"/>
      <c r="K264" t="s">
        <v>15</v>
      </c>
    </row>
    <row r="265" spans="2:11" ht="13" x14ac:dyDescent="0.15">
      <c r="B265" s="27" t="s">
        <v>413</v>
      </c>
      <c r="C265" s="27" t="s">
        <v>28</v>
      </c>
      <c r="D265" s="28">
        <f>SUMIFS(D266:D1509,K266:K1509,"0",B266:B1509,"1 2 5 1 1 12 31111*")-SUMIFS(E266:E1509,K266:K1509,"0",B266:B1509,"1 2 5 1 1 12 31111*")</f>
        <v>15250</v>
      </c>
      <c r="E265" s="29"/>
      <c r="F265" s="28">
        <f>SUMIFS(F266:F1509,K266:K1509,"0",B266:B1509,"1 2 5 1 1 12 31111*")</f>
        <v>0</v>
      </c>
      <c r="G265" s="28">
        <f>SUMIFS(G266:G1509,K266:K1509,"0",B266:B1509,"1 2 5 1 1 12 31111*")</f>
        <v>0</v>
      </c>
      <c r="H265" s="28">
        <f t="shared" si="3"/>
        <v>15250</v>
      </c>
      <c r="I265" s="28"/>
      <c r="K265" t="s">
        <v>15</v>
      </c>
    </row>
    <row r="266" spans="2:11" ht="13" x14ac:dyDescent="0.15">
      <c r="B266" s="27" t="s">
        <v>414</v>
      </c>
      <c r="C266" s="27" t="s">
        <v>415</v>
      </c>
      <c r="D266" s="28">
        <f>SUMIFS(D267:D1509,K267:K1509,"0",B267:B1509,"1 2 5 1 1 12 31111 6*")-SUMIFS(E267:E1509,K267:K1509,"0",B267:B1509,"1 2 5 1 1 12 31111 6*")</f>
        <v>15250</v>
      </c>
      <c r="E266" s="29"/>
      <c r="F266" s="28">
        <f>SUMIFS(F267:F1509,K267:K1509,"0",B267:B1509,"1 2 5 1 1 12 31111 6*")</f>
        <v>0</v>
      </c>
      <c r="G266" s="28">
        <f>SUMIFS(G267:G1509,K267:K1509,"0",B267:B1509,"1 2 5 1 1 12 31111 6*")</f>
        <v>0</v>
      </c>
      <c r="H266" s="28">
        <f t="shared" si="3"/>
        <v>15250</v>
      </c>
      <c r="I266" s="28"/>
      <c r="K266" t="s">
        <v>15</v>
      </c>
    </row>
    <row r="267" spans="2:11" ht="13" x14ac:dyDescent="0.15">
      <c r="B267" s="27" t="s">
        <v>416</v>
      </c>
      <c r="C267" s="27" t="s">
        <v>223</v>
      </c>
      <c r="D267" s="28">
        <f>SUMIFS(D268:D1509,K268:K1509,"0",B268:B1509,"1 2 5 1 1 12 31111 6 M78*")-SUMIFS(E268:E1509,K268:K1509,"0",B268:B1509,"1 2 5 1 1 12 31111 6 M78*")</f>
        <v>15250</v>
      </c>
      <c r="E267" s="29"/>
      <c r="F267" s="28">
        <f>SUMIFS(F268:F1509,K268:K1509,"0",B268:B1509,"1 2 5 1 1 12 31111 6 M78*")</f>
        <v>0</v>
      </c>
      <c r="G267" s="28">
        <f>SUMIFS(G268:G1509,K268:K1509,"0",B268:B1509,"1 2 5 1 1 12 31111 6 M78*")</f>
        <v>0</v>
      </c>
      <c r="H267" s="28">
        <f t="shared" si="3"/>
        <v>15250</v>
      </c>
      <c r="I267" s="28"/>
      <c r="K267" t="s">
        <v>15</v>
      </c>
    </row>
    <row r="268" spans="2:11" ht="13" x14ac:dyDescent="0.15">
      <c r="B268" s="27" t="s">
        <v>417</v>
      </c>
      <c r="C268" s="27" t="s">
        <v>8</v>
      </c>
      <c r="D268" s="28">
        <f>SUMIFS(D269:D1509,K269:K1509,"0",B269:B1509,"1 2 5 1 1 12 31111 6 M78 07000*")-SUMIFS(E269:E1509,K269:K1509,"0",B269:B1509,"1 2 5 1 1 12 31111 6 M78 07000*")</f>
        <v>15250</v>
      </c>
      <c r="E268" s="29"/>
      <c r="F268" s="28">
        <f>SUMIFS(F269:F1509,K269:K1509,"0",B269:B1509,"1 2 5 1 1 12 31111 6 M78 07000*")</f>
        <v>0</v>
      </c>
      <c r="G268" s="28">
        <f>SUMIFS(G269:G1509,K269:K1509,"0",B269:B1509,"1 2 5 1 1 12 31111 6 M78 07000*")</f>
        <v>0</v>
      </c>
      <c r="H268" s="28">
        <f t="shared" ref="H268:H279" si="4">D268 + F268 - G268</f>
        <v>15250</v>
      </c>
      <c r="I268" s="28"/>
      <c r="K268" t="s">
        <v>15</v>
      </c>
    </row>
    <row r="269" spans="2:11" ht="13" x14ac:dyDescent="0.15">
      <c r="B269" s="27" t="s">
        <v>418</v>
      </c>
      <c r="C269" s="27" t="s">
        <v>168</v>
      </c>
      <c r="D269" s="28">
        <f>SUMIFS(D270:D1509,K270:K1509,"0",B270:B1509,"1 2 5 1 1 12 31111 6 M78 07000 151*")-SUMIFS(E270:E1509,K270:K1509,"0",B270:B1509,"1 2 5 1 1 12 31111 6 M78 07000 151*")</f>
        <v>15250</v>
      </c>
      <c r="E269" s="29"/>
      <c r="F269" s="28">
        <f>SUMIFS(F270:F1509,K270:K1509,"0",B270:B1509,"1 2 5 1 1 12 31111 6 M78 07000 151*")</f>
        <v>0</v>
      </c>
      <c r="G269" s="28">
        <f>SUMIFS(G270:G1509,K270:K1509,"0",B270:B1509,"1 2 5 1 1 12 31111 6 M78 07000 151*")</f>
        <v>0</v>
      </c>
      <c r="H269" s="28">
        <f t="shared" si="4"/>
        <v>15250</v>
      </c>
      <c r="I269" s="28"/>
      <c r="K269" t="s">
        <v>15</v>
      </c>
    </row>
    <row r="270" spans="2:11" ht="13" x14ac:dyDescent="0.15">
      <c r="B270" s="27" t="s">
        <v>419</v>
      </c>
      <c r="C270" s="27" t="s">
        <v>170</v>
      </c>
      <c r="D270" s="28">
        <f>SUMIFS(D271:D1509,K271:K1509,"0",B271:B1509,"1 2 5 1 1 12 31111 6 M78 07000 151 00C*")-SUMIFS(E271:E1509,K271:K1509,"0",B271:B1509,"1 2 5 1 1 12 31111 6 M78 07000 151 00C*")</f>
        <v>15250</v>
      </c>
      <c r="E270" s="29"/>
      <c r="F270" s="28">
        <f>SUMIFS(F271:F1509,K271:K1509,"0",B271:B1509,"1 2 5 1 1 12 31111 6 M78 07000 151 00C*")</f>
        <v>0</v>
      </c>
      <c r="G270" s="28">
        <f>SUMIFS(G271:G1509,K271:K1509,"0",B271:B1509,"1 2 5 1 1 12 31111 6 M78 07000 151 00C*")</f>
        <v>0</v>
      </c>
      <c r="H270" s="28">
        <f t="shared" si="4"/>
        <v>15250</v>
      </c>
      <c r="I270" s="28"/>
      <c r="K270" t="s">
        <v>15</v>
      </c>
    </row>
    <row r="271" spans="2:11" ht="22" x14ac:dyDescent="0.15">
      <c r="B271" s="27" t="s">
        <v>420</v>
      </c>
      <c r="C271" s="27" t="s">
        <v>172</v>
      </c>
      <c r="D271" s="28">
        <f>SUMIFS(D272:D1509,K272:K1509,"0",B272:B1509,"1 2 5 1 1 12 31111 6 M78 07000 151 00C 002*")-SUMIFS(E272:E1509,K272:K1509,"0",B272:B1509,"1 2 5 1 1 12 31111 6 M78 07000 151 00C 002*")</f>
        <v>15250</v>
      </c>
      <c r="E271" s="29"/>
      <c r="F271" s="28">
        <f>SUMIFS(F272:F1509,K272:K1509,"0",B272:B1509,"1 2 5 1 1 12 31111 6 M78 07000 151 00C 002*")</f>
        <v>0</v>
      </c>
      <c r="G271" s="28">
        <f>SUMIFS(G272:G1509,K272:K1509,"0",B272:B1509,"1 2 5 1 1 12 31111 6 M78 07000 151 00C 002*")</f>
        <v>0</v>
      </c>
      <c r="H271" s="28">
        <f t="shared" si="4"/>
        <v>15250</v>
      </c>
      <c r="I271" s="28"/>
      <c r="K271" t="s">
        <v>15</v>
      </c>
    </row>
    <row r="272" spans="2:11" ht="22" x14ac:dyDescent="0.15">
      <c r="B272" s="27" t="s">
        <v>421</v>
      </c>
      <c r="C272" s="27" t="s">
        <v>422</v>
      </c>
      <c r="D272" s="28">
        <f>SUMIFS(D273:D1509,K273:K1509,"0",B273:B1509,"1 2 5 1 1 12 31111 6 M78 07000 151 00C 002 59101*")-SUMIFS(E273:E1509,K273:K1509,"0",B273:B1509,"1 2 5 1 1 12 31111 6 M78 07000 151 00C 002 59101*")</f>
        <v>15250</v>
      </c>
      <c r="E272" s="29"/>
      <c r="F272" s="28">
        <f>SUMIFS(F273:F1509,K273:K1509,"0",B273:B1509,"1 2 5 1 1 12 31111 6 M78 07000 151 00C 002 59101*")</f>
        <v>0</v>
      </c>
      <c r="G272" s="28">
        <f>SUMIFS(G273:G1509,K273:K1509,"0",B273:B1509,"1 2 5 1 1 12 31111 6 M78 07000 151 00C 002 59101*")</f>
        <v>0</v>
      </c>
      <c r="H272" s="28">
        <f t="shared" si="4"/>
        <v>15250</v>
      </c>
      <c r="I272" s="28"/>
      <c r="K272" t="s">
        <v>15</v>
      </c>
    </row>
    <row r="273" spans="2:11" ht="22" x14ac:dyDescent="0.15">
      <c r="B273" s="27" t="s">
        <v>423</v>
      </c>
      <c r="C273" s="27" t="s">
        <v>176</v>
      </c>
      <c r="D273" s="28">
        <f>SUMIFS(D274:D1509,K274:K1509,"0",B274:B1509,"1 2 5 1 1 12 31111 6 M78 07000 151 00C 002 59101 015*")-SUMIFS(E274:E1509,K274:K1509,"0",B274:B1509,"1 2 5 1 1 12 31111 6 M78 07000 151 00C 002 59101 015*")</f>
        <v>15250</v>
      </c>
      <c r="E273" s="29"/>
      <c r="F273" s="28">
        <f>SUMIFS(F274:F1509,K274:K1509,"0",B274:B1509,"1 2 5 1 1 12 31111 6 M78 07000 151 00C 002 59101 015*")</f>
        <v>0</v>
      </c>
      <c r="G273" s="28">
        <f>SUMIFS(G274:G1509,K274:K1509,"0",B274:B1509,"1 2 5 1 1 12 31111 6 M78 07000 151 00C 002 59101 015*")</f>
        <v>0</v>
      </c>
      <c r="H273" s="28">
        <f t="shared" si="4"/>
        <v>15250</v>
      </c>
      <c r="I273" s="28"/>
      <c r="K273" t="s">
        <v>15</v>
      </c>
    </row>
    <row r="274" spans="2:11" ht="22" x14ac:dyDescent="0.15">
      <c r="B274" s="27" t="s">
        <v>424</v>
      </c>
      <c r="C274" s="27" t="s">
        <v>425</v>
      </c>
      <c r="D274" s="28">
        <f>SUMIFS(D275:D1509,K275:K1509,"0",B275:B1509,"1 2 5 1 1 12 31111 6 M78 07000 151 00C 002 59101 015 2225300*")-SUMIFS(E275:E1509,K275:K1509,"0",B275:B1509,"1 2 5 1 1 12 31111 6 M78 07000 151 00C 002 59101 015 2225300*")</f>
        <v>15250</v>
      </c>
      <c r="E274" s="29"/>
      <c r="F274" s="28">
        <f>SUMIFS(F275:F1509,K275:K1509,"0",B275:B1509,"1 2 5 1 1 12 31111 6 M78 07000 151 00C 002 59101 015 2225300*")</f>
        <v>0</v>
      </c>
      <c r="G274" s="28">
        <f>SUMIFS(G275:G1509,K275:K1509,"0",B275:B1509,"1 2 5 1 1 12 31111 6 M78 07000 151 00C 002 59101 015 2225300*")</f>
        <v>0</v>
      </c>
      <c r="H274" s="28">
        <f t="shared" si="4"/>
        <v>15250</v>
      </c>
      <c r="I274" s="28"/>
      <c r="K274" t="s">
        <v>15</v>
      </c>
    </row>
    <row r="275" spans="2:11" ht="22" x14ac:dyDescent="0.15">
      <c r="B275" s="27" t="s">
        <v>426</v>
      </c>
      <c r="C275" s="27" t="s">
        <v>180</v>
      </c>
      <c r="D275" s="28">
        <f>SUMIFS(D276:D1509,K276:K1509,"0",B276:B1509,"1 2 5 1 1 12 31111 6 M78 07000 151 00C 002 59101 015 2225300 2019*")-SUMIFS(E276:E1509,K276:K1509,"0",B276:B1509,"1 2 5 1 1 12 31111 6 M78 07000 151 00C 002 59101 015 2225300 2019*")</f>
        <v>15250</v>
      </c>
      <c r="E275" s="29"/>
      <c r="F275" s="28">
        <f>SUMIFS(F276:F1509,K276:K1509,"0",B276:B1509,"1 2 5 1 1 12 31111 6 M78 07000 151 00C 002 59101 015 2225300 2019*")</f>
        <v>0</v>
      </c>
      <c r="G275" s="28">
        <f>SUMIFS(G276:G1509,K276:K1509,"0",B276:B1509,"1 2 5 1 1 12 31111 6 M78 07000 151 00C 002 59101 015 2225300 2019*")</f>
        <v>0</v>
      </c>
      <c r="H275" s="28">
        <f t="shared" si="4"/>
        <v>15250</v>
      </c>
      <c r="I275" s="28"/>
      <c r="K275" t="s">
        <v>15</v>
      </c>
    </row>
    <row r="276" spans="2:11" ht="22" x14ac:dyDescent="0.15">
      <c r="B276" s="27" t="s">
        <v>427</v>
      </c>
      <c r="C276" s="27" t="s">
        <v>182</v>
      </c>
      <c r="D276" s="28">
        <f>SUMIFS(D277:D1509,K277:K1509,"0",B277:B1509,"1 2 5 1 1 12 31111 6 M78 07000 151 00C 002 59101 015 2225300 2019 00000000*")-SUMIFS(E277:E1509,K277:K1509,"0",B277:B1509,"1 2 5 1 1 12 31111 6 M78 07000 151 00C 002 59101 015 2225300 2019 00000000*")</f>
        <v>15250</v>
      </c>
      <c r="E276" s="29"/>
      <c r="F276" s="28">
        <f>SUMIFS(F277:F1509,K277:K1509,"0",B277:B1509,"1 2 5 1 1 12 31111 6 M78 07000 151 00C 002 59101 015 2225300 2019 00000000*")</f>
        <v>0</v>
      </c>
      <c r="G276" s="28">
        <f>SUMIFS(G277:G1509,K277:K1509,"0",B277:B1509,"1 2 5 1 1 12 31111 6 M78 07000 151 00C 002 59101 015 2225300 2019 00000000*")</f>
        <v>0</v>
      </c>
      <c r="H276" s="28">
        <f t="shared" si="4"/>
        <v>15250</v>
      </c>
      <c r="I276" s="28"/>
      <c r="K276" t="s">
        <v>15</v>
      </c>
    </row>
    <row r="277" spans="2:11" ht="33" x14ac:dyDescent="0.15">
      <c r="B277" s="27" t="s">
        <v>428</v>
      </c>
      <c r="C277" s="27" t="s">
        <v>9</v>
      </c>
      <c r="D277" s="28">
        <f>SUMIFS(D278:D1509,K278:K1509,"0",B278:B1509,"1 2 5 1 1 12 31111 6 M78 07000 151 00C 002 59101 015 2225300 2019 00000000 001*")-SUMIFS(E278:E1509,K278:K1509,"0",B278:B1509,"1 2 5 1 1 12 31111 6 M78 07000 151 00C 002 59101 015 2225300 2019 00000000 001*")</f>
        <v>15250</v>
      </c>
      <c r="E277" s="29"/>
      <c r="F277" s="28">
        <f>SUMIFS(F278:F1509,K278:K1509,"0",B278:B1509,"1 2 5 1 1 12 31111 6 M78 07000 151 00C 002 59101 015 2225300 2019 00000000 001*")</f>
        <v>0</v>
      </c>
      <c r="G277" s="28">
        <f>SUMIFS(G278:G1509,K278:K1509,"0",B278:B1509,"1 2 5 1 1 12 31111 6 M78 07000 151 00C 002 59101 015 2225300 2019 00000000 001*")</f>
        <v>0</v>
      </c>
      <c r="H277" s="28">
        <f t="shared" si="4"/>
        <v>15250</v>
      </c>
      <c r="I277" s="28"/>
      <c r="K277" t="s">
        <v>15</v>
      </c>
    </row>
    <row r="278" spans="2:11" ht="33" x14ac:dyDescent="0.15">
      <c r="B278" s="27" t="s">
        <v>429</v>
      </c>
      <c r="C278" s="27" t="s">
        <v>369</v>
      </c>
      <c r="D278" s="28">
        <f>SUMIFS(D279:D1509,K279:K1509,"0",B279:B1509,"1 2 5 1 1 12 31111 6 M78 07000 151 00C 002 59101 015 2225300 2019 00000000 001 009*")-SUMIFS(E279:E1509,K279:K1509,"0",B279:B1509,"1 2 5 1 1 12 31111 6 M78 07000 151 00C 002 59101 015 2225300 2019 00000000 001 009*")</f>
        <v>15250</v>
      </c>
      <c r="E278" s="29"/>
      <c r="F278" s="28">
        <f>SUMIFS(F279:F1509,K279:K1509,"0",B279:B1509,"1 2 5 1 1 12 31111 6 M78 07000 151 00C 002 59101 015 2225300 2019 00000000 001 009*")</f>
        <v>0</v>
      </c>
      <c r="G278" s="28">
        <f>SUMIFS(G279:G1509,K279:K1509,"0",B279:B1509,"1 2 5 1 1 12 31111 6 M78 07000 151 00C 002 59101 015 2225300 2019 00000000 001 009*")</f>
        <v>0</v>
      </c>
      <c r="H278" s="28">
        <f t="shared" si="4"/>
        <v>15250</v>
      </c>
      <c r="I278" s="28"/>
      <c r="K278" t="s">
        <v>15</v>
      </c>
    </row>
    <row r="279" spans="2:11" ht="33" x14ac:dyDescent="0.15">
      <c r="B279" s="30" t="s">
        <v>430</v>
      </c>
      <c r="C279" s="30" t="s">
        <v>431</v>
      </c>
      <c r="D279" s="31">
        <v>15250</v>
      </c>
      <c r="E279" s="31"/>
      <c r="F279" s="31">
        <v>0</v>
      </c>
      <c r="G279" s="31">
        <v>0</v>
      </c>
      <c r="H279" s="31">
        <f t="shared" si="4"/>
        <v>15250</v>
      </c>
      <c r="I279" s="31"/>
      <c r="K279" t="s">
        <v>38</v>
      </c>
    </row>
    <row r="280" spans="2:11" ht="13" x14ac:dyDescent="0.15">
      <c r="B280" s="27" t="s">
        <v>432</v>
      </c>
      <c r="C280" s="27" t="s">
        <v>433</v>
      </c>
      <c r="D280" s="29"/>
      <c r="E280" s="28">
        <f>SUMIFS(E281:E1509,K281:K1509,"0",B281:B1509,"2*")-SUMIFS(D281:D1509,K281:K1509,"0",B281:B1509,"2*")</f>
        <v>485339.18000000005</v>
      </c>
      <c r="F280" s="28">
        <f>SUMIFS(F281:F1509,K281:K1509,"0",B281:B1509,"2*")</f>
        <v>16509662.959999999</v>
      </c>
      <c r="G280" s="28">
        <f>SUMIFS(G281:G1509,K281:K1509,"0",B281:B1509,"2*")</f>
        <v>16109532.449999999</v>
      </c>
      <c r="H280" s="28"/>
      <c r="I280" s="28">
        <f t="shared" ref="I280:I311" si="5">E280 - F280 + G280</f>
        <v>85208.669999999925</v>
      </c>
      <c r="K280" t="s">
        <v>15</v>
      </c>
    </row>
    <row r="281" spans="2:11" ht="13" x14ac:dyDescent="0.15">
      <c r="B281" s="27" t="s">
        <v>434</v>
      </c>
      <c r="C281" s="27" t="s">
        <v>435</v>
      </c>
      <c r="D281" s="29"/>
      <c r="E281" s="28">
        <f>SUMIFS(E282:E1509,K282:K1509,"0",B282:B1509,"2 1*")-SUMIFS(D282:D1509,K282:K1509,"0",B282:B1509,"2 1*")</f>
        <v>485339.18000000005</v>
      </c>
      <c r="F281" s="28">
        <f>SUMIFS(F282:F1509,K282:K1509,"0",B282:B1509,"2 1*")</f>
        <v>16509662.959999999</v>
      </c>
      <c r="G281" s="28">
        <f>SUMIFS(G282:G1509,K282:K1509,"0",B282:B1509,"2 1*")</f>
        <v>16109532.449999999</v>
      </c>
      <c r="H281" s="28"/>
      <c r="I281" s="28">
        <f t="shared" si="5"/>
        <v>85208.669999999925</v>
      </c>
      <c r="K281" t="s">
        <v>15</v>
      </c>
    </row>
    <row r="282" spans="2:11" ht="13" x14ac:dyDescent="0.15">
      <c r="B282" s="27" t="s">
        <v>436</v>
      </c>
      <c r="C282" s="27" t="s">
        <v>437</v>
      </c>
      <c r="D282" s="29"/>
      <c r="E282" s="28">
        <f>SUMIFS(E283:E1509,K283:K1509,"0",B283:B1509,"2 1 1*")-SUMIFS(D283:D1509,K283:K1509,"0",B283:B1509,"2 1 1*")</f>
        <v>485339.18000000005</v>
      </c>
      <c r="F282" s="28">
        <f>SUMIFS(F283:F1509,K283:K1509,"0",B283:B1509,"2 1 1*")</f>
        <v>15031973.279999999</v>
      </c>
      <c r="G282" s="28">
        <f>SUMIFS(G283:G1509,K283:K1509,"0",B283:B1509,"2 1 1*")</f>
        <v>14631842.77</v>
      </c>
      <c r="H282" s="28"/>
      <c r="I282" s="28">
        <f t="shared" si="5"/>
        <v>85208.669999999925</v>
      </c>
      <c r="K282" t="s">
        <v>15</v>
      </c>
    </row>
    <row r="283" spans="2:11" ht="13" x14ac:dyDescent="0.15">
      <c r="B283" s="27" t="s">
        <v>438</v>
      </c>
      <c r="C283" s="27" t="s">
        <v>439</v>
      </c>
      <c r="D283" s="29"/>
      <c r="E283" s="28">
        <f>SUMIFS(E284:E1509,K284:K1509,"0",B284:B1509,"2 1 1 1*")-SUMIFS(D284:D1509,K284:K1509,"0",B284:B1509,"2 1 1 1*")</f>
        <v>0</v>
      </c>
      <c r="F283" s="28">
        <f>SUMIFS(F284:F1509,K284:K1509,"0",B284:B1509,"2 1 1 1*")</f>
        <v>6670791.1100000003</v>
      </c>
      <c r="G283" s="28">
        <f>SUMIFS(G284:G1509,K284:K1509,"0",B284:B1509,"2 1 1 1*")</f>
        <v>6678291.1100000003</v>
      </c>
      <c r="H283" s="28"/>
      <c r="I283" s="28">
        <f t="shared" si="5"/>
        <v>7500</v>
      </c>
      <c r="K283" t="s">
        <v>15</v>
      </c>
    </row>
    <row r="284" spans="2:11" ht="22" x14ac:dyDescent="0.15">
      <c r="B284" s="27" t="s">
        <v>440</v>
      </c>
      <c r="C284" s="27" t="s">
        <v>441</v>
      </c>
      <c r="D284" s="29"/>
      <c r="E284" s="28">
        <f>SUMIFS(E285:E1509,K285:K1509,"0",B285:B1509,"2 1 1 1 1*")-SUMIFS(D285:D1509,K285:K1509,"0",B285:B1509,"2 1 1 1 1*")</f>
        <v>0</v>
      </c>
      <c r="F284" s="28">
        <f>SUMIFS(F285:F1509,K285:K1509,"0",B285:B1509,"2 1 1 1 1*")</f>
        <v>6670791.1100000003</v>
      </c>
      <c r="G284" s="28">
        <f>SUMIFS(G285:G1509,K285:K1509,"0",B285:B1509,"2 1 1 1 1*")</f>
        <v>6678291.1100000003</v>
      </c>
      <c r="H284" s="28"/>
      <c r="I284" s="28">
        <f t="shared" si="5"/>
        <v>7500</v>
      </c>
      <c r="K284" t="s">
        <v>15</v>
      </c>
    </row>
    <row r="285" spans="2:11" ht="13" x14ac:dyDescent="0.15">
      <c r="B285" s="27" t="s">
        <v>442</v>
      </c>
      <c r="C285" s="27" t="s">
        <v>26</v>
      </c>
      <c r="D285" s="29"/>
      <c r="E285" s="28">
        <f>SUMIFS(E286:E1509,K286:K1509,"0",B286:B1509,"2 1 1 1 1 12*")-SUMIFS(D286:D1509,K286:K1509,"0",B286:B1509,"2 1 1 1 1 12*")</f>
        <v>0</v>
      </c>
      <c r="F285" s="28">
        <f>SUMIFS(F286:F1509,K286:K1509,"0",B286:B1509,"2 1 1 1 1 12*")</f>
        <v>6670791.1100000003</v>
      </c>
      <c r="G285" s="28">
        <f>SUMIFS(G286:G1509,K286:K1509,"0",B286:B1509,"2 1 1 1 1 12*")</f>
        <v>6678291.1100000003</v>
      </c>
      <c r="H285" s="28"/>
      <c r="I285" s="28">
        <f t="shared" si="5"/>
        <v>7500</v>
      </c>
      <c r="K285" t="s">
        <v>15</v>
      </c>
    </row>
    <row r="286" spans="2:11" ht="13" x14ac:dyDescent="0.15">
      <c r="B286" s="27" t="s">
        <v>443</v>
      </c>
      <c r="C286" s="27" t="s">
        <v>28</v>
      </c>
      <c r="D286" s="29"/>
      <c r="E286" s="28">
        <f>SUMIFS(E287:E1509,K287:K1509,"0",B287:B1509,"2 1 1 1 1 12 31111*")-SUMIFS(D287:D1509,K287:K1509,"0",B287:B1509,"2 1 1 1 1 12 31111*")</f>
        <v>0</v>
      </c>
      <c r="F286" s="28">
        <f>SUMIFS(F287:F1509,K287:K1509,"0",B287:B1509,"2 1 1 1 1 12 31111*")</f>
        <v>6670791.1100000003</v>
      </c>
      <c r="G286" s="28">
        <f>SUMIFS(G287:G1509,K287:K1509,"0",B287:B1509,"2 1 1 1 1 12 31111*")</f>
        <v>6678291.1100000003</v>
      </c>
      <c r="H286" s="28"/>
      <c r="I286" s="28">
        <f t="shared" si="5"/>
        <v>7500</v>
      </c>
      <c r="K286" t="s">
        <v>15</v>
      </c>
    </row>
    <row r="287" spans="2:11" ht="13" x14ac:dyDescent="0.15">
      <c r="B287" s="27" t="s">
        <v>444</v>
      </c>
      <c r="C287" s="27" t="s">
        <v>30</v>
      </c>
      <c r="D287" s="29"/>
      <c r="E287" s="28">
        <f>SUMIFS(E288:E1509,K288:K1509,"0",B288:B1509,"2 1 1 1 1 12 31111 6*")-SUMIFS(D288:D1509,K288:K1509,"0",B288:B1509,"2 1 1 1 1 12 31111 6*")</f>
        <v>0</v>
      </c>
      <c r="F287" s="28">
        <f>SUMIFS(F288:F1509,K288:K1509,"0",B288:B1509,"2 1 1 1 1 12 31111 6*")</f>
        <v>6670791.1100000003</v>
      </c>
      <c r="G287" s="28">
        <f>SUMIFS(G288:G1509,K288:K1509,"0",B288:B1509,"2 1 1 1 1 12 31111 6*")</f>
        <v>6678291.1100000003</v>
      </c>
      <c r="H287" s="28"/>
      <c r="I287" s="28">
        <f t="shared" si="5"/>
        <v>7500</v>
      </c>
      <c r="K287" t="s">
        <v>15</v>
      </c>
    </row>
    <row r="288" spans="2:11" ht="13" x14ac:dyDescent="0.15">
      <c r="B288" s="27" t="s">
        <v>445</v>
      </c>
      <c r="C288" s="27" t="s">
        <v>32</v>
      </c>
      <c r="D288" s="29"/>
      <c r="E288" s="28">
        <f>SUMIFS(E289:E1509,K289:K1509,"0",B289:B1509,"2 1 1 1 1 12 31111 6 M78*")-SUMIFS(D289:D1509,K289:K1509,"0",B289:B1509,"2 1 1 1 1 12 31111 6 M78*")</f>
        <v>0</v>
      </c>
      <c r="F288" s="28">
        <f>SUMIFS(F289:F1509,K289:K1509,"0",B289:B1509,"2 1 1 1 1 12 31111 6 M78*")</f>
        <v>6670791.1100000003</v>
      </c>
      <c r="G288" s="28">
        <f>SUMIFS(G289:G1509,K289:K1509,"0",B289:B1509,"2 1 1 1 1 12 31111 6 M78*")</f>
        <v>6678291.1100000003</v>
      </c>
      <c r="H288" s="28"/>
      <c r="I288" s="28">
        <f t="shared" si="5"/>
        <v>7500</v>
      </c>
      <c r="K288" t="s">
        <v>15</v>
      </c>
    </row>
    <row r="289" spans="2:11" ht="13" x14ac:dyDescent="0.15">
      <c r="B289" s="27" t="s">
        <v>446</v>
      </c>
      <c r="C289" s="27" t="s">
        <v>9</v>
      </c>
      <c r="D289" s="29"/>
      <c r="E289" s="28">
        <f>SUMIFS(E290:E1509,K290:K1509,"0",B290:B1509,"2 1 1 1 1 12 31111 6 M78 00001*")-SUMIFS(D290:D1509,K290:K1509,"0",B290:B1509,"2 1 1 1 1 12 31111 6 M78 00001*")</f>
        <v>0</v>
      </c>
      <c r="F289" s="28">
        <f>SUMIFS(F290:F1509,K290:K1509,"0",B290:B1509,"2 1 1 1 1 12 31111 6 M78 00001*")</f>
        <v>6670791.1100000003</v>
      </c>
      <c r="G289" s="28">
        <f>SUMIFS(G290:G1509,K290:K1509,"0",B290:B1509,"2 1 1 1 1 12 31111 6 M78 00001*")</f>
        <v>6678291.1100000003</v>
      </c>
      <c r="H289" s="28"/>
      <c r="I289" s="28">
        <f t="shared" si="5"/>
        <v>7500</v>
      </c>
      <c r="K289" t="s">
        <v>15</v>
      </c>
    </row>
    <row r="290" spans="2:11" ht="13" x14ac:dyDescent="0.15">
      <c r="B290" s="30" t="s">
        <v>447</v>
      </c>
      <c r="C290" s="30" t="s">
        <v>448</v>
      </c>
      <c r="D290" s="31"/>
      <c r="E290" s="31">
        <v>0</v>
      </c>
      <c r="F290" s="31">
        <v>6670791.1100000003</v>
      </c>
      <c r="G290" s="31">
        <v>6678291.1100000003</v>
      </c>
      <c r="H290" s="31"/>
      <c r="I290" s="31">
        <f t="shared" si="5"/>
        <v>7500</v>
      </c>
      <c r="K290" t="s">
        <v>38</v>
      </c>
    </row>
    <row r="291" spans="2:11" ht="13" x14ac:dyDescent="0.15">
      <c r="B291" s="27" t="s">
        <v>449</v>
      </c>
      <c r="C291" s="27" t="s">
        <v>450</v>
      </c>
      <c r="D291" s="29"/>
      <c r="E291" s="28">
        <f>SUMIFS(E292:E1509,K292:K1509,"0",B292:B1509,"2 1 1 2*")-SUMIFS(D292:D1509,K292:K1509,"0",B292:B1509,"2 1 1 2*")</f>
        <v>0</v>
      </c>
      <c r="F291" s="28">
        <f>SUMIFS(F292:F1509,K292:K1509,"0",B292:B1509,"2 1 1 2*")</f>
        <v>5064004.17</v>
      </c>
      <c r="G291" s="28">
        <f>SUMIFS(G292:G1509,K292:K1509,"0",B292:B1509,"2 1 1 2*")</f>
        <v>5064004.17</v>
      </c>
      <c r="H291" s="28"/>
      <c r="I291" s="28">
        <f t="shared" si="5"/>
        <v>0</v>
      </c>
      <c r="K291" t="s">
        <v>15</v>
      </c>
    </row>
    <row r="292" spans="2:11" ht="22" x14ac:dyDescent="0.15">
      <c r="B292" s="27" t="s">
        <v>451</v>
      </c>
      <c r="C292" s="27" t="s">
        <v>452</v>
      </c>
      <c r="D292" s="29"/>
      <c r="E292" s="28">
        <f>SUMIFS(E293:E1509,K293:K1509,"0",B293:B1509,"2 1 1 2 1*")-SUMIFS(D293:D1509,K293:K1509,"0",B293:B1509,"2 1 1 2 1*")</f>
        <v>0</v>
      </c>
      <c r="F292" s="28">
        <f>SUMIFS(F293:F1509,K293:K1509,"0",B293:B1509,"2 1 1 2 1*")</f>
        <v>5064004.17</v>
      </c>
      <c r="G292" s="28">
        <f>SUMIFS(G293:G1509,K293:K1509,"0",B293:B1509,"2 1 1 2 1*")</f>
        <v>5064004.17</v>
      </c>
      <c r="H292" s="28"/>
      <c r="I292" s="28">
        <f t="shared" si="5"/>
        <v>0</v>
      </c>
      <c r="K292" t="s">
        <v>15</v>
      </c>
    </row>
    <row r="293" spans="2:11" ht="13" x14ac:dyDescent="0.15">
      <c r="B293" s="27" t="s">
        <v>453</v>
      </c>
      <c r="C293" s="27" t="s">
        <v>26</v>
      </c>
      <c r="D293" s="29"/>
      <c r="E293" s="28">
        <f>SUMIFS(E294:E1509,K294:K1509,"0",B294:B1509,"2 1 1 2 1 12*")-SUMIFS(D294:D1509,K294:K1509,"0",B294:B1509,"2 1 1 2 1 12*")</f>
        <v>0</v>
      </c>
      <c r="F293" s="28">
        <f>SUMIFS(F294:F1509,K294:K1509,"0",B294:B1509,"2 1 1 2 1 12*")</f>
        <v>5064004.17</v>
      </c>
      <c r="G293" s="28">
        <f>SUMIFS(G294:G1509,K294:K1509,"0",B294:B1509,"2 1 1 2 1 12*")</f>
        <v>5064004.17</v>
      </c>
      <c r="H293" s="28"/>
      <c r="I293" s="28">
        <f t="shared" si="5"/>
        <v>0</v>
      </c>
      <c r="K293" t="s">
        <v>15</v>
      </c>
    </row>
    <row r="294" spans="2:11" ht="13" x14ac:dyDescent="0.15">
      <c r="B294" s="27" t="s">
        <v>454</v>
      </c>
      <c r="C294" s="27" t="s">
        <v>28</v>
      </c>
      <c r="D294" s="29"/>
      <c r="E294" s="28">
        <f>SUMIFS(E295:E1509,K295:K1509,"0",B295:B1509,"2 1 1 2 1 12 31111*")-SUMIFS(D295:D1509,K295:K1509,"0",B295:B1509,"2 1 1 2 1 12 31111*")</f>
        <v>0</v>
      </c>
      <c r="F294" s="28">
        <f>SUMIFS(F295:F1509,K295:K1509,"0",B295:B1509,"2 1 1 2 1 12 31111*")</f>
        <v>5064004.17</v>
      </c>
      <c r="G294" s="28">
        <f>SUMIFS(G295:G1509,K295:K1509,"0",B295:B1509,"2 1 1 2 1 12 31111*")</f>
        <v>5064004.17</v>
      </c>
      <c r="H294" s="28"/>
      <c r="I294" s="28">
        <f t="shared" si="5"/>
        <v>0</v>
      </c>
      <c r="K294" t="s">
        <v>15</v>
      </c>
    </row>
    <row r="295" spans="2:11" ht="13" x14ac:dyDescent="0.15">
      <c r="B295" s="27" t="s">
        <v>455</v>
      </c>
      <c r="C295" s="27" t="s">
        <v>30</v>
      </c>
      <c r="D295" s="29"/>
      <c r="E295" s="28">
        <f>SUMIFS(E296:E1509,K296:K1509,"0",B296:B1509,"2 1 1 2 1 12 31111 6*")-SUMIFS(D296:D1509,K296:K1509,"0",B296:B1509,"2 1 1 2 1 12 31111 6*")</f>
        <v>0</v>
      </c>
      <c r="F295" s="28">
        <f>SUMIFS(F296:F1509,K296:K1509,"0",B296:B1509,"2 1 1 2 1 12 31111 6*")</f>
        <v>5064004.17</v>
      </c>
      <c r="G295" s="28">
        <f>SUMIFS(G296:G1509,K296:K1509,"0",B296:B1509,"2 1 1 2 1 12 31111 6*")</f>
        <v>5064004.17</v>
      </c>
      <c r="H295" s="28"/>
      <c r="I295" s="28">
        <f t="shared" si="5"/>
        <v>0</v>
      </c>
      <c r="K295" t="s">
        <v>15</v>
      </c>
    </row>
    <row r="296" spans="2:11" ht="13" x14ac:dyDescent="0.15">
      <c r="B296" s="27" t="s">
        <v>456</v>
      </c>
      <c r="C296" s="27" t="s">
        <v>32</v>
      </c>
      <c r="D296" s="29"/>
      <c r="E296" s="28">
        <f>SUMIFS(E297:E1509,K297:K1509,"0",B297:B1509,"2 1 1 2 1 12 31111 6 M78*")-SUMIFS(D297:D1509,K297:K1509,"0",B297:B1509,"2 1 1 2 1 12 31111 6 M78*")</f>
        <v>0</v>
      </c>
      <c r="F296" s="28">
        <f>SUMIFS(F297:F1509,K297:K1509,"0",B297:B1509,"2 1 1 2 1 12 31111 6 M78*")</f>
        <v>5064004.17</v>
      </c>
      <c r="G296" s="28">
        <f>SUMIFS(G297:G1509,K297:K1509,"0",B297:B1509,"2 1 1 2 1 12 31111 6 M78*")</f>
        <v>5064004.17</v>
      </c>
      <c r="H296" s="28"/>
      <c r="I296" s="28">
        <f t="shared" si="5"/>
        <v>0</v>
      </c>
      <c r="K296" t="s">
        <v>15</v>
      </c>
    </row>
    <row r="297" spans="2:11" ht="13" x14ac:dyDescent="0.15">
      <c r="B297" s="27" t="s">
        <v>457</v>
      </c>
      <c r="C297" s="27" t="s">
        <v>9</v>
      </c>
      <c r="D297" s="29"/>
      <c r="E297" s="28">
        <f>SUMIFS(E298:E1509,K298:K1509,"0",B298:B1509,"2 1 1 2 1 12 31111 6 M78 00001*")-SUMIFS(D298:D1509,K298:K1509,"0",B298:B1509,"2 1 1 2 1 12 31111 6 M78 00001*")</f>
        <v>0</v>
      </c>
      <c r="F297" s="28">
        <f>SUMIFS(F298:F1509,K298:K1509,"0",B298:B1509,"2 1 1 2 1 12 31111 6 M78 00001*")</f>
        <v>5064004.17</v>
      </c>
      <c r="G297" s="28">
        <f>SUMIFS(G298:G1509,K298:K1509,"0",B298:B1509,"2 1 1 2 1 12 31111 6 M78 00001*")</f>
        <v>5064004.17</v>
      </c>
      <c r="H297" s="28"/>
      <c r="I297" s="28">
        <f t="shared" si="5"/>
        <v>0</v>
      </c>
      <c r="K297" t="s">
        <v>15</v>
      </c>
    </row>
    <row r="298" spans="2:11" ht="13" x14ac:dyDescent="0.15">
      <c r="B298" s="30" t="s">
        <v>458</v>
      </c>
      <c r="C298" s="30" t="s">
        <v>93</v>
      </c>
      <c r="D298" s="31"/>
      <c r="E298" s="31">
        <v>0</v>
      </c>
      <c r="F298" s="31">
        <v>383265.39</v>
      </c>
      <c r="G298" s="31">
        <v>383265.39</v>
      </c>
      <c r="H298" s="31"/>
      <c r="I298" s="31">
        <f t="shared" si="5"/>
        <v>0</v>
      </c>
      <c r="K298" t="s">
        <v>38</v>
      </c>
    </row>
    <row r="299" spans="2:11" ht="13" x14ac:dyDescent="0.15">
      <c r="B299" s="30" t="s">
        <v>459</v>
      </c>
      <c r="C299" s="30" t="s">
        <v>460</v>
      </c>
      <c r="D299" s="31"/>
      <c r="E299" s="31">
        <v>0</v>
      </c>
      <c r="F299" s="31">
        <v>23200</v>
      </c>
      <c r="G299" s="31">
        <v>23200</v>
      </c>
      <c r="H299" s="31"/>
      <c r="I299" s="31">
        <f t="shared" si="5"/>
        <v>0</v>
      </c>
      <c r="K299" t="s">
        <v>38</v>
      </c>
    </row>
    <row r="300" spans="2:11" ht="13" x14ac:dyDescent="0.15">
      <c r="B300" s="30" t="s">
        <v>461</v>
      </c>
      <c r="C300" s="30" t="s">
        <v>97</v>
      </c>
      <c r="D300" s="31"/>
      <c r="E300" s="31">
        <v>0</v>
      </c>
      <c r="F300" s="31">
        <v>122654.28</v>
      </c>
      <c r="G300" s="31">
        <v>122654.28</v>
      </c>
      <c r="H300" s="31"/>
      <c r="I300" s="31">
        <f t="shared" si="5"/>
        <v>0</v>
      </c>
      <c r="K300" t="s">
        <v>38</v>
      </c>
    </row>
    <row r="301" spans="2:11" ht="22" x14ac:dyDescent="0.15">
      <c r="B301" s="30" t="s">
        <v>462</v>
      </c>
      <c r="C301" s="30" t="s">
        <v>463</v>
      </c>
      <c r="D301" s="31"/>
      <c r="E301" s="31">
        <v>0</v>
      </c>
      <c r="F301" s="31">
        <v>334207</v>
      </c>
      <c r="G301" s="31">
        <v>334207</v>
      </c>
      <c r="H301" s="31"/>
      <c r="I301" s="31">
        <f t="shared" si="5"/>
        <v>0</v>
      </c>
      <c r="K301" t="s">
        <v>38</v>
      </c>
    </row>
    <row r="302" spans="2:11" ht="13" x14ac:dyDescent="0.15">
      <c r="B302" s="30" t="s">
        <v>464</v>
      </c>
      <c r="C302" s="30" t="s">
        <v>105</v>
      </c>
      <c r="D302" s="31"/>
      <c r="E302" s="31">
        <v>0</v>
      </c>
      <c r="F302" s="31">
        <v>74837.45</v>
      </c>
      <c r="G302" s="31">
        <v>74837.45</v>
      </c>
      <c r="H302" s="31"/>
      <c r="I302" s="31">
        <f t="shared" si="5"/>
        <v>0</v>
      </c>
      <c r="K302" t="s">
        <v>38</v>
      </c>
    </row>
    <row r="303" spans="2:11" ht="13" x14ac:dyDescent="0.15">
      <c r="B303" s="30" t="s">
        <v>465</v>
      </c>
      <c r="C303" s="30" t="s">
        <v>466</v>
      </c>
      <c r="D303" s="31"/>
      <c r="E303" s="31">
        <v>0</v>
      </c>
      <c r="F303" s="31">
        <v>477687.9</v>
      </c>
      <c r="G303" s="31">
        <v>477687.9</v>
      </c>
      <c r="H303" s="31"/>
      <c r="I303" s="31">
        <f t="shared" si="5"/>
        <v>0</v>
      </c>
      <c r="K303" t="s">
        <v>38</v>
      </c>
    </row>
    <row r="304" spans="2:11" ht="13" x14ac:dyDescent="0.15">
      <c r="B304" s="30" t="s">
        <v>467</v>
      </c>
      <c r="C304" s="30" t="s">
        <v>468</v>
      </c>
      <c r="D304" s="31"/>
      <c r="E304" s="31">
        <v>0</v>
      </c>
      <c r="F304" s="31">
        <v>25000</v>
      </c>
      <c r="G304" s="31">
        <v>25000</v>
      </c>
      <c r="H304" s="31"/>
      <c r="I304" s="31">
        <f t="shared" si="5"/>
        <v>0</v>
      </c>
      <c r="K304" t="s">
        <v>38</v>
      </c>
    </row>
    <row r="305" spans="2:11" ht="13" x14ac:dyDescent="0.15">
      <c r="B305" s="30" t="s">
        <v>469</v>
      </c>
      <c r="C305" s="30" t="s">
        <v>470</v>
      </c>
      <c r="D305" s="31"/>
      <c r="E305" s="31">
        <v>0</v>
      </c>
      <c r="F305" s="31">
        <v>20000</v>
      </c>
      <c r="G305" s="31">
        <v>20000</v>
      </c>
      <c r="H305" s="31"/>
      <c r="I305" s="31">
        <f t="shared" si="5"/>
        <v>0</v>
      </c>
      <c r="K305" t="s">
        <v>38</v>
      </c>
    </row>
    <row r="306" spans="2:11" ht="13" x14ac:dyDescent="0.15">
      <c r="B306" s="30" t="s">
        <v>471</v>
      </c>
      <c r="C306" s="30" t="s">
        <v>472</v>
      </c>
      <c r="D306" s="31"/>
      <c r="E306" s="31">
        <v>0</v>
      </c>
      <c r="F306" s="31">
        <v>17400</v>
      </c>
      <c r="G306" s="31">
        <v>17400</v>
      </c>
      <c r="H306" s="31"/>
      <c r="I306" s="31">
        <f t="shared" si="5"/>
        <v>0</v>
      </c>
      <c r="K306" t="s">
        <v>38</v>
      </c>
    </row>
    <row r="307" spans="2:11" ht="13" x14ac:dyDescent="0.15">
      <c r="B307" s="30" t="s">
        <v>473</v>
      </c>
      <c r="C307" s="30" t="s">
        <v>474</v>
      </c>
      <c r="D307" s="31"/>
      <c r="E307" s="31">
        <v>0</v>
      </c>
      <c r="F307" s="31">
        <v>11808.8</v>
      </c>
      <c r="G307" s="31">
        <v>11808.8</v>
      </c>
      <c r="H307" s="31"/>
      <c r="I307" s="31">
        <f t="shared" si="5"/>
        <v>0</v>
      </c>
      <c r="K307" t="s">
        <v>38</v>
      </c>
    </row>
    <row r="308" spans="2:11" ht="13" x14ac:dyDescent="0.15">
      <c r="B308" s="30" t="s">
        <v>475</v>
      </c>
      <c r="C308" s="30" t="s">
        <v>476</v>
      </c>
      <c r="D308" s="31"/>
      <c r="E308" s="31">
        <v>0</v>
      </c>
      <c r="F308" s="31">
        <v>31695.84</v>
      </c>
      <c r="G308" s="31">
        <v>31695.84</v>
      </c>
      <c r="H308" s="31"/>
      <c r="I308" s="31">
        <f t="shared" si="5"/>
        <v>0</v>
      </c>
      <c r="K308" t="s">
        <v>38</v>
      </c>
    </row>
    <row r="309" spans="2:11" ht="13" x14ac:dyDescent="0.15">
      <c r="B309" s="30" t="s">
        <v>477</v>
      </c>
      <c r="C309" s="30" t="s">
        <v>478</v>
      </c>
      <c r="D309" s="31"/>
      <c r="E309" s="31">
        <v>0</v>
      </c>
      <c r="F309" s="31">
        <v>40642.92</v>
      </c>
      <c r="G309" s="31">
        <v>40642.92</v>
      </c>
      <c r="H309" s="31"/>
      <c r="I309" s="31">
        <f t="shared" si="5"/>
        <v>0</v>
      </c>
      <c r="K309" t="s">
        <v>38</v>
      </c>
    </row>
    <row r="310" spans="2:11" ht="13" x14ac:dyDescent="0.15">
      <c r="B310" s="30" t="s">
        <v>479</v>
      </c>
      <c r="C310" s="30" t="s">
        <v>480</v>
      </c>
      <c r="D310" s="31"/>
      <c r="E310" s="31">
        <v>0</v>
      </c>
      <c r="F310" s="31">
        <v>1091878.69</v>
      </c>
      <c r="G310" s="31">
        <v>1091878.69</v>
      </c>
      <c r="H310" s="31"/>
      <c r="I310" s="31">
        <f t="shared" si="5"/>
        <v>0</v>
      </c>
      <c r="K310" t="s">
        <v>38</v>
      </c>
    </row>
    <row r="311" spans="2:11" ht="13" x14ac:dyDescent="0.15">
      <c r="B311" s="30" t="s">
        <v>481</v>
      </c>
      <c r="C311" s="30" t="s">
        <v>482</v>
      </c>
      <c r="D311" s="31"/>
      <c r="E311" s="31">
        <v>0</v>
      </c>
      <c r="F311" s="31">
        <v>629900</v>
      </c>
      <c r="G311" s="31">
        <v>629900</v>
      </c>
      <c r="H311" s="31"/>
      <c r="I311" s="31">
        <f t="shared" si="5"/>
        <v>0</v>
      </c>
      <c r="K311" t="s">
        <v>38</v>
      </c>
    </row>
    <row r="312" spans="2:11" ht="13" x14ac:dyDescent="0.15">
      <c r="B312" s="30" t="s">
        <v>483</v>
      </c>
      <c r="C312" s="30" t="s">
        <v>484</v>
      </c>
      <c r="D312" s="31"/>
      <c r="E312" s="31">
        <v>0</v>
      </c>
      <c r="F312" s="31">
        <v>235270</v>
      </c>
      <c r="G312" s="31">
        <v>235270</v>
      </c>
      <c r="H312" s="31"/>
      <c r="I312" s="31">
        <f t="shared" ref="I312:I343" si="6">E312 - F312 + G312</f>
        <v>0</v>
      </c>
      <c r="K312" t="s">
        <v>38</v>
      </c>
    </row>
    <row r="313" spans="2:11" ht="13" x14ac:dyDescent="0.15">
      <c r="B313" s="30" t="s">
        <v>485</v>
      </c>
      <c r="C313" s="30" t="s">
        <v>486</v>
      </c>
      <c r="D313" s="31"/>
      <c r="E313" s="31">
        <v>0</v>
      </c>
      <c r="F313" s="31">
        <v>534315</v>
      </c>
      <c r="G313" s="31">
        <v>534315</v>
      </c>
      <c r="H313" s="31"/>
      <c r="I313" s="31">
        <f t="shared" si="6"/>
        <v>0</v>
      </c>
      <c r="K313" t="s">
        <v>38</v>
      </c>
    </row>
    <row r="314" spans="2:11" ht="13" x14ac:dyDescent="0.15">
      <c r="B314" s="30" t="s">
        <v>487</v>
      </c>
      <c r="C314" s="30" t="s">
        <v>488</v>
      </c>
      <c r="D314" s="31"/>
      <c r="E314" s="31">
        <v>0</v>
      </c>
      <c r="F314" s="31">
        <v>8981</v>
      </c>
      <c r="G314" s="31">
        <v>8981</v>
      </c>
      <c r="H314" s="31"/>
      <c r="I314" s="31">
        <f t="shared" si="6"/>
        <v>0</v>
      </c>
      <c r="K314" t="s">
        <v>38</v>
      </c>
    </row>
    <row r="315" spans="2:11" ht="13" x14ac:dyDescent="0.15">
      <c r="B315" s="30" t="s">
        <v>489</v>
      </c>
      <c r="C315" s="30" t="s">
        <v>490</v>
      </c>
      <c r="D315" s="31"/>
      <c r="E315" s="31">
        <v>0</v>
      </c>
      <c r="F315" s="31">
        <v>249235</v>
      </c>
      <c r="G315" s="31">
        <v>249235</v>
      </c>
      <c r="H315" s="31"/>
      <c r="I315" s="31">
        <f t="shared" si="6"/>
        <v>0</v>
      </c>
      <c r="K315" t="s">
        <v>38</v>
      </c>
    </row>
    <row r="316" spans="2:11" ht="13" x14ac:dyDescent="0.15">
      <c r="B316" s="30" t="s">
        <v>491</v>
      </c>
      <c r="C316" s="30" t="s">
        <v>492</v>
      </c>
      <c r="D316" s="31"/>
      <c r="E316" s="31">
        <v>0</v>
      </c>
      <c r="F316" s="31">
        <v>21933.279999999999</v>
      </c>
      <c r="G316" s="31">
        <v>21933.279999999999</v>
      </c>
      <c r="H316" s="31"/>
      <c r="I316" s="31">
        <f t="shared" si="6"/>
        <v>0</v>
      </c>
      <c r="K316" t="s">
        <v>38</v>
      </c>
    </row>
    <row r="317" spans="2:11" ht="13" x14ac:dyDescent="0.15">
      <c r="B317" s="30" t="s">
        <v>493</v>
      </c>
      <c r="C317" s="30" t="s">
        <v>494</v>
      </c>
      <c r="D317" s="31"/>
      <c r="E317" s="31">
        <v>0</v>
      </c>
      <c r="F317" s="31">
        <v>41760</v>
      </c>
      <c r="G317" s="31">
        <v>41760</v>
      </c>
      <c r="H317" s="31"/>
      <c r="I317" s="31">
        <f t="shared" si="6"/>
        <v>0</v>
      </c>
      <c r="K317" t="s">
        <v>38</v>
      </c>
    </row>
    <row r="318" spans="2:11" ht="13" x14ac:dyDescent="0.15">
      <c r="B318" s="30" t="s">
        <v>495</v>
      </c>
      <c r="C318" s="30" t="s">
        <v>496</v>
      </c>
      <c r="D318" s="31"/>
      <c r="E318" s="31">
        <v>0</v>
      </c>
      <c r="F318" s="31">
        <v>58000</v>
      </c>
      <c r="G318" s="31">
        <v>58000</v>
      </c>
      <c r="H318" s="31"/>
      <c r="I318" s="31">
        <f t="shared" si="6"/>
        <v>0</v>
      </c>
      <c r="K318" t="s">
        <v>38</v>
      </c>
    </row>
    <row r="319" spans="2:11" ht="13" x14ac:dyDescent="0.15">
      <c r="B319" s="30" t="s">
        <v>497</v>
      </c>
      <c r="C319" s="30" t="s">
        <v>498</v>
      </c>
      <c r="D319" s="31"/>
      <c r="E319" s="31">
        <v>0</v>
      </c>
      <c r="F319" s="31">
        <v>8804.4</v>
      </c>
      <c r="G319" s="31">
        <v>8804.4</v>
      </c>
      <c r="H319" s="31"/>
      <c r="I319" s="31">
        <f t="shared" si="6"/>
        <v>0</v>
      </c>
      <c r="K319" t="s">
        <v>38</v>
      </c>
    </row>
    <row r="320" spans="2:11" ht="13" x14ac:dyDescent="0.15">
      <c r="B320" s="30" t="s">
        <v>499</v>
      </c>
      <c r="C320" s="30" t="s">
        <v>500</v>
      </c>
      <c r="D320" s="31"/>
      <c r="E320" s="31">
        <v>0</v>
      </c>
      <c r="F320" s="31">
        <v>97625</v>
      </c>
      <c r="G320" s="31">
        <v>97625</v>
      </c>
      <c r="H320" s="31"/>
      <c r="I320" s="31">
        <f t="shared" si="6"/>
        <v>0</v>
      </c>
      <c r="K320" t="s">
        <v>38</v>
      </c>
    </row>
    <row r="321" spans="2:11" ht="13" x14ac:dyDescent="0.15">
      <c r="B321" s="30" t="s">
        <v>501</v>
      </c>
      <c r="C321" s="30" t="s">
        <v>502</v>
      </c>
      <c r="D321" s="31"/>
      <c r="E321" s="31">
        <v>0</v>
      </c>
      <c r="F321" s="31">
        <v>92100</v>
      </c>
      <c r="G321" s="31">
        <v>92100</v>
      </c>
      <c r="H321" s="31"/>
      <c r="I321" s="31">
        <f t="shared" si="6"/>
        <v>0</v>
      </c>
      <c r="K321" t="s">
        <v>38</v>
      </c>
    </row>
    <row r="322" spans="2:11" ht="13" x14ac:dyDescent="0.15">
      <c r="B322" s="30" t="s">
        <v>503</v>
      </c>
      <c r="C322" s="30" t="s">
        <v>504</v>
      </c>
      <c r="D322" s="31"/>
      <c r="E322" s="31">
        <v>0</v>
      </c>
      <c r="F322" s="31">
        <v>262316.21999999997</v>
      </c>
      <c r="G322" s="31">
        <v>262316.21999999997</v>
      </c>
      <c r="H322" s="31"/>
      <c r="I322" s="31">
        <f t="shared" si="6"/>
        <v>0</v>
      </c>
      <c r="K322" t="s">
        <v>38</v>
      </c>
    </row>
    <row r="323" spans="2:11" ht="13" x14ac:dyDescent="0.15">
      <c r="B323" s="30" t="s">
        <v>505</v>
      </c>
      <c r="C323" s="30" t="s">
        <v>506</v>
      </c>
      <c r="D323" s="31"/>
      <c r="E323" s="31">
        <v>0</v>
      </c>
      <c r="F323" s="31">
        <v>5800</v>
      </c>
      <c r="G323" s="31">
        <v>5800</v>
      </c>
      <c r="H323" s="31"/>
      <c r="I323" s="31">
        <f t="shared" si="6"/>
        <v>0</v>
      </c>
      <c r="K323" t="s">
        <v>38</v>
      </c>
    </row>
    <row r="324" spans="2:11" ht="13" x14ac:dyDescent="0.15">
      <c r="B324" s="30" t="s">
        <v>507</v>
      </c>
      <c r="C324" s="30" t="s">
        <v>508</v>
      </c>
      <c r="D324" s="31"/>
      <c r="E324" s="31">
        <v>0</v>
      </c>
      <c r="F324" s="31">
        <v>163686</v>
      </c>
      <c r="G324" s="31">
        <v>163686</v>
      </c>
      <c r="H324" s="31"/>
      <c r="I324" s="31">
        <f t="shared" si="6"/>
        <v>0</v>
      </c>
      <c r="K324" t="s">
        <v>38</v>
      </c>
    </row>
    <row r="325" spans="2:11" ht="13" x14ac:dyDescent="0.15">
      <c r="B325" s="27" t="s">
        <v>509</v>
      </c>
      <c r="C325" s="27" t="s">
        <v>510</v>
      </c>
      <c r="D325" s="29"/>
      <c r="E325" s="28">
        <f>SUMIFS(E326:E1509,K326:K1509,"0",B326:B1509,"2 1 1 5*")-SUMIFS(D326:D1509,K326:K1509,"0",B326:B1509,"2 1 1 5*")</f>
        <v>0</v>
      </c>
      <c r="F325" s="28">
        <f>SUMIFS(F326:F1509,K326:K1509,"0",B326:B1509,"2 1 1 5*")</f>
        <v>1349784.9</v>
      </c>
      <c r="G325" s="28">
        <f>SUMIFS(G326:G1509,K326:K1509,"0",B326:B1509,"2 1 1 5*")</f>
        <v>1349784.9</v>
      </c>
      <c r="H325" s="28"/>
      <c r="I325" s="28">
        <f t="shared" si="6"/>
        <v>0</v>
      </c>
      <c r="K325" t="s">
        <v>15</v>
      </c>
    </row>
    <row r="326" spans="2:11" ht="13" x14ac:dyDescent="0.15">
      <c r="B326" s="27" t="s">
        <v>511</v>
      </c>
      <c r="C326" s="27" t="s">
        <v>512</v>
      </c>
      <c r="D326" s="29"/>
      <c r="E326" s="28">
        <f>SUMIFS(E327:E1509,K327:K1509,"0",B327:B1509,"2 1 1 5 6*")-SUMIFS(D327:D1509,K327:K1509,"0",B327:B1509,"2 1 1 5 6*")</f>
        <v>0</v>
      </c>
      <c r="F326" s="28">
        <f>SUMIFS(F327:F1509,K327:K1509,"0",B327:B1509,"2 1 1 5 6*")</f>
        <v>1349784.9</v>
      </c>
      <c r="G326" s="28">
        <f>SUMIFS(G327:G1509,K327:K1509,"0",B327:B1509,"2 1 1 5 6*")</f>
        <v>1349784.9</v>
      </c>
      <c r="H326" s="28"/>
      <c r="I326" s="28">
        <f t="shared" si="6"/>
        <v>0</v>
      </c>
      <c r="K326" t="s">
        <v>15</v>
      </c>
    </row>
    <row r="327" spans="2:11" ht="13" x14ac:dyDescent="0.15">
      <c r="B327" s="27" t="s">
        <v>513</v>
      </c>
      <c r="C327" s="27" t="s">
        <v>26</v>
      </c>
      <c r="D327" s="29"/>
      <c r="E327" s="28">
        <f>SUMIFS(E328:E1509,K328:K1509,"0",B328:B1509,"2 1 1 5 6 12*")-SUMIFS(D328:D1509,K328:K1509,"0",B328:B1509,"2 1 1 5 6 12*")</f>
        <v>0</v>
      </c>
      <c r="F327" s="28">
        <f>SUMIFS(F328:F1509,K328:K1509,"0",B328:B1509,"2 1 1 5 6 12*")</f>
        <v>1349784.9</v>
      </c>
      <c r="G327" s="28">
        <f>SUMIFS(G328:G1509,K328:K1509,"0",B328:B1509,"2 1 1 5 6 12*")</f>
        <v>1349784.9</v>
      </c>
      <c r="H327" s="28"/>
      <c r="I327" s="28">
        <f t="shared" si="6"/>
        <v>0</v>
      </c>
      <c r="K327" t="s">
        <v>15</v>
      </c>
    </row>
    <row r="328" spans="2:11" ht="13" x14ac:dyDescent="0.15">
      <c r="B328" s="27" t="s">
        <v>514</v>
      </c>
      <c r="C328" s="27" t="s">
        <v>28</v>
      </c>
      <c r="D328" s="29"/>
      <c r="E328" s="28">
        <f>SUMIFS(E329:E1509,K329:K1509,"0",B329:B1509,"2 1 1 5 6 12 31111*")-SUMIFS(D329:D1509,K329:K1509,"0",B329:B1509,"2 1 1 5 6 12 31111*")</f>
        <v>0</v>
      </c>
      <c r="F328" s="28">
        <f>SUMIFS(F329:F1509,K329:K1509,"0",B329:B1509,"2 1 1 5 6 12 31111*")</f>
        <v>1349784.9</v>
      </c>
      <c r="G328" s="28">
        <f>SUMIFS(G329:G1509,K329:K1509,"0",B329:B1509,"2 1 1 5 6 12 31111*")</f>
        <v>1349784.9</v>
      </c>
      <c r="H328" s="28"/>
      <c r="I328" s="28">
        <f t="shared" si="6"/>
        <v>0</v>
      </c>
      <c r="K328" t="s">
        <v>15</v>
      </c>
    </row>
    <row r="329" spans="2:11" ht="13" x14ac:dyDescent="0.15">
      <c r="B329" s="27" t="s">
        <v>515</v>
      </c>
      <c r="C329" s="27" t="s">
        <v>30</v>
      </c>
      <c r="D329" s="29"/>
      <c r="E329" s="28">
        <f>SUMIFS(E330:E1509,K330:K1509,"0",B330:B1509,"2 1 1 5 6 12 31111 6*")-SUMIFS(D330:D1509,K330:K1509,"0",B330:B1509,"2 1 1 5 6 12 31111 6*")</f>
        <v>0</v>
      </c>
      <c r="F329" s="28">
        <f>SUMIFS(F330:F1509,K330:K1509,"0",B330:B1509,"2 1 1 5 6 12 31111 6*")</f>
        <v>1349784.9</v>
      </c>
      <c r="G329" s="28">
        <f>SUMIFS(G330:G1509,K330:K1509,"0",B330:B1509,"2 1 1 5 6 12 31111 6*")</f>
        <v>1349784.9</v>
      </c>
      <c r="H329" s="28"/>
      <c r="I329" s="28">
        <f t="shared" si="6"/>
        <v>0</v>
      </c>
      <c r="K329" t="s">
        <v>15</v>
      </c>
    </row>
    <row r="330" spans="2:11" ht="13" x14ac:dyDescent="0.15">
      <c r="B330" s="27" t="s">
        <v>516</v>
      </c>
      <c r="C330" s="27" t="s">
        <v>32</v>
      </c>
      <c r="D330" s="29"/>
      <c r="E330" s="28">
        <f>SUMIFS(E331:E1509,K331:K1509,"0",B331:B1509,"2 1 1 5 6 12 31111 6 M78*")-SUMIFS(D331:D1509,K331:K1509,"0",B331:B1509,"2 1 1 5 6 12 31111 6 M78*")</f>
        <v>0</v>
      </c>
      <c r="F330" s="28">
        <f>SUMIFS(F331:F1509,K331:K1509,"0",B331:B1509,"2 1 1 5 6 12 31111 6 M78*")</f>
        <v>1349784.9</v>
      </c>
      <c r="G330" s="28">
        <f>SUMIFS(G331:G1509,K331:K1509,"0",B331:B1509,"2 1 1 5 6 12 31111 6 M78*")</f>
        <v>1349784.9</v>
      </c>
      <c r="H330" s="28"/>
      <c r="I330" s="28">
        <f t="shared" si="6"/>
        <v>0</v>
      </c>
      <c r="K330" t="s">
        <v>15</v>
      </c>
    </row>
    <row r="331" spans="2:11" ht="13" x14ac:dyDescent="0.15">
      <c r="B331" s="27" t="s">
        <v>517</v>
      </c>
      <c r="C331" s="27" t="s">
        <v>9</v>
      </c>
      <c r="D331" s="29"/>
      <c r="E331" s="28">
        <f>SUMIFS(E332:E1509,K332:K1509,"0",B332:B1509,"2 1 1 5 6 12 31111 6 M78 00001*")-SUMIFS(D332:D1509,K332:K1509,"0",B332:B1509,"2 1 1 5 6 12 31111 6 M78 00001*")</f>
        <v>0</v>
      </c>
      <c r="F331" s="28">
        <f>SUMIFS(F332:F1509,K332:K1509,"0",B332:B1509,"2 1 1 5 6 12 31111 6 M78 00001*")</f>
        <v>1349784.9</v>
      </c>
      <c r="G331" s="28">
        <f>SUMIFS(G332:G1509,K332:K1509,"0",B332:B1509,"2 1 1 5 6 12 31111 6 M78 00001*")</f>
        <v>1349784.9</v>
      </c>
      <c r="H331" s="28"/>
      <c r="I331" s="28">
        <f t="shared" si="6"/>
        <v>0</v>
      </c>
      <c r="K331" t="s">
        <v>15</v>
      </c>
    </row>
    <row r="332" spans="2:11" ht="13" x14ac:dyDescent="0.15">
      <c r="B332" s="30" t="s">
        <v>518</v>
      </c>
      <c r="C332" s="30" t="s">
        <v>93</v>
      </c>
      <c r="D332" s="31"/>
      <c r="E332" s="31">
        <v>0</v>
      </c>
      <c r="F332" s="31">
        <v>496189</v>
      </c>
      <c r="G332" s="31">
        <v>496189</v>
      </c>
      <c r="H332" s="31"/>
      <c r="I332" s="31">
        <f t="shared" si="6"/>
        <v>0</v>
      </c>
      <c r="K332" t="s">
        <v>38</v>
      </c>
    </row>
    <row r="333" spans="2:11" ht="13" x14ac:dyDescent="0.15">
      <c r="B333" s="30" t="s">
        <v>519</v>
      </c>
      <c r="C333" s="30" t="s">
        <v>520</v>
      </c>
      <c r="D333" s="31"/>
      <c r="E333" s="31">
        <v>0</v>
      </c>
      <c r="F333" s="31">
        <v>20000</v>
      </c>
      <c r="G333" s="31">
        <v>20000</v>
      </c>
      <c r="H333" s="31"/>
      <c r="I333" s="31">
        <f t="shared" si="6"/>
        <v>0</v>
      </c>
      <c r="K333" t="s">
        <v>38</v>
      </c>
    </row>
    <row r="334" spans="2:11" ht="13" x14ac:dyDescent="0.15">
      <c r="B334" s="30" t="s">
        <v>521</v>
      </c>
      <c r="C334" s="30" t="s">
        <v>522</v>
      </c>
      <c r="D334" s="31"/>
      <c r="E334" s="31">
        <v>0</v>
      </c>
      <c r="F334" s="31">
        <v>20000</v>
      </c>
      <c r="G334" s="31">
        <v>20000</v>
      </c>
      <c r="H334" s="31"/>
      <c r="I334" s="31">
        <f t="shared" si="6"/>
        <v>0</v>
      </c>
      <c r="K334" t="s">
        <v>38</v>
      </c>
    </row>
    <row r="335" spans="2:11" ht="13" x14ac:dyDescent="0.15">
      <c r="B335" s="30" t="s">
        <v>523</v>
      </c>
      <c r="C335" s="30" t="s">
        <v>524</v>
      </c>
      <c r="D335" s="31"/>
      <c r="E335" s="31">
        <v>0</v>
      </c>
      <c r="F335" s="31">
        <v>6000</v>
      </c>
      <c r="G335" s="31">
        <v>6000</v>
      </c>
      <c r="H335" s="31"/>
      <c r="I335" s="31">
        <f t="shared" si="6"/>
        <v>0</v>
      </c>
      <c r="K335" t="s">
        <v>38</v>
      </c>
    </row>
    <row r="336" spans="2:11" ht="13" x14ac:dyDescent="0.15">
      <c r="B336" s="30" t="s">
        <v>525</v>
      </c>
      <c r="C336" s="30" t="s">
        <v>526</v>
      </c>
      <c r="D336" s="31"/>
      <c r="E336" s="31">
        <v>0</v>
      </c>
      <c r="F336" s="31">
        <v>15000</v>
      </c>
      <c r="G336" s="31">
        <v>15000</v>
      </c>
      <c r="H336" s="31"/>
      <c r="I336" s="31">
        <f t="shared" si="6"/>
        <v>0</v>
      </c>
      <c r="K336" t="s">
        <v>38</v>
      </c>
    </row>
    <row r="337" spans="2:11" ht="13" x14ac:dyDescent="0.15">
      <c r="B337" s="30" t="s">
        <v>527</v>
      </c>
      <c r="C337" s="30" t="s">
        <v>522</v>
      </c>
      <c r="D337" s="31"/>
      <c r="E337" s="31">
        <v>0</v>
      </c>
      <c r="F337" s="31">
        <v>5000</v>
      </c>
      <c r="G337" s="31">
        <v>5000</v>
      </c>
      <c r="H337" s="31"/>
      <c r="I337" s="31">
        <f t="shared" si="6"/>
        <v>0</v>
      </c>
      <c r="K337" t="s">
        <v>38</v>
      </c>
    </row>
    <row r="338" spans="2:11" ht="13" x14ac:dyDescent="0.15">
      <c r="B338" s="30" t="s">
        <v>528</v>
      </c>
      <c r="C338" s="30" t="s">
        <v>529</v>
      </c>
      <c r="D338" s="31"/>
      <c r="E338" s="31">
        <v>0</v>
      </c>
      <c r="F338" s="31">
        <v>47600</v>
      </c>
      <c r="G338" s="31">
        <v>47600</v>
      </c>
      <c r="H338" s="31"/>
      <c r="I338" s="31">
        <f t="shared" si="6"/>
        <v>0</v>
      </c>
      <c r="K338" t="s">
        <v>38</v>
      </c>
    </row>
    <row r="339" spans="2:11" ht="13" x14ac:dyDescent="0.15">
      <c r="B339" s="30" t="s">
        <v>530</v>
      </c>
      <c r="C339" s="30" t="s">
        <v>480</v>
      </c>
      <c r="D339" s="31"/>
      <c r="E339" s="31">
        <v>0</v>
      </c>
      <c r="F339" s="31">
        <v>198429.62</v>
      </c>
      <c r="G339" s="31">
        <v>198429.62</v>
      </c>
      <c r="H339" s="31"/>
      <c r="I339" s="31">
        <f t="shared" si="6"/>
        <v>0</v>
      </c>
      <c r="K339" t="s">
        <v>38</v>
      </c>
    </row>
    <row r="340" spans="2:11" ht="13" x14ac:dyDescent="0.15">
      <c r="B340" s="30" t="s">
        <v>531</v>
      </c>
      <c r="C340" s="30" t="s">
        <v>532</v>
      </c>
      <c r="D340" s="31"/>
      <c r="E340" s="31">
        <v>0</v>
      </c>
      <c r="F340" s="31">
        <v>73080</v>
      </c>
      <c r="G340" s="31">
        <v>73080</v>
      </c>
      <c r="H340" s="31"/>
      <c r="I340" s="31">
        <f t="shared" si="6"/>
        <v>0</v>
      </c>
      <c r="K340" t="s">
        <v>38</v>
      </c>
    </row>
    <row r="341" spans="2:11" ht="13" x14ac:dyDescent="0.15">
      <c r="B341" s="30" t="s">
        <v>533</v>
      </c>
      <c r="C341" s="30" t="s">
        <v>492</v>
      </c>
      <c r="D341" s="31"/>
      <c r="E341" s="31">
        <v>0</v>
      </c>
      <c r="F341" s="31">
        <v>8100</v>
      </c>
      <c r="G341" s="31">
        <v>8100</v>
      </c>
      <c r="H341" s="31"/>
      <c r="I341" s="31">
        <f t="shared" si="6"/>
        <v>0</v>
      </c>
      <c r="K341" t="s">
        <v>38</v>
      </c>
    </row>
    <row r="342" spans="2:11" ht="13" x14ac:dyDescent="0.15">
      <c r="B342" s="30" t="s">
        <v>534</v>
      </c>
      <c r="C342" s="30" t="s">
        <v>504</v>
      </c>
      <c r="D342" s="31"/>
      <c r="E342" s="31">
        <v>0</v>
      </c>
      <c r="F342" s="31">
        <v>58850</v>
      </c>
      <c r="G342" s="31">
        <v>58850</v>
      </c>
      <c r="H342" s="31"/>
      <c r="I342" s="31">
        <f t="shared" si="6"/>
        <v>0</v>
      </c>
      <c r="K342" t="s">
        <v>38</v>
      </c>
    </row>
    <row r="343" spans="2:11" ht="13" x14ac:dyDescent="0.15">
      <c r="B343" s="30" t="s">
        <v>535</v>
      </c>
      <c r="C343" s="30" t="s">
        <v>536</v>
      </c>
      <c r="D343" s="31"/>
      <c r="E343" s="31">
        <v>0</v>
      </c>
      <c r="F343" s="31">
        <v>251236.28</v>
      </c>
      <c r="G343" s="31">
        <v>251236.28</v>
      </c>
      <c r="H343" s="31"/>
      <c r="I343" s="31">
        <f t="shared" si="6"/>
        <v>0</v>
      </c>
      <c r="K343" t="s">
        <v>38</v>
      </c>
    </row>
    <row r="344" spans="2:11" ht="13" x14ac:dyDescent="0.15">
      <c r="B344" s="30" t="s">
        <v>537</v>
      </c>
      <c r="C344" s="30" t="s">
        <v>538</v>
      </c>
      <c r="D344" s="31"/>
      <c r="E344" s="31">
        <v>0</v>
      </c>
      <c r="F344" s="31">
        <v>150300</v>
      </c>
      <c r="G344" s="31">
        <v>150300</v>
      </c>
      <c r="H344" s="31"/>
      <c r="I344" s="31">
        <f t="shared" ref="I344:I375" si="7">E344 - F344 + G344</f>
        <v>0</v>
      </c>
      <c r="K344" t="s">
        <v>38</v>
      </c>
    </row>
    <row r="345" spans="2:11" ht="13" x14ac:dyDescent="0.15">
      <c r="B345" s="27" t="s">
        <v>539</v>
      </c>
      <c r="C345" s="27" t="s">
        <v>540</v>
      </c>
      <c r="D345" s="29"/>
      <c r="E345" s="28">
        <f>SUMIFS(E346:E1509,K346:K1509,"0",B346:B1509,"2 1 1 7*")-SUMIFS(D346:D1509,K346:K1509,"0",B346:B1509,"2 1 1 7*")</f>
        <v>287126.86000000004</v>
      </c>
      <c r="F345" s="28">
        <f>SUMIFS(F346:F1509,K346:K1509,"0",B346:B1509,"2 1 1 7*")</f>
        <v>1507393.1</v>
      </c>
      <c r="G345" s="28">
        <f>SUMIFS(G346:G1509,K346:K1509,"0",B346:B1509,"2 1 1 7*")</f>
        <v>1279762.5900000001</v>
      </c>
      <c r="H345" s="28"/>
      <c r="I345" s="28">
        <f t="shared" si="7"/>
        <v>59496.350000000093</v>
      </c>
      <c r="K345" t="s">
        <v>15</v>
      </c>
    </row>
    <row r="346" spans="2:11" ht="13" x14ac:dyDescent="0.15">
      <c r="B346" s="27" t="s">
        <v>541</v>
      </c>
      <c r="C346" s="27" t="s">
        <v>542</v>
      </c>
      <c r="D346" s="29"/>
      <c r="E346" s="28">
        <f>SUMIFS(E347:E1509,K347:K1509,"0",B347:B1509,"2 1 1 7 1*")-SUMIFS(D347:D1509,K347:K1509,"0",B347:B1509,"2 1 1 7 1*")</f>
        <v>283169.46000000002</v>
      </c>
      <c r="F346" s="28">
        <f>SUMIFS(F347:F1509,K347:K1509,"0",B347:B1509,"2 1 1 7 1*")</f>
        <v>1507393.1</v>
      </c>
      <c r="G346" s="28">
        <f>SUMIFS(G347:G1509,K347:K1509,"0",B347:B1509,"2 1 1 7 1*")</f>
        <v>1279762.5900000001</v>
      </c>
      <c r="H346" s="28"/>
      <c r="I346" s="28">
        <f t="shared" si="7"/>
        <v>55538.949999999953</v>
      </c>
      <c r="K346" t="s">
        <v>15</v>
      </c>
    </row>
    <row r="347" spans="2:11" ht="13" x14ac:dyDescent="0.15">
      <c r="B347" s="27" t="s">
        <v>543</v>
      </c>
      <c r="C347" s="27" t="s">
        <v>26</v>
      </c>
      <c r="D347" s="29"/>
      <c r="E347" s="28">
        <f>SUMIFS(E348:E1509,K348:K1509,"0",B348:B1509,"2 1 1 7 1 12*")-SUMIFS(D348:D1509,K348:K1509,"0",B348:B1509,"2 1 1 7 1 12*")</f>
        <v>283169.46000000002</v>
      </c>
      <c r="F347" s="28">
        <f>SUMIFS(F348:F1509,K348:K1509,"0",B348:B1509,"2 1 1 7 1 12*")</f>
        <v>1507393.1</v>
      </c>
      <c r="G347" s="28">
        <f>SUMIFS(G348:G1509,K348:K1509,"0",B348:B1509,"2 1 1 7 1 12*")</f>
        <v>1279762.5900000001</v>
      </c>
      <c r="H347" s="28"/>
      <c r="I347" s="28">
        <f t="shared" si="7"/>
        <v>55538.949999999953</v>
      </c>
      <c r="K347" t="s">
        <v>15</v>
      </c>
    </row>
    <row r="348" spans="2:11" ht="13" x14ac:dyDescent="0.15">
      <c r="B348" s="27" t="s">
        <v>544</v>
      </c>
      <c r="C348" s="27" t="s">
        <v>28</v>
      </c>
      <c r="D348" s="29"/>
      <c r="E348" s="28">
        <f>SUMIFS(E349:E1509,K349:K1509,"0",B349:B1509,"2 1 1 7 1 12 31111*")-SUMIFS(D349:D1509,K349:K1509,"0",B349:B1509,"2 1 1 7 1 12 31111*")</f>
        <v>283169.46000000002</v>
      </c>
      <c r="F348" s="28">
        <f>SUMIFS(F349:F1509,K349:K1509,"0",B349:B1509,"2 1 1 7 1 12 31111*")</f>
        <v>1507393.1</v>
      </c>
      <c r="G348" s="28">
        <f>SUMIFS(G349:G1509,K349:K1509,"0",B349:B1509,"2 1 1 7 1 12 31111*")</f>
        <v>1279762.5900000001</v>
      </c>
      <c r="H348" s="28"/>
      <c r="I348" s="28">
        <f t="shared" si="7"/>
        <v>55538.949999999953</v>
      </c>
      <c r="K348" t="s">
        <v>15</v>
      </c>
    </row>
    <row r="349" spans="2:11" ht="13" x14ac:dyDescent="0.15">
      <c r="B349" s="27" t="s">
        <v>545</v>
      </c>
      <c r="C349" s="27" t="s">
        <v>30</v>
      </c>
      <c r="D349" s="29"/>
      <c r="E349" s="28">
        <f>SUMIFS(E350:E1509,K350:K1509,"0",B350:B1509,"2 1 1 7 1 12 31111 6*")-SUMIFS(D350:D1509,K350:K1509,"0",B350:B1509,"2 1 1 7 1 12 31111 6*")</f>
        <v>283169.46000000002</v>
      </c>
      <c r="F349" s="28">
        <f>SUMIFS(F350:F1509,K350:K1509,"0",B350:B1509,"2 1 1 7 1 12 31111 6*")</f>
        <v>1507393.1</v>
      </c>
      <c r="G349" s="28">
        <f>SUMIFS(G350:G1509,K350:K1509,"0",B350:B1509,"2 1 1 7 1 12 31111 6*")</f>
        <v>1279762.5900000001</v>
      </c>
      <c r="H349" s="28"/>
      <c r="I349" s="28">
        <f t="shared" si="7"/>
        <v>55538.949999999953</v>
      </c>
      <c r="K349" t="s">
        <v>15</v>
      </c>
    </row>
    <row r="350" spans="2:11" ht="13" x14ac:dyDescent="0.15">
      <c r="B350" s="27" t="s">
        <v>546</v>
      </c>
      <c r="C350" s="27" t="s">
        <v>32</v>
      </c>
      <c r="D350" s="29"/>
      <c r="E350" s="28">
        <f>SUMIFS(E351:E1509,K351:K1509,"0",B351:B1509,"2 1 1 7 1 12 31111 6 M78*")-SUMIFS(D351:D1509,K351:K1509,"0",B351:B1509,"2 1 1 7 1 12 31111 6 M78*")</f>
        <v>283169.46000000002</v>
      </c>
      <c r="F350" s="28">
        <f>SUMIFS(F351:F1509,K351:K1509,"0",B351:B1509,"2 1 1 7 1 12 31111 6 M78*")</f>
        <v>1507393.1</v>
      </c>
      <c r="G350" s="28">
        <f>SUMIFS(G351:G1509,K351:K1509,"0",B351:B1509,"2 1 1 7 1 12 31111 6 M78*")</f>
        <v>1279762.5900000001</v>
      </c>
      <c r="H350" s="28"/>
      <c r="I350" s="28">
        <f t="shared" si="7"/>
        <v>55538.949999999953</v>
      </c>
      <c r="K350" t="s">
        <v>15</v>
      </c>
    </row>
    <row r="351" spans="2:11" ht="13" x14ac:dyDescent="0.15">
      <c r="B351" s="27" t="s">
        <v>547</v>
      </c>
      <c r="C351" s="27" t="s">
        <v>9</v>
      </c>
      <c r="D351" s="29"/>
      <c r="E351" s="28">
        <f>SUMIFS(E352:E1509,K352:K1509,"0",B352:B1509,"2 1 1 7 1 12 31111 6 M78 00001*")-SUMIFS(D352:D1509,K352:K1509,"0",B352:B1509,"2 1 1 7 1 12 31111 6 M78 00001*")</f>
        <v>283169.46000000002</v>
      </c>
      <c r="F351" s="28">
        <f>SUMIFS(F352:F1509,K352:K1509,"0",B352:B1509,"2 1 1 7 1 12 31111 6 M78 00001*")</f>
        <v>1507393.1</v>
      </c>
      <c r="G351" s="28">
        <f>SUMIFS(G352:G1509,K352:K1509,"0",B352:B1509,"2 1 1 7 1 12 31111 6 M78 00001*")</f>
        <v>1279762.5900000001</v>
      </c>
      <c r="H351" s="28"/>
      <c r="I351" s="28">
        <f t="shared" si="7"/>
        <v>55538.949999999953</v>
      </c>
      <c r="K351" t="s">
        <v>15</v>
      </c>
    </row>
    <row r="352" spans="2:11" ht="13" x14ac:dyDescent="0.15">
      <c r="B352" s="30" t="s">
        <v>548</v>
      </c>
      <c r="C352" s="30" t="s">
        <v>549</v>
      </c>
      <c r="D352" s="31"/>
      <c r="E352" s="31">
        <v>-1.1100000000000001</v>
      </c>
      <c r="F352" s="31">
        <v>0</v>
      </c>
      <c r="G352" s="31">
        <v>0</v>
      </c>
      <c r="H352" s="31"/>
      <c r="I352" s="31">
        <f t="shared" si="7"/>
        <v>-1.1100000000000001</v>
      </c>
      <c r="K352" t="s">
        <v>38</v>
      </c>
    </row>
    <row r="353" spans="2:11" ht="13" x14ac:dyDescent="0.15">
      <c r="B353" s="30" t="s">
        <v>550</v>
      </c>
      <c r="C353" s="30" t="s">
        <v>551</v>
      </c>
      <c r="D353" s="31"/>
      <c r="E353" s="31">
        <v>-0.27</v>
      </c>
      <c r="F353" s="31">
        <v>0</v>
      </c>
      <c r="G353" s="31">
        <v>0</v>
      </c>
      <c r="H353" s="31"/>
      <c r="I353" s="31">
        <f t="shared" si="7"/>
        <v>-0.27</v>
      </c>
      <c r="K353" t="s">
        <v>38</v>
      </c>
    </row>
    <row r="354" spans="2:11" ht="13" x14ac:dyDescent="0.15">
      <c r="B354" s="30" t="s">
        <v>552</v>
      </c>
      <c r="C354" s="30" t="s">
        <v>553</v>
      </c>
      <c r="D354" s="31"/>
      <c r="E354" s="31">
        <v>-0.02</v>
      </c>
      <c r="F354" s="31">
        <v>0</v>
      </c>
      <c r="G354" s="31">
        <v>0</v>
      </c>
      <c r="H354" s="31"/>
      <c r="I354" s="31">
        <f t="shared" si="7"/>
        <v>-0.02</v>
      </c>
      <c r="K354" t="s">
        <v>38</v>
      </c>
    </row>
    <row r="355" spans="2:11" ht="13" x14ac:dyDescent="0.15">
      <c r="B355" s="30" t="s">
        <v>554</v>
      </c>
      <c r="C355" s="30" t="s">
        <v>555</v>
      </c>
      <c r="D355" s="31"/>
      <c r="E355" s="31">
        <v>24863.17</v>
      </c>
      <c r="F355" s="31">
        <v>163113.34</v>
      </c>
      <c r="G355" s="31">
        <v>153136.24</v>
      </c>
      <c r="H355" s="31"/>
      <c r="I355" s="31">
        <f t="shared" si="7"/>
        <v>14886.070000000007</v>
      </c>
      <c r="K355" t="s">
        <v>38</v>
      </c>
    </row>
    <row r="356" spans="2:11" ht="13" x14ac:dyDescent="0.15">
      <c r="B356" s="27" t="s">
        <v>556</v>
      </c>
      <c r="C356" s="27" t="s">
        <v>557</v>
      </c>
      <c r="D356" s="29"/>
      <c r="E356" s="28">
        <f>SUMIFS(E357:E1509,K357:K1509,"0",B357:B1509,"2 1 1 7 1 12 31111 6 M78 00001 009*")-SUMIFS(D357:D1509,K357:K1509,"0",B357:B1509,"2 1 1 7 1 12 31111 6 M78 00001 009*")</f>
        <v>258307.69</v>
      </c>
      <c r="F356" s="28">
        <f>SUMIFS(F357:F1509,K357:K1509,"0",B357:B1509,"2 1 1 7 1 12 31111 6 M78 00001 009*")</f>
        <v>1124752.49</v>
      </c>
      <c r="G356" s="28">
        <f>SUMIFS(G357:G1509,K357:K1509,"0",B357:B1509,"2 1 1 7 1 12 31111 6 M78 00001 009*")</f>
        <v>907099.26</v>
      </c>
      <c r="H356" s="28"/>
      <c r="I356" s="28">
        <f t="shared" si="7"/>
        <v>40654.459999999963</v>
      </c>
      <c r="K356" t="s">
        <v>15</v>
      </c>
    </row>
    <row r="357" spans="2:11" ht="13" x14ac:dyDescent="0.15">
      <c r="B357" s="30" t="s">
        <v>558</v>
      </c>
      <c r="C357" s="30" t="s">
        <v>559</v>
      </c>
      <c r="D357" s="31"/>
      <c r="E357" s="31">
        <v>258307.69</v>
      </c>
      <c r="F357" s="31">
        <v>371957.66</v>
      </c>
      <c r="G357" s="31">
        <v>0</v>
      </c>
      <c r="H357" s="31"/>
      <c r="I357" s="31">
        <f t="shared" si="7"/>
        <v>-113649.96999999997</v>
      </c>
      <c r="K357" t="s">
        <v>38</v>
      </c>
    </row>
    <row r="358" spans="2:11" ht="22" x14ac:dyDescent="0.15">
      <c r="B358" s="30" t="s">
        <v>560</v>
      </c>
      <c r="C358" s="30" t="s">
        <v>561</v>
      </c>
      <c r="D358" s="31"/>
      <c r="E358" s="31">
        <v>0</v>
      </c>
      <c r="F358" s="31">
        <v>752794.83</v>
      </c>
      <c r="G358" s="31">
        <v>907099.26</v>
      </c>
      <c r="H358" s="31"/>
      <c r="I358" s="31">
        <f t="shared" si="7"/>
        <v>154304.43000000005</v>
      </c>
      <c r="K358" t="s">
        <v>38</v>
      </c>
    </row>
    <row r="359" spans="2:11" ht="13" x14ac:dyDescent="0.15">
      <c r="B359" s="30" t="s">
        <v>562</v>
      </c>
      <c r="C359" s="30" t="s">
        <v>563</v>
      </c>
      <c r="D359" s="31"/>
      <c r="E359" s="31">
        <v>0</v>
      </c>
      <c r="F359" s="31">
        <v>219527.27</v>
      </c>
      <c r="G359" s="31">
        <v>219527.09</v>
      </c>
      <c r="H359" s="31"/>
      <c r="I359" s="31">
        <f t="shared" si="7"/>
        <v>-0.17999999999301508</v>
      </c>
      <c r="K359" t="s">
        <v>38</v>
      </c>
    </row>
    <row r="360" spans="2:11" ht="13" x14ac:dyDescent="0.15">
      <c r="B360" s="30" t="s">
        <v>564</v>
      </c>
      <c r="C360" s="30" t="s">
        <v>565</v>
      </c>
      <c r="D360" s="31"/>
      <c r="E360" s="31">
        <v>3957.4</v>
      </c>
      <c r="F360" s="31">
        <v>0</v>
      </c>
      <c r="G360" s="31">
        <v>0</v>
      </c>
      <c r="H360" s="31"/>
      <c r="I360" s="31">
        <f t="shared" si="7"/>
        <v>3957.4</v>
      </c>
      <c r="K360" t="s">
        <v>38</v>
      </c>
    </row>
    <row r="361" spans="2:11" ht="13" x14ac:dyDescent="0.15">
      <c r="B361" s="27" t="s">
        <v>566</v>
      </c>
      <c r="C361" s="27" t="s">
        <v>567</v>
      </c>
      <c r="D361" s="29"/>
      <c r="E361" s="28">
        <f>SUMIFS(E362:E1509,K362:K1509,"0",B362:B1509,"2 1 1 9*")-SUMIFS(D362:D1509,K362:K1509,"0",B362:B1509,"2 1 1 9*")</f>
        <v>198212.32</v>
      </c>
      <c r="F361" s="28">
        <f>SUMIFS(F362:F1509,K362:K1509,"0",B362:B1509,"2 1 1 9*")</f>
        <v>440000</v>
      </c>
      <c r="G361" s="28">
        <f>SUMIFS(G362:G1509,K362:K1509,"0",B362:B1509,"2 1 1 9*")</f>
        <v>260000</v>
      </c>
      <c r="H361" s="28"/>
      <c r="I361" s="28">
        <f t="shared" si="7"/>
        <v>18212.320000000007</v>
      </c>
      <c r="K361" t="s">
        <v>15</v>
      </c>
    </row>
    <row r="362" spans="2:11" ht="13" x14ac:dyDescent="0.15">
      <c r="B362" s="27" t="s">
        <v>568</v>
      </c>
      <c r="C362" s="27" t="s">
        <v>569</v>
      </c>
      <c r="D362" s="29"/>
      <c r="E362" s="28">
        <f>SUMIFS(E363:E1509,K363:K1509,"0",B363:B1509,"2 1 1 9 9*")-SUMIFS(D363:D1509,K363:K1509,"0",B363:B1509,"2 1 1 9 9*")</f>
        <v>198212.32</v>
      </c>
      <c r="F362" s="28">
        <f>SUMIFS(F363:F1509,K363:K1509,"0",B363:B1509,"2 1 1 9 9*")</f>
        <v>440000</v>
      </c>
      <c r="G362" s="28">
        <f>SUMIFS(G363:G1509,K363:K1509,"0",B363:B1509,"2 1 1 9 9*")</f>
        <v>260000</v>
      </c>
      <c r="H362" s="28"/>
      <c r="I362" s="28">
        <f t="shared" si="7"/>
        <v>18212.320000000007</v>
      </c>
      <c r="K362" t="s">
        <v>15</v>
      </c>
    </row>
    <row r="363" spans="2:11" ht="13" x14ac:dyDescent="0.15">
      <c r="B363" s="27" t="s">
        <v>570</v>
      </c>
      <c r="C363" s="27" t="s">
        <v>26</v>
      </c>
      <c r="D363" s="29"/>
      <c r="E363" s="28">
        <f>SUMIFS(E364:E1509,K364:K1509,"0",B364:B1509,"2 1 1 9 9 12*")-SUMIFS(D364:D1509,K364:K1509,"0",B364:B1509,"2 1 1 9 9 12*")</f>
        <v>198212.32</v>
      </c>
      <c r="F363" s="28">
        <f>SUMIFS(F364:F1509,K364:K1509,"0",B364:B1509,"2 1 1 9 9 12*")</f>
        <v>440000</v>
      </c>
      <c r="G363" s="28">
        <f>SUMIFS(G364:G1509,K364:K1509,"0",B364:B1509,"2 1 1 9 9 12*")</f>
        <v>260000</v>
      </c>
      <c r="H363" s="28"/>
      <c r="I363" s="28">
        <f t="shared" si="7"/>
        <v>18212.320000000007</v>
      </c>
      <c r="K363" t="s">
        <v>15</v>
      </c>
    </row>
    <row r="364" spans="2:11" ht="13" x14ac:dyDescent="0.15">
      <c r="B364" s="27" t="s">
        <v>571</v>
      </c>
      <c r="C364" s="27" t="s">
        <v>28</v>
      </c>
      <c r="D364" s="29"/>
      <c r="E364" s="28">
        <f>SUMIFS(E365:E1509,K365:K1509,"0",B365:B1509,"2 1 1 9 9 12 31111*")-SUMIFS(D365:D1509,K365:K1509,"0",B365:B1509,"2 1 1 9 9 12 31111*")</f>
        <v>198212.32</v>
      </c>
      <c r="F364" s="28">
        <f>SUMIFS(F365:F1509,K365:K1509,"0",B365:B1509,"2 1 1 9 9 12 31111*")</f>
        <v>440000</v>
      </c>
      <c r="G364" s="28">
        <f>SUMIFS(G365:G1509,K365:K1509,"0",B365:B1509,"2 1 1 9 9 12 31111*")</f>
        <v>260000</v>
      </c>
      <c r="H364" s="28"/>
      <c r="I364" s="28">
        <f t="shared" si="7"/>
        <v>18212.320000000007</v>
      </c>
      <c r="K364" t="s">
        <v>15</v>
      </c>
    </row>
    <row r="365" spans="2:11" ht="13" x14ac:dyDescent="0.15">
      <c r="B365" s="27" t="s">
        <v>572</v>
      </c>
      <c r="C365" s="27" t="s">
        <v>30</v>
      </c>
      <c r="D365" s="29"/>
      <c r="E365" s="28">
        <f>SUMIFS(E366:E1509,K366:K1509,"0",B366:B1509,"2 1 1 9 9 12 31111 6*")-SUMIFS(D366:D1509,K366:K1509,"0",B366:B1509,"2 1 1 9 9 12 31111 6*")</f>
        <v>198212.32</v>
      </c>
      <c r="F365" s="28">
        <f>SUMIFS(F366:F1509,K366:K1509,"0",B366:B1509,"2 1 1 9 9 12 31111 6*")</f>
        <v>440000</v>
      </c>
      <c r="G365" s="28">
        <f>SUMIFS(G366:G1509,K366:K1509,"0",B366:B1509,"2 1 1 9 9 12 31111 6*")</f>
        <v>260000</v>
      </c>
      <c r="H365" s="28"/>
      <c r="I365" s="28">
        <f t="shared" si="7"/>
        <v>18212.320000000007</v>
      </c>
      <c r="K365" t="s">
        <v>15</v>
      </c>
    </row>
    <row r="366" spans="2:11" ht="13" x14ac:dyDescent="0.15">
      <c r="B366" s="27" t="s">
        <v>573</v>
      </c>
      <c r="C366" s="27" t="s">
        <v>32</v>
      </c>
      <c r="D366" s="29"/>
      <c r="E366" s="28">
        <f>SUMIFS(E367:E1509,K367:K1509,"0",B367:B1509,"2 1 1 9 9 12 31111 6 M78*")-SUMIFS(D367:D1509,K367:K1509,"0",B367:B1509,"2 1 1 9 9 12 31111 6 M78*")</f>
        <v>198212.32</v>
      </c>
      <c r="F366" s="28">
        <f>SUMIFS(F367:F1509,K367:K1509,"0",B367:B1509,"2 1 1 9 9 12 31111 6 M78*")</f>
        <v>440000</v>
      </c>
      <c r="G366" s="28">
        <f>SUMIFS(G367:G1509,K367:K1509,"0",B367:B1509,"2 1 1 9 9 12 31111 6 M78*")</f>
        <v>260000</v>
      </c>
      <c r="H366" s="28"/>
      <c r="I366" s="28">
        <f t="shared" si="7"/>
        <v>18212.320000000007</v>
      </c>
      <c r="K366" t="s">
        <v>15</v>
      </c>
    </row>
    <row r="367" spans="2:11" ht="13" x14ac:dyDescent="0.15">
      <c r="B367" s="27" t="s">
        <v>574</v>
      </c>
      <c r="C367" s="27" t="s">
        <v>9</v>
      </c>
      <c r="D367" s="29"/>
      <c r="E367" s="28">
        <f>SUMIFS(E368:E1509,K368:K1509,"0",B368:B1509,"2 1 1 9 9 12 31111 6 M78 00001*")-SUMIFS(D368:D1509,K368:K1509,"0",B368:B1509,"2 1 1 9 9 12 31111 6 M78 00001*")</f>
        <v>198212.32</v>
      </c>
      <c r="F367" s="28">
        <f>SUMIFS(F368:F1509,K368:K1509,"0",B368:B1509,"2 1 1 9 9 12 31111 6 M78 00001*")</f>
        <v>440000</v>
      </c>
      <c r="G367" s="28">
        <f>SUMIFS(G368:G1509,K368:K1509,"0",B368:B1509,"2 1 1 9 9 12 31111 6 M78 00001*")</f>
        <v>260000</v>
      </c>
      <c r="H367" s="28"/>
      <c r="I367" s="28">
        <f t="shared" si="7"/>
        <v>18212.320000000007</v>
      </c>
      <c r="K367" t="s">
        <v>15</v>
      </c>
    </row>
    <row r="368" spans="2:11" ht="13" x14ac:dyDescent="0.15">
      <c r="B368" s="27" t="s">
        <v>575</v>
      </c>
      <c r="C368" s="27" t="s">
        <v>35</v>
      </c>
      <c r="D368" s="29"/>
      <c r="E368" s="28">
        <f>SUMIFS(E369:E1509,K369:K1509,"0",B369:B1509,"2 1 1 9 9 12 31111 6 M78 00001 001*")-SUMIFS(D369:D1509,K369:K1509,"0",B369:B1509,"2 1 1 9 9 12 31111 6 M78 00001 001*")</f>
        <v>198212.32</v>
      </c>
      <c r="F368" s="28">
        <f>SUMIFS(F369:F1509,K369:K1509,"0",B369:B1509,"2 1 1 9 9 12 31111 6 M78 00001 001*")</f>
        <v>440000</v>
      </c>
      <c r="G368" s="28">
        <f>SUMIFS(G369:G1509,K369:K1509,"0",B369:B1509,"2 1 1 9 9 12 31111 6 M78 00001 001*")</f>
        <v>260000</v>
      </c>
      <c r="H368" s="28"/>
      <c r="I368" s="28">
        <f t="shared" si="7"/>
        <v>18212.320000000007</v>
      </c>
      <c r="K368" t="s">
        <v>15</v>
      </c>
    </row>
    <row r="369" spans="2:11" ht="13" x14ac:dyDescent="0.15">
      <c r="B369" s="30" t="s">
        <v>576</v>
      </c>
      <c r="C369" s="30" t="s">
        <v>577</v>
      </c>
      <c r="D369" s="31"/>
      <c r="E369" s="31">
        <v>175000</v>
      </c>
      <c r="F369" s="31">
        <v>420000</v>
      </c>
      <c r="G369" s="31">
        <v>220000</v>
      </c>
      <c r="H369" s="31"/>
      <c r="I369" s="31">
        <f t="shared" si="7"/>
        <v>-25000</v>
      </c>
      <c r="K369" t="s">
        <v>38</v>
      </c>
    </row>
    <row r="370" spans="2:11" ht="13" x14ac:dyDescent="0.15">
      <c r="B370" s="30" t="s">
        <v>578</v>
      </c>
      <c r="C370" s="30" t="s">
        <v>579</v>
      </c>
      <c r="D370" s="31"/>
      <c r="E370" s="31">
        <v>8212.32</v>
      </c>
      <c r="F370" s="31">
        <v>0</v>
      </c>
      <c r="G370" s="31">
        <v>0</v>
      </c>
      <c r="H370" s="31"/>
      <c r="I370" s="31">
        <f t="shared" si="7"/>
        <v>8212.32</v>
      </c>
      <c r="K370" t="s">
        <v>38</v>
      </c>
    </row>
    <row r="371" spans="2:11" ht="13" x14ac:dyDescent="0.15">
      <c r="B371" s="30" t="s">
        <v>580</v>
      </c>
      <c r="C371" s="30" t="s">
        <v>581</v>
      </c>
      <c r="D371" s="31"/>
      <c r="E371" s="31">
        <v>15000</v>
      </c>
      <c r="F371" s="31">
        <v>20000</v>
      </c>
      <c r="G371" s="31">
        <v>40000</v>
      </c>
      <c r="H371" s="31"/>
      <c r="I371" s="31">
        <f t="shared" si="7"/>
        <v>35000</v>
      </c>
      <c r="K371" t="s">
        <v>38</v>
      </c>
    </row>
    <row r="372" spans="2:11" ht="13" x14ac:dyDescent="0.15">
      <c r="B372" s="27" t="s">
        <v>582</v>
      </c>
      <c r="C372" s="27" t="s">
        <v>583</v>
      </c>
      <c r="D372" s="29"/>
      <c r="E372" s="28">
        <f>SUMIFS(E373:E1509,K373:K1509,"0",B373:B1509,"2 1 9*")-SUMIFS(D373:D1509,K373:K1509,"0",B373:B1509,"2 1 9*")</f>
        <v>0</v>
      </c>
      <c r="F372" s="28">
        <f>SUMIFS(F373:F1509,K373:K1509,"0",B373:B1509,"2 1 9*")</f>
        <v>1477689.68</v>
      </c>
      <c r="G372" s="28">
        <f>SUMIFS(G373:G1509,K373:K1509,"0",B373:B1509,"2 1 9*")</f>
        <v>1477689.68</v>
      </c>
      <c r="H372" s="28"/>
      <c r="I372" s="28">
        <f t="shared" si="7"/>
        <v>0</v>
      </c>
      <c r="K372" t="s">
        <v>15</v>
      </c>
    </row>
    <row r="373" spans="2:11" ht="13" x14ac:dyDescent="0.15">
      <c r="B373" s="27" t="s">
        <v>584</v>
      </c>
      <c r="C373" s="27" t="s">
        <v>585</v>
      </c>
      <c r="D373" s="29"/>
      <c r="E373" s="28">
        <f>SUMIFS(E374:E1509,K374:K1509,"0",B374:B1509,"2 1 9 2*")-SUMIFS(D374:D1509,K374:K1509,"0",B374:B1509,"2 1 9 2*")</f>
        <v>0</v>
      </c>
      <c r="F373" s="28">
        <f>SUMIFS(F374:F1509,K374:K1509,"0",B374:B1509,"2 1 9 2*")</f>
        <v>1477689.68</v>
      </c>
      <c r="G373" s="28">
        <f>SUMIFS(G374:G1509,K374:K1509,"0",B374:B1509,"2 1 9 2*")</f>
        <v>1477689.68</v>
      </c>
      <c r="H373" s="28"/>
      <c r="I373" s="28">
        <f t="shared" si="7"/>
        <v>0</v>
      </c>
      <c r="K373" t="s">
        <v>15</v>
      </c>
    </row>
    <row r="374" spans="2:11" ht="13" x14ac:dyDescent="0.15">
      <c r="B374" s="27" t="s">
        <v>586</v>
      </c>
      <c r="C374" s="27" t="s">
        <v>587</v>
      </c>
      <c r="D374" s="29"/>
      <c r="E374" s="28">
        <f>SUMIFS(E375:E1509,K375:K1509,"0",B375:B1509,"2 1 9 2 1*")-SUMIFS(D375:D1509,K375:K1509,"0",B375:B1509,"2 1 9 2 1*")</f>
        <v>0</v>
      </c>
      <c r="F374" s="28">
        <f>SUMIFS(F375:F1509,K375:K1509,"0",B375:B1509,"2 1 9 2 1*")</f>
        <v>1477689.68</v>
      </c>
      <c r="G374" s="28">
        <f>SUMIFS(G375:G1509,K375:K1509,"0",B375:B1509,"2 1 9 2 1*")</f>
        <v>1477689.68</v>
      </c>
      <c r="H374" s="28"/>
      <c r="I374" s="28">
        <f t="shared" si="7"/>
        <v>0</v>
      </c>
      <c r="K374" t="s">
        <v>15</v>
      </c>
    </row>
    <row r="375" spans="2:11" ht="13" x14ac:dyDescent="0.15">
      <c r="B375" s="27" t="s">
        <v>588</v>
      </c>
      <c r="C375" s="27" t="s">
        <v>26</v>
      </c>
      <c r="D375" s="29"/>
      <c r="E375" s="28">
        <f>SUMIFS(E376:E1509,K376:K1509,"0",B376:B1509,"2 1 9 2 1 12*")-SUMIFS(D376:D1509,K376:K1509,"0",B376:B1509,"2 1 9 2 1 12*")</f>
        <v>0</v>
      </c>
      <c r="F375" s="28">
        <f>SUMIFS(F376:F1509,K376:K1509,"0",B376:B1509,"2 1 9 2 1 12*")</f>
        <v>1477689.68</v>
      </c>
      <c r="G375" s="28">
        <f>SUMIFS(G376:G1509,K376:K1509,"0",B376:B1509,"2 1 9 2 1 12*")</f>
        <v>1477689.68</v>
      </c>
      <c r="H375" s="28"/>
      <c r="I375" s="28">
        <f t="shared" si="7"/>
        <v>0</v>
      </c>
      <c r="K375" t="s">
        <v>15</v>
      </c>
    </row>
    <row r="376" spans="2:11" ht="13" x14ac:dyDescent="0.15">
      <c r="B376" s="27" t="s">
        <v>589</v>
      </c>
      <c r="C376" s="27" t="s">
        <v>28</v>
      </c>
      <c r="D376" s="29"/>
      <c r="E376" s="28">
        <f>SUMIFS(E377:E1509,K377:K1509,"0",B377:B1509,"2 1 9 2 1 12 31111*")-SUMIFS(D377:D1509,K377:K1509,"0",B377:B1509,"2 1 9 2 1 12 31111*")</f>
        <v>0</v>
      </c>
      <c r="F376" s="28">
        <f>SUMIFS(F377:F1509,K377:K1509,"0",B377:B1509,"2 1 9 2 1 12 31111*")</f>
        <v>1477689.68</v>
      </c>
      <c r="G376" s="28">
        <f>SUMIFS(G377:G1509,K377:K1509,"0",B377:B1509,"2 1 9 2 1 12 31111*")</f>
        <v>1477689.68</v>
      </c>
      <c r="H376" s="28"/>
      <c r="I376" s="28">
        <f t="shared" ref="I376:I407" si="8">E376 - F376 + G376</f>
        <v>0</v>
      </c>
      <c r="K376" t="s">
        <v>15</v>
      </c>
    </row>
    <row r="377" spans="2:11" ht="13" x14ac:dyDescent="0.15">
      <c r="B377" s="27" t="s">
        <v>590</v>
      </c>
      <c r="C377" s="27" t="s">
        <v>30</v>
      </c>
      <c r="D377" s="29"/>
      <c r="E377" s="28">
        <f>SUMIFS(E378:E1509,K378:K1509,"0",B378:B1509,"2 1 9 2 1 12 31111 6*")-SUMIFS(D378:D1509,K378:K1509,"0",B378:B1509,"2 1 9 2 1 12 31111 6*")</f>
        <v>0</v>
      </c>
      <c r="F377" s="28">
        <f>SUMIFS(F378:F1509,K378:K1509,"0",B378:B1509,"2 1 9 2 1 12 31111 6*")</f>
        <v>1477689.68</v>
      </c>
      <c r="G377" s="28">
        <f>SUMIFS(G378:G1509,K378:K1509,"0",B378:B1509,"2 1 9 2 1 12 31111 6*")</f>
        <v>1477689.68</v>
      </c>
      <c r="H377" s="28"/>
      <c r="I377" s="28">
        <f t="shared" si="8"/>
        <v>0</v>
      </c>
      <c r="K377" t="s">
        <v>15</v>
      </c>
    </row>
    <row r="378" spans="2:11" ht="13" x14ac:dyDescent="0.15">
      <c r="B378" s="27" t="s">
        <v>591</v>
      </c>
      <c r="C378" s="27" t="s">
        <v>32</v>
      </c>
      <c r="D378" s="29"/>
      <c r="E378" s="28">
        <f>SUMIFS(E379:E1509,K379:K1509,"0",B379:B1509,"2 1 9 2 1 12 31111 6 M78*")-SUMIFS(D379:D1509,K379:K1509,"0",B379:B1509,"2 1 9 2 1 12 31111 6 M78*")</f>
        <v>0</v>
      </c>
      <c r="F378" s="28">
        <f>SUMIFS(F379:F1509,K379:K1509,"0",B379:B1509,"2 1 9 2 1 12 31111 6 M78*")</f>
        <v>1477689.68</v>
      </c>
      <c r="G378" s="28">
        <f>SUMIFS(G379:G1509,K379:K1509,"0",B379:B1509,"2 1 9 2 1 12 31111 6 M78*")</f>
        <v>1477689.68</v>
      </c>
      <c r="H378" s="28"/>
      <c r="I378" s="28">
        <f t="shared" si="8"/>
        <v>0</v>
      </c>
      <c r="K378" t="s">
        <v>15</v>
      </c>
    </row>
    <row r="379" spans="2:11" ht="13" x14ac:dyDescent="0.15">
      <c r="B379" s="27" t="s">
        <v>592</v>
      </c>
      <c r="C379" s="27" t="s">
        <v>9</v>
      </c>
      <c r="D379" s="29"/>
      <c r="E379" s="28">
        <f>SUMIFS(E380:E1509,K380:K1509,"0",B380:B1509,"2 1 9 2 1 12 31111 6 M78 00001*")-SUMIFS(D380:D1509,K380:K1509,"0",B380:B1509,"2 1 9 2 1 12 31111 6 M78 00001*")</f>
        <v>0</v>
      </c>
      <c r="F379" s="28">
        <f>SUMIFS(F380:F1509,K380:K1509,"0",B380:B1509,"2 1 9 2 1 12 31111 6 M78 00001*")</f>
        <v>1477689.68</v>
      </c>
      <c r="G379" s="28">
        <f>SUMIFS(G380:G1509,K380:K1509,"0",B380:B1509,"2 1 9 2 1 12 31111 6 M78 00001*")</f>
        <v>1477689.68</v>
      </c>
      <c r="H379" s="28"/>
      <c r="I379" s="28">
        <f t="shared" si="8"/>
        <v>0</v>
      </c>
      <c r="K379" t="s">
        <v>15</v>
      </c>
    </row>
    <row r="380" spans="2:11" ht="13" x14ac:dyDescent="0.15">
      <c r="B380" s="27" t="s">
        <v>593</v>
      </c>
      <c r="C380" s="27" t="s">
        <v>35</v>
      </c>
      <c r="D380" s="29"/>
      <c r="E380" s="28">
        <f>SUMIFS(E381:E1509,K381:K1509,"0",B381:B1509,"2 1 9 2 1 12 31111 6 M78 00001 002*")-SUMIFS(D381:D1509,K381:K1509,"0",B381:B1509,"2 1 9 2 1 12 31111 6 M78 00001 002*")</f>
        <v>0</v>
      </c>
      <c r="F380" s="28">
        <f>SUMIFS(F381:F1509,K381:K1509,"0",B381:B1509,"2 1 9 2 1 12 31111 6 M78 00001 002*")</f>
        <v>1477689.68</v>
      </c>
      <c r="G380" s="28">
        <f>SUMIFS(G381:G1509,K381:K1509,"0",B381:B1509,"2 1 9 2 1 12 31111 6 M78 00001 002*")</f>
        <v>1477689.68</v>
      </c>
      <c r="H380" s="28"/>
      <c r="I380" s="28">
        <f t="shared" si="8"/>
        <v>0</v>
      </c>
      <c r="K380" t="s">
        <v>15</v>
      </c>
    </row>
    <row r="381" spans="2:11" ht="13" x14ac:dyDescent="0.15">
      <c r="B381" s="30" t="s">
        <v>594</v>
      </c>
      <c r="C381" s="30" t="s">
        <v>595</v>
      </c>
      <c r="D381" s="31"/>
      <c r="E381" s="31">
        <v>0</v>
      </c>
      <c r="F381" s="31">
        <v>1477689.68</v>
      </c>
      <c r="G381" s="31">
        <v>1477689.68</v>
      </c>
      <c r="H381" s="31"/>
      <c r="I381" s="31">
        <f t="shared" si="8"/>
        <v>0</v>
      </c>
      <c r="K381" t="s">
        <v>38</v>
      </c>
    </row>
    <row r="382" spans="2:11" ht="13" x14ac:dyDescent="0.15">
      <c r="B382" s="27" t="s">
        <v>596</v>
      </c>
      <c r="C382" s="27" t="s">
        <v>597</v>
      </c>
      <c r="D382" s="29"/>
      <c r="E382" s="28">
        <f>SUMIFS(E383:E1509,K383:K1509,"0",B383:B1509,"3*")-SUMIFS(D383:D1509,K383:K1509,"0",B383:B1509,"3*")</f>
        <v>1314118.25</v>
      </c>
      <c r="F382" s="28">
        <f>SUMIFS(F383:F1509,K383:K1509,"0",B383:B1509,"3*")</f>
        <v>192454.83</v>
      </c>
      <c r="G382" s="28">
        <f>SUMIFS(G383:G1509,K383:K1509,"0",B383:B1509,"3*")</f>
        <v>0</v>
      </c>
      <c r="H382" s="28"/>
      <c r="I382" s="28">
        <f t="shared" si="8"/>
        <v>1121663.42</v>
      </c>
      <c r="K382" t="s">
        <v>15</v>
      </c>
    </row>
    <row r="383" spans="2:11" ht="13" x14ac:dyDescent="0.15">
      <c r="B383" s="27" t="s">
        <v>598</v>
      </c>
      <c r="C383" s="27" t="s">
        <v>599</v>
      </c>
      <c r="D383" s="29"/>
      <c r="E383" s="28">
        <f>SUMIFS(E384:E1509,K384:K1509,"0",B384:B1509,"3 1*")-SUMIFS(D384:D1509,K384:K1509,"0",B384:B1509,"3 1*")</f>
        <v>386127.38</v>
      </c>
      <c r="F383" s="28">
        <f>SUMIFS(F384:F1509,K384:K1509,"0",B384:B1509,"3 1*")</f>
        <v>40000</v>
      </c>
      <c r="G383" s="28">
        <f>SUMIFS(G384:G1509,K384:K1509,"0",B384:B1509,"3 1*")</f>
        <v>0</v>
      </c>
      <c r="H383" s="28"/>
      <c r="I383" s="28">
        <f t="shared" si="8"/>
        <v>346127.38</v>
      </c>
      <c r="K383" t="s">
        <v>15</v>
      </c>
    </row>
    <row r="384" spans="2:11" ht="13" x14ac:dyDescent="0.15">
      <c r="B384" s="27" t="s">
        <v>600</v>
      </c>
      <c r="C384" s="27" t="s">
        <v>601</v>
      </c>
      <c r="D384" s="29"/>
      <c r="E384" s="28">
        <f>SUMIFS(E385:E1509,K385:K1509,"0",B385:B1509,"3 1 1*")-SUMIFS(D385:D1509,K385:K1509,"0",B385:B1509,"3 1 1*")</f>
        <v>386127.38</v>
      </c>
      <c r="F384" s="28">
        <f>SUMIFS(F385:F1509,K385:K1509,"0",B385:B1509,"3 1 1*")</f>
        <v>40000</v>
      </c>
      <c r="G384" s="28">
        <f>SUMIFS(G385:G1509,K385:K1509,"0",B385:B1509,"3 1 1*")</f>
        <v>0</v>
      </c>
      <c r="H384" s="28"/>
      <c r="I384" s="28">
        <f t="shared" si="8"/>
        <v>346127.38</v>
      </c>
      <c r="K384" t="s">
        <v>15</v>
      </c>
    </row>
    <row r="385" spans="2:11" ht="13" x14ac:dyDescent="0.15">
      <c r="B385" s="27" t="s">
        <v>602</v>
      </c>
      <c r="C385" s="27" t="s">
        <v>601</v>
      </c>
      <c r="D385" s="29"/>
      <c r="E385" s="28">
        <f>SUMIFS(E386:E1509,K386:K1509,"0",B386:B1509,"3 1 1 1*")-SUMIFS(D386:D1509,K386:K1509,"0",B386:B1509,"3 1 1 1*")</f>
        <v>386127.38</v>
      </c>
      <c r="F385" s="28">
        <f>SUMIFS(F386:F1509,K386:K1509,"0",B386:B1509,"3 1 1 1*")</f>
        <v>40000</v>
      </c>
      <c r="G385" s="28">
        <f>SUMIFS(G386:G1509,K386:K1509,"0",B386:B1509,"3 1 1 1*")</f>
        <v>0</v>
      </c>
      <c r="H385" s="28"/>
      <c r="I385" s="28">
        <f t="shared" si="8"/>
        <v>346127.38</v>
      </c>
      <c r="K385" t="s">
        <v>15</v>
      </c>
    </row>
    <row r="386" spans="2:11" ht="13" x14ac:dyDescent="0.15">
      <c r="B386" s="27" t="s">
        <v>603</v>
      </c>
      <c r="C386" s="27" t="s">
        <v>601</v>
      </c>
      <c r="D386" s="29"/>
      <c r="E386" s="28">
        <f>SUMIFS(E387:E1509,K387:K1509,"0",B387:B1509,"3 1 1 1 1*")-SUMIFS(D387:D1509,K387:K1509,"0",B387:B1509,"3 1 1 1 1*")</f>
        <v>386127.38</v>
      </c>
      <c r="F386" s="28">
        <f>SUMIFS(F387:F1509,K387:K1509,"0",B387:B1509,"3 1 1 1 1*")</f>
        <v>40000</v>
      </c>
      <c r="G386" s="28">
        <f>SUMIFS(G387:G1509,K387:K1509,"0",B387:B1509,"3 1 1 1 1*")</f>
        <v>0</v>
      </c>
      <c r="H386" s="28"/>
      <c r="I386" s="28">
        <f t="shared" si="8"/>
        <v>346127.38</v>
      </c>
      <c r="K386" t="s">
        <v>15</v>
      </c>
    </row>
    <row r="387" spans="2:11" ht="13" x14ac:dyDescent="0.15">
      <c r="B387" s="27" t="s">
        <v>604</v>
      </c>
      <c r="C387" s="27" t="s">
        <v>26</v>
      </c>
      <c r="D387" s="29"/>
      <c r="E387" s="28">
        <f>SUMIFS(E388:E1509,K388:K1509,"0",B388:B1509,"3 1 1 1 1 12*")-SUMIFS(D388:D1509,K388:K1509,"0",B388:B1509,"3 1 1 1 1 12*")</f>
        <v>386127.38</v>
      </c>
      <c r="F387" s="28">
        <f>SUMIFS(F388:F1509,K388:K1509,"0",B388:B1509,"3 1 1 1 1 12*")</f>
        <v>40000</v>
      </c>
      <c r="G387" s="28">
        <f>SUMIFS(G388:G1509,K388:K1509,"0",B388:B1509,"3 1 1 1 1 12*")</f>
        <v>0</v>
      </c>
      <c r="H387" s="28"/>
      <c r="I387" s="28">
        <f t="shared" si="8"/>
        <v>346127.38</v>
      </c>
      <c r="K387" t="s">
        <v>15</v>
      </c>
    </row>
    <row r="388" spans="2:11" ht="13" x14ac:dyDescent="0.15">
      <c r="B388" s="27" t="s">
        <v>605</v>
      </c>
      <c r="C388" s="27" t="s">
        <v>28</v>
      </c>
      <c r="D388" s="29"/>
      <c r="E388" s="28">
        <f>SUMIFS(E389:E1509,K389:K1509,"0",B389:B1509,"3 1 1 1 1 12 31111*")-SUMIFS(D389:D1509,K389:K1509,"0",B389:B1509,"3 1 1 1 1 12 31111*")</f>
        <v>386127.38</v>
      </c>
      <c r="F388" s="28">
        <f>SUMIFS(F389:F1509,K389:K1509,"0",B389:B1509,"3 1 1 1 1 12 31111*")</f>
        <v>40000</v>
      </c>
      <c r="G388" s="28">
        <f>SUMIFS(G389:G1509,K389:K1509,"0",B389:B1509,"3 1 1 1 1 12 31111*")</f>
        <v>0</v>
      </c>
      <c r="H388" s="28"/>
      <c r="I388" s="28">
        <f t="shared" si="8"/>
        <v>346127.38</v>
      </c>
      <c r="K388" t="s">
        <v>15</v>
      </c>
    </row>
    <row r="389" spans="2:11" ht="13" x14ac:dyDescent="0.15">
      <c r="B389" s="27" t="s">
        <v>606</v>
      </c>
      <c r="C389" s="27" t="s">
        <v>30</v>
      </c>
      <c r="D389" s="29"/>
      <c r="E389" s="28">
        <f>SUMIFS(E390:E1509,K390:K1509,"0",B390:B1509,"3 1 1 1 1 12 31111 6*")-SUMIFS(D390:D1509,K390:K1509,"0",B390:B1509,"3 1 1 1 1 12 31111 6*")</f>
        <v>386127.38</v>
      </c>
      <c r="F389" s="28">
        <f>SUMIFS(F390:F1509,K390:K1509,"0",B390:B1509,"3 1 1 1 1 12 31111 6*")</f>
        <v>40000</v>
      </c>
      <c r="G389" s="28">
        <f>SUMIFS(G390:G1509,K390:K1509,"0",B390:B1509,"3 1 1 1 1 12 31111 6*")</f>
        <v>0</v>
      </c>
      <c r="H389" s="28"/>
      <c r="I389" s="28">
        <f t="shared" si="8"/>
        <v>346127.38</v>
      </c>
      <c r="K389" t="s">
        <v>15</v>
      </c>
    </row>
    <row r="390" spans="2:11" ht="13" x14ac:dyDescent="0.15">
      <c r="B390" s="27" t="s">
        <v>607</v>
      </c>
      <c r="C390" s="27" t="s">
        <v>32</v>
      </c>
      <c r="D390" s="29"/>
      <c r="E390" s="28">
        <f>SUMIFS(E391:E1509,K391:K1509,"0",B391:B1509,"3 1 1 1 1 12 31111 6 M78*")-SUMIFS(D391:D1509,K391:K1509,"0",B391:B1509,"3 1 1 1 1 12 31111 6 M78*")</f>
        <v>386127.38</v>
      </c>
      <c r="F390" s="28">
        <f>SUMIFS(F391:F1509,K391:K1509,"0",B391:B1509,"3 1 1 1 1 12 31111 6 M78*")</f>
        <v>40000</v>
      </c>
      <c r="G390" s="28">
        <f>SUMIFS(G391:G1509,K391:K1509,"0",B391:B1509,"3 1 1 1 1 12 31111 6 M78*")</f>
        <v>0</v>
      </c>
      <c r="H390" s="28"/>
      <c r="I390" s="28">
        <f t="shared" si="8"/>
        <v>346127.38</v>
      </c>
      <c r="K390" t="s">
        <v>15</v>
      </c>
    </row>
    <row r="391" spans="2:11" ht="13" x14ac:dyDescent="0.15">
      <c r="B391" s="30" t="s">
        <v>608</v>
      </c>
      <c r="C391" s="30" t="s">
        <v>9</v>
      </c>
      <c r="D391" s="31"/>
      <c r="E391" s="31">
        <v>386127.38</v>
      </c>
      <c r="F391" s="31">
        <v>40000</v>
      </c>
      <c r="G391" s="31">
        <v>0</v>
      </c>
      <c r="H391" s="31"/>
      <c r="I391" s="31">
        <f t="shared" si="8"/>
        <v>346127.38</v>
      </c>
      <c r="K391" t="s">
        <v>38</v>
      </c>
    </row>
    <row r="392" spans="2:11" ht="13" x14ac:dyDescent="0.15">
      <c r="B392" s="27" t="s">
        <v>609</v>
      </c>
      <c r="C392" s="27" t="s">
        <v>610</v>
      </c>
      <c r="D392" s="29"/>
      <c r="E392" s="28">
        <f>SUMIFS(E393:E1509,K393:K1509,"0",B393:B1509,"3 2*")-SUMIFS(D393:D1509,K393:K1509,"0",B393:B1509,"3 2*")</f>
        <v>927990.87</v>
      </c>
      <c r="F392" s="28">
        <f>SUMIFS(F393:F1509,K393:K1509,"0",B393:B1509,"3 2*")</f>
        <v>152454.82999999999</v>
      </c>
      <c r="G392" s="28">
        <f>SUMIFS(G393:G1509,K393:K1509,"0",B393:B1509,"3 2*")</f>
        <v>0</v>
      </c>
      <c r="H392" s="28"/>
      <c r="I392" s="28">
        <f t="shared" si="8"/>
        <v>775536.04</v>
      </c>
      <c r="K392" t="s">
        <v>15</v>
      </c>
    </row>
    <row r="393" spans="2:11" ht="13" x14ac:dyDescent="0.15">
      <c r="B393" s="27" t="s">
        <v>611</v>
      </c>
      <c r="C393" s="27" t="s">
        <v>612</v>
      </c>
      <c r="D393" s="29"/>
      <c r="E393" s="28">
        <f>SUMIFS(E394:E1509,K394:K1509,"0",B394:B1509,"3 2 2*")-SUMIFS(D394:D1509,K394:K1509,"0",B394:B1509,"3 2 2*")</f>
        <v>927990.87</v>
      </c>
      <c r="F393" s="28">
        <f>SUMIFS(F394:F1509,K394:K1509,"0",B394:B1509,"3 2 2*")</f>
        <v>152454.82999999999</v>
      </c>
      <c r="G393" s="28">
        <f>SUMIFS(G394:G1509,K394:K1509,"0",B394:B1509,"3 2 2*")</f>
        <v>0</v>
      </c>
      <c r="H393" s="28"/>
      <c r="I393" s="28">
        <f t="shared" si="8"/>
        <v>775536.04</v>
      </c>
      <c r="K393" t="s">
        <v>15</v>
      </c>
    </row>
    <row r="394" spans="2:11" ht="13" x14ac:dyDescent="0.15">
      <c r="B394" s="27" t="s">
        <v>613</v>
      </c>
      <c r="C394" s="27" t="s">
        <v>612</v>
      </c>
      <c r="D394" s="29"/>
      <c r="E394" s="28">
        <f>SUMIFS(E395:E1509,K395:K1509,"0",B395:B1509,"3 2 2 1*")-SUMIFS(D395:D1509,K395:K1509,"0",B395:B1509,"3 2 2 1*")</f>
        <v>927990.87</v>
      </c>
      <c r="F394" s="28">
        <f>SUMIFS(F395:F1509,K395:K1509,"0",B395:B1509,"3 2 2 1*")</f>
        <v>152454.82999999999</v>
      </c>
      <c r="G394" s="28">
        <f>SUMIFS(G395:G1509,K395:K1509,"0",B395:B1509,"3 2 2 1*")</f>
        <v>0</v>
      </c>
      <c r="H394" s="28"/>
      <c r="I394" s="28">
        <f t="shared" si="8"/>
        <v>775536.04</v>
      </c>
      <c r="K394" t="s">
        <v>15</v>
      </c>
    </row>
    <row r="395" spans="2:11" ht="13" x14ac:dyDescent="0.15">
      <c r="B395" s="27" t="s">
        <v>614</v>
      </c>
      <c r="C395" s="27" t="s">
        <v>615</v>
      </c>
      <c r="D395" s="29"/>
      <c r="E395" s="28">
        <f>SUMIFS(E396:E1509,K396:K1509,"0",B396:B1509,"3 2 2 1 1*")-SUMIFS(D396:D1509,K396:K1509,"0",B396:B1509,"3 2 2 1 1*")</f>
        <v>927990.87</v>
      </c>
      <c r="F395" s="28">
        <f>SUMIFS(F396:F1509,K396:K1509,"0",B396:B1509,"3 2 2 1 1*")</f>
        <v>152454.82999999999</v>
      </c>
      <c r="G395" s="28">
        <f>SUMIFS(G396:G1509,K396:K1509,"0",B396:B1509,"3 2 2 1 1*")</f>
        <v>0</v>
      </c>
      <c r="H395" s="28"/>
      <c r="I395" s="28">
        <f t="shared" si="8"/>
        <v>775536.04</v>
      </c>
      <c r="K395" t="s">
        <v>15</v>
      </c>
    </row>
    <row r="396" spans="2:11" ht="13" x14ac:dyDescent="0.15">
      <c r="B396" s="27" t="s">
        <v>616</v>
      </c>
      <c r="C396" s="27" t="s">
        <v>26</v>
      </c>
      <c r="D396" s="29"/>
      <c r="E396" s="28">
        <f>SUMIFS(E397:E1509,K397:K1509,"0",B397:B1509,"3 2 2 1 1 12*")-SUMIFS(D397:D1509,K397:K1509,"0",B397:B1509,"3 2 2 1 1 12*")</f>
        <v>927990.87</v>
      </c>
      <c r="F396" s="28">
        <f>SUMIFS(F397:F1509,K397:K1509,"0",B397:B1509,"3 2 2 1 1 12*")</f>
        <v>152454.82999999999</v>
      </c>
      <c r="G396" s="28">
        <f>SUMIFS(G397:G1509,K397:K1509,"0",B397:B1509,"3 2 2 1 1 12*")</f>
        <v>0</v>
      </c>
      <c r="H396" s="28"/>
      <c r="I396" s="28">
        <f t="shared" si="8"/>
        <v>775536.04</v>
      </c>
      <c r="K396" t="s">
        <v>15</v>
      </c>
    </row>
    <row r="397" spans="2:11" ht="13" x14ac:dyDescent="0.15">
      <c r="B397" s="27" t="s">
        <v>617</v>
      </c>
      <c r="C397" s="27" t="s">
        <v>28</v>
      </c>
      <c r="D397" s="29"/>
      <c r="E397" s="28">
        <f>SUMIFS(E398:E1509,K398:K1509,"0",B398:B1509,"3 2 2 1 1 12 31111*")-SUMIFS(D398:D1509,K398:K1509,"0",B398:B1509,"3 2 2 1 1 12 31111*")</f>
        <v>927990.87</v>
      </c>
      <c r="F397" s="28">
        <f>SUMIFS(F398:F1509,K398:K1509,"0",B398:B1509,"3 2 2 1 1 12 31111*")</f>
        <v>152454.82999999999</v>
      </c>
      <c r="G397" s="28">
        <f>SUMIFS(G398:G1509,K398:K1509,"0",B398:B1509,"3 2 2 1 1 12 31111*")</f>
        <v>0</v>
      </c>
      <c r="H397" s="28"/>
      <c r="I397" s="28">
        <f t="shared" si="8"/>
        <v>775536.04</v>
      </c>
      <c r="K397" t="s">
        <v>15</v>
      </c>
    </row>
    <row r="398" spans="2:11" ht="13" x14ac:dyDescent="0.15">
      <c r="B398" s="27" t="s">
        <v>618</v>
      </c>
      <c r="C398" s="27" t="s">
        <v>30</v>
      </c>
      <c r="D398" s="29"/>
      <c r="E398" s="28">
        <f>SUMIFS(E399:E1509,K399:K1509,"0",B399:B1509,"3 2 2 1 1 12 31111 6*")-SUMIFS(D399:D1509,K399:K1509,"0",B399:B1509,"3 2 2 1 1 12 31111 6*")</f>
        <v>927990.87</v>
      </c>
      <c r="F398" s="28">
        <f>SUMIFS(F399:F1509,K399:K1509,"0",B399:B1509,"3 2 2 1 1 12 31111 6*")</f>
        <v>152454.82999999999</v>
      </c>
      <c r="G398" s="28">
        <f>SUMIFS(G399:G1509,K399:K1509,"0",B399:B1509,"3 2 2 1 1 12 31111 6*")</f>
        <v>0</v>
      </c>
      <c r="H398" s="28"/>
      <c r="I398" s="28">
        <f t="shared" si="8"/>
        <v>775536.04</v>
      </c>
      <c r="K398" t="s">
        <v>15</v>
      </c>
    </row>
    <row r="399" spans="2:11" ht="13" x14ac:dyDescent="0.15">
      <c r="B399" s="27" t="s">
        <v>619</v>
      </c>
      <c r="C399" s="27" t="s">
        <v>32</v>
      </c>
      <c r="D399" s="29"/>
      <c r="E399" s="28">
        <f>SUMIFS(E400:E1509,K400:K1509,"0",B400:B1509,"3 2 2 1 1 12 31111 6 M78*")-SUMIFS(D400:D1509,K400:K1509,"0",B400:B1509,"3 2 2 1 1 12 31111 6 M78*")</f>
        <v>927990.87</v>
      </c>
      <c r="F399" s="28">
        <f>SUMIFS(F400:F1509,K400:K1509,"0",B400:B1509,"3 2 2 1 1 12 31111 6 M78*")</f>
        <v>152454.82999999999</v>
      </c>
      <c r="G399" s="28">
        <f>SUMIFS(G400:G1509,K400:K1509,"0",B400:B1509,"3 2 2 1 1 12 31111 6 M78*")</f>
        <v>0</v>
      </c>
      <c r="H399" s="28"/>
      <c r="I399" s="28">
        <f t="shared" si="8"/>
        <v>775536.04</v>
      </c>
      <c r="K399" t="s">
        <v>15</v>
      </c>
    </row>
    <row r="400" spans="2:11" ht="13" x14ac:dyDescent="0.15">
      <c r="B400" s="27" t="s">
        <v>620</v>
      </c>
      <c r="C400" s="27" t="s">
        <v>182</v>
      </c>
      <c r="D400" s="29"/>
      <c r="E400" s="28">
        <f>SUMIFS(E401:E1509,K401:K1509,"0",B401:B1509,"3 2 2 1 1 12 31111 6 M78 00000*")-SUMIFS(D401:D1509,K401:K1509,"0",B401:B1509,"3 2 2 1 1 12 31111 6 M78 00000*")</f>
        <v>927990.87</v>
      </c>
      <c r="F400" s="28">
        <f>SUMIFS(F401:F1509,K401:K1509,"0",B401:B1509,"3 2 2 1 1 12 31111 6 M78 00000*")</f>
        <v>152454.82999999999</v>
      </c>
      <c r="G400" s="28">
        <f>SUMIFS(G401:G1509,K401:K1509,"0",B401:B1509,"3 2 2 1 1 12 31111 6 M78 00000*")</f>
        <v>0</v>
      </c>
      <c r="H400" s="28"/>
      <c r="I400" s="28">
        <f t="shared" si="8"/>
        <v>775536.04</v>
      </c>
      <c r="K400" t="s">
        <v>15</v>
      </c>
    </row>
    <row r="401" spans="2:11" ht="13" x14ac:dyDescent="0.15">
      <c r="B401" s="30" t="s">
        <v>621</v>
      </c>
      <c r="C401" s="30" t="s">
        <v>9</v>
      </c>
      <c r="D401" s="31"/>
      <c r="E401" s="31">
        <v>927990.87</v>
      </c>
      <c r="F401" s="31">
        <v>152454.82999999999</v>
      </c>
      <c r="G401" s="31">
        <v>0</v>
      </c>
      <c r="H401" s="31"/>
      <c r="I401" s="31">
        <f t="shared" si="8"/>
        <v>775536.04</v>
      </c>
      <c r="K401" t="s">
        <v>38</v>
      </c>
    </row>
    <row r="402" spans="2:11" ht="13" x14ac:dyDescent="0.15">
      <c r="B402" s="27" t="s">
        <v>622</v>
      </c>
      <c r="C402" s="27" t="s">
        <v>623</v>
      </c>
      <c r="D402" s="29"/>
      <c r="E402" s="28">
        <f>SUMIFS(E403:E1509,K403:K1509,"0",B403:B1509,"4*")-SUMIFS(D403:D1509,K403:K1509,"0",B403:B1509,"4*")</f>
        <v>0</v>
      </c>
      <c r="F402" s="28">
        <f>SUMIFS(F403:F1509,K403:K1509,"0",B403:B1509,"4*")</f>
        <v>0</v>
      </c>
      <c r="G402" s="28">
        <f>SUMIFS(G403:G1509,K403:K1509,"0",B403:B1509,"4*")</f>
        <v>15634465.990000002</v>
      </c>
      <c r="H402" s="28"/>
      <c r="I402" s="28">
        <f t="shared" si="8"/>
        <v>15634465.990000002</v>
      </c>
      <c r="K402" t="s">
        <v>15</v>
      </c>
    </row>
    <row r="403" spans="2:11" ht="13" x14ac:dyDescent="0.15">
      <c r="B403" s="27" t="s">
        <v>624</v>
      </c>
      <c r="C403" s="27" t="s">
        <v>625</v>
      </c>
      <c r="D403" s="29"/>
      <c r="E403" s="28">
        <f>SUMIFS(E404:E1509,K404:K1509,"0",B404:B1509,"4 1*")-SUMIFS(D404:D1509,K404:K1509,"0",B404:B1509,"4 1*")</f>
        <v>0</v>
      </c>
      <c r="F403" s="28">
        <f>SUMIFS(F404:F1509,K404:K1509,"0",B404:B1509,"4 1*")</f>
        <v>0</v>
      </c>
      <c r="G403" s="28">
        <f>SUMIFS(G404:G1509,K404:K1509,"0",B404:B1509,"4 1*")</f>
        <v>4917.46</v>
      </c>
      <c r="H403" s="28"/>
      <c r="I403" s="28">
        <f t="shared" si="8"/>
        <v>4917.46</v>
      </c>
      <c r="K403" t="s">
        <v>15</v>
      </c>
    </row>
    <row r="404" spans="2:11" ht="13" x14ac:dyDescent="0.15">
      <c r="B404" s="27" t="s">
        <v>626</v>
      </c>
      <c r="C404" s="27" t="s">
        <v>122</v>
      </c>
      <c r="D404" s="29"/>
      <c r="E404" s="28">
        <f>SUMIFS(E405:E1509,K405:K1509,"0",B405:B1509,"4 1 5*")-SUMIFS(D405:D1509,K405:K1509,"0",B405:B1509,"4 1 5*")</f>
        <v>0</v>
      </c>
      <c r="F404" s="28">
        <f>SUMIFS(F405:F1509,K405:K1509,"0",B405:B1509,"4 1 5*")</f>
        <v>0</v>
      </c>
      <c r="G404" s="28">
        <f>SUMIFS(G405:G1509,K405:K1509,"0",B405:B1509,"4 1 5*")</f>
        <v>4917.46</v>
      </c>
      <c r="H404" s="28"/>
      <c r="I404" s="28">
        <f t="shared" si="8"/>
        <v>4917.46</v>
      </c>
      <c r="K404" t="s">
        <v>15</v>
      </c>
    </row>
    <row r="405" spans="2:11" ht="13" x14ac:dyDescent="0.15">
      <c r="B405" s="27" t="s">
        <v>627</v>
      </c>
      <c r="C405" s="27" t="s">
        <v>122</v>
      </c>
      <c r="D405" s="29"/>
      <c r="E405" s="28">
        <f>SUMIFS(E406:E1509,K406:K1509,"0",B406:B1509,"4 1 5 1*")-SUMIFS(D406:D1509,K406:K1509,"0",B406:B1509,"4 1 5 1*")</f>
        <v>0</v>
      </c>
      <c r="F405" s="28">
        <f>SUMIFS(F406:F1509,K406:K1509,"0",B406:B1509,"4 1 5 1*")</f>
        <v>0</v>
      </c>
      <c r="G405" s="28">
        <f>SUMIFS(G406:G1509,K406:K1509,"0",B406:B1509,"4 1 5 1*")</f>
        <v>4917.46</v>
      </c>
      <c r="H405" s="28"/>
      <c r="I405" s="28">
        <f t="shared" si="8"/>
        <v>4917.46</v>
      </c>
      <c r="K405" t="s">
        <v>15</v>
      </c>
    </row>
    <row r="406" spans="2:11" ht="22" x14ac:dyDescent="0.15">
      <c r="B406" s="27" t="s">
        <v>628</v>
      </c>
      <c r="C406" s="27" t="s">
        <v>629</v>
      </c>
      <c r="D406" s="29"/>
      <c r="E406" s="28">
        <f>SUMIFS(E407:E1509,K407:K1509,"0",B407:B1509,"4 1 5 1 1*")-SUMIFS(D407:D1509,K407:K1509,"0",B407:B1509,"4 1 5 1 1*")</f>
        <v>0</v>
      </c>
      <c r="F406" s="28">
        <f>SUMIFS(F407:F1509,K407:K1509,"0",B407:B1509,"4 1 5 1 1*")</f>
        <v>0</v>
      </c>
      <c r="G406" s="28">
        <f>SUMIFS(G407:G1509,K407:K1509,"0",B407:B1509,"4 1 5 1 1*")</f>
        <v>4917.46</v>
      </c>
      <c r="H406" s="28"/>
      <c r="I406" s="28">
        <f t="shared" si="8"/>
        <v>4917.46</v>
      </c>
      <c r="K406" t="s">
        <v>15</v>
      </c>
    </row>
    <row r="407" spans="2:11" ht="13" x14ac:dyDescent="0.15">
      <c r="B407" s="27" t="s">
        <v>630</v>
      </c>
      <c r="C407" s="27" t="s">
        <v>26</v>
      </c>
      <c r="D407" s="29"/>
      <c r="E407" s="28">
        <f>SUMIFS(E408:E1509,K408:K1509,"0",B408:B1509,"4 1 5 1 1 12*")-SUMIFS(D408:D1509,K408:K1509,"0",B408:B1509,"4 1 5 1 1 12*")</f>
        <v>0</v>
      </c>
      <c r="F407" s="28">
        <f>SUMIFS(F408:F1509,K408:K1509,"0",B408:B1509,"4 1 5 1 1 12*")</f>
        <v>0</v>
      </c>
      <c r="G407" s="28">
        <f>SUMIFS(G408:G1509,K408:K1509,"0",B408:B1509,"4 1 5 1 1 12*")</f>
        <v>4917.46</v>
      </c>
      <c r="H407" s="28"/>
      <c r="I407" s="28">
        <f t="shared" si="8"/>
        <v>4917.46</v>
      </c>
      <c r="K407" t="s">
        <v>15</v>
      </c>
    </row>
    <row r="408" spans="2:11" ht="13" x14ac:dyDescent="0.15">
      <c r="B408" s="27" t="s">
        <v>631</v>
      </c>
      <c r="C408" s="27" t="s">
        <v>28</v>
      </c>
      <c r="D408" s="29"/>
      <c r="E408" s="28">
        <f>SUMIFS(E409:E1509,K409:K1509,"0",B409:B1509,"4 1 5 1 1 12 31111*")-SUMIFS(D409:D1509,K409:K1509,"0",B409:B1509,"4 1 5 1 1 12 31111*")</f>
        <v>0</v>
      </c>
      <c r="F408" s="28">
        <f>SUMIFS(F409:F1509,K409:K1509,"0",B409:B1509,"4 1 5 1 1 12 31111*")</f>
        <v>0</v>
      </c>
      <c r="G408" s="28">
        <f>SUMIFS(G409:G1509,K409:K1509,"0",B409:B1509,"4 1 5 1 1 12 31111*")</f>
        <v>4917.46</v>
      </c>
      <c r="H408" s="28"/>
      <c r="I408" s="28">
        <f t="shared" ref="I408:I439" si="9">E408 - F408 + G408</f>
        <v>4917.46</v>
      </c>
      <c r="K408" t="s">
        <v>15</v>
      </c>
    </row>
    <row r="409" spans="2:11" ht="13" x14ac:dyDescent="0.15">
      <c r="B409" s="27" t="s">
        <v>632</v>
      </c>
      <c r="C409" s="27" t="s">
        <v>30</v>
      </c>
      <c r="D409" s="29"/>
      <c r="E409" s="28">
        <f>SUMIFS(E410:E1509,K410:K1509,"0",B410:B1509,"4 1 5 1 1 12 31111 6*")-SUMIFS(D410:D1509,K410:K1509,"0",B410:B1509,"4 1 5 1 1 12 31111 6*")</f>
        <v>0</v>
      </c>
      <c r="F409" s="28">
        <f>SUMIFS(F410:F1509,K410:K1509,"0",B410:B1509,"4 1 5 1 1 12 31111 6*")</f>
        <v>0</v>
      </c>
      <c r="G409" s="28">
        <f>SUMIFS(G410:G1509,K410:K1509,"0",B410:B1509,"4 1 5 1 1 12 31111 6*")</f>
        <v>4917.46</v>
      </c>
      <c r="H409" s="28"/>
      <c r="I409" s="28">
        <f t="shared" si="9"/>
        <v>4917.46</v>
      </c>
      <c r="K409" t="s">
        <v>15</v>
      </c>
    </row>
    <row r="410" spans="2:11" ht="13" x14ac:dyDescent="0.15">
      <c r="B410" s="27" t="s">
        <v>633</v>
      </c>
      <c r="C410" s="27" t="s">
        <v>32</v>
      </c>
      <c r="D410" s="29"/>
      <c r="E410" s="28">
        <f>SUMIFS(E411:E1509,K411:K1509,"0",B411:B1509,"4 1 5 1 1 12 31111 6 M78*")-SUMIFS(D411:D1509,K411:K1509,"0",B411:B1509,"4 1 5 1 1 12 31111 6 M78*")</f>
        <v>0</v>
      </c>
      <c r="F410" s="28">
        <f>SUMIFS(F411:F1509,K411:K1509,"0",B411:B1509,"4 1 5 1 1 12 31111 6 M78*")</f>
        <v>0</v>
      </c>
      <c r="G410" s="28">
        <f>SUMIFS(G411:G1509,K411:K1509,"0",B411:B1509,"4 1 5 1 1 12 31111 6 M78*")</f>
        <v>4917.46</v>
      </c>
      <c r="H410" s="28"/>
      <c r="I410" s="28">
        <f t="shared" si="9"/>
        <v>4917.46</v>
      </c>
      <c r="K410" t="s">
        <v>15</v>
      </c>
    </row>
    <row r="411" spans="2:11" ht="13" x14ac:dyDescent="0.15">
      <c r="B411" s="27" t="s">
        <v>634</v>
      </c>
      <c r="C411" s="27" t="s">
        <v>8</v>
      </c>
      <c r="D411" s="29"/>
      <c r="E411" s="28">
        <f>SUMIFS(E412:E1509,K412:K1509,"0",B412:B1509,"4 1 5 1 1 12 31111 6 M78 07000*")-SUMIFS(D412:D1509,K412:K1509,"0",B412:B1509,"4 1 5 1 1 12 31111 6 M78 07000*")</f>
        <v>0</v>
      </c>
      <c r="F411" s="28">
        <f>SUMIFS(F412:F1509,K412:K1509,"0",B412:B1509,"4 1 5 1 1 12 31111 6 M78 07000*")</f>
        <v>0</v>
      </c>
      <c r="G411" s="28">
        <f>SUMIFS(G412:G1509,K412:K1509,"0",B412:B1509,"4 1 5 1 1 12 31111 6 M78 07000*")</f>
        <v>4917.46</v>
      </c>
      <c r="H411" s="28"/>
      <c r="I411" s="28">
        <f t="shared" si="9"/>
        <v>4917.46</v>
      </c>
      <c r="K411" t="s">
        <v>15</v>
      </c>
    </row>
    <row r="412" spans="2:11" ht="13" x14ac:dyDescent="0.15">
      <c r="B412" s="27" t="s">
        <v>635</v>
      </c>
      <c r="C412" s="27" t="s">
        <v>168</v>
      </c>
      <c r="D412" s="29"/>
      <c r="E412" s="28">
        <f>SUMIFS(E413:E1509,K413:K1509,"0",B413:B1509,"4 1 5 1 1 12 31111 6 M78 07000 151*")-SUMIFS(D413:D1509,K413:K1509,"0",B413:B1509,"4 1 5 1 1 12 31111 6 M78 07000 151*")</f>
        <v>0</v>
      </c>
      <c r="F412" s="28">
        <f>SUMIFS(F413:F1509,K413:K1509,"0",B413:B1509,"4 1 5 1 1 12 31111 6 M78 07000 151*")</f>
        <v>0</v>
      </c>
      <c r="G412" s="28">
        <f>SUMIFS(G413:G1509,K413:K1509,"0",B413:B1509,"4 1 5 1 1 12 31111 6 M78 07000 151*")</f>
        <v>4917.46</v>
      </c>
      <c r="H412" s="28"/>
      <c r="I412" s="28">
        <f t="shared" si="9"/>
        <v>4917.46</v>
      </c>
      <c r="K412" t="s">
        <v>15</v>
      </c>
    </row>
    <row r="413" spans="2:11" ht="13" x14ac:dyDescent="0.15">
      <c r="B413" s="27" t="s">
        <v>636</v>
      </c>
      <c r="C413" s="27" t="s">
        <v>170</v>
      </c>
      <c r="D413" s="29"/>
      <c r="E413" s="28">
        <f>SUMIFS(E414:E1509,K414:K1509,"0",B414:B1509,"4 1 5 1 1 12 31111 6 M78 07000 151 00C*")-SUMIFS(D414:D1509,K414:K1509,"0",B414:B1509,"4 1 5 1 1 12 31111 6 M78 07000 151 00C*")</f>
        <v>0</v>
      </c>
      <c r="F413" s="28">
        <f>SUMIFS(F414:F1509,K414:K1509,"0",B414:B1509,"4 1 5 1 1 12 31111 6 M78 07000 151 00C*")</f>
        <v>0</v>
      </c>
      <c r="G413" s="28">
        <f>SUMIFS(G414:G1509,K414:K1509,"0",B414:B1509,"4 1 5 1 1 12 31111 6 M78 07000 151 00C*")</f>
        <v>4917.46</v>
      </c>
      <c r="H413" s="28"/>
      <c r="I413" s="28">
        <f t="shared" si="9"/>
        <v>4917.46</v>
      </c>
      <c r="K413" t="s">
        <v>15</v>
      </c>
    </row>
    <row r="414" spans="2:11" ht="22" x14ac:dyDescent="0.15">
      <c r="B414" s="27" t="s">
        <v>637</v>
      </c>
      <c r="C414" s="27" t="s">
        <v>9</v>
      </c>
      <c r="D414" s="29"/>
      <c r="E414" s="28">
        <f>SUMIFS(E415:E1509,K415:K1509,"0",B415:B1509,"4 1 5 1 1 12 31111 6 M78 07000 151 00C 001*")-SUMIFS(D415:D1509,K415:K1509,"0",B415:B1509,"4 1 5 1 1 12 31111 6 M78 07000 151 00C 001*")</f>
        <v>0</v>
      </c>
      <c r="F414" s="28">
        <f>SUMIFS(F415:F1509,K415:K1509,"0",B415:B1509,"4 1 5 1 1 12 31111 6 M78 07000 151 00C 001*")</f>
        <v>0</v>
      </c>
      <c r="G414" s="28">
        <f>SUMIFS(G415:G1509,K415:K1509,"0",B415:B1509,"4 1 5 1 1 12 31111 6 M78 07000 151 00C 001*")</f>
        <v>4917.46</v>
      </c>
      <c r="H414" s="28"/>
      <c r="I414" s="28">
        <f t="shared" si="9"/>
        <v>4917.46</v>
      </c>
      <c r="K414" t="s">
        <v>15</v>
      </c>
    </row>
    <row r="415" spans="2:11" ht="22" x14ac:dyDescent="0.15">
      <c r="B415" s="27" t="s">
        <v>638</v>
      </c>
      <c r="C415" s="27" t="s">
        <v>122</v>
      </c>
      <c r="D415" s="29"/>
      <c r="E415" s="28">
        <f>SUMIFS(E416:E1509,K416:K1509,"0",B416:B1509,"4 1 5 1 1 12 31111 6 M78 07000 151 00C 001 00051*")-SUMIFS(D416:D1509,K416:K1509,"0",B416:B1509,"4 1 5 1 1 12 31111 6 M78 07000 151 00C 001 00051*")</f>
        <v>0</v>
      </c>
      <c r="F415" s="28">
        <f>SUMIFS(F416:F1509,K416:K1509,"0",B416:B1509,"4 1 5 1 1 12 31111 6 M78 07000 151 00C 001 00051*")</f>
        <v>0</v>
      </c>
      <c r="G415" s="28">
        <f>SUMIFS(G416:G1509,K416:K1509,"0",B416:B1509,"4 1 5 1 1 12 31111 6 M78 07000 151 00C 001 00051*")</f>
        <v>4917.46</v>
      </c>
      <c r="H415" s="28"/>
      <c r="I415" s="28">
        <f t="shared" si="9"/>
        <v>4917.46</v>
      </c>
      <c r="K415" t="s">
        <v>15</v>
      </c>
    </row>
    <row r="416" spans="2:11" ht="22" x14ac:dyDescent="0.15">
      <c r="B416" s="27" t="s">
        <v>639</v>
      </c>
      <c r="C416" s="27" t="s">
        <v>176</v>
      </c>
      <c r="D416" s="29"/>
      <c r="E416" s="28">
        <f>SUMIFS(E417:E1509,K417:K1509,"0",B417:B1509,"4 1 5 1 1 12 31111 6 M78 07000 151 00C 001 00051 015*")-SUMIFS(D417:D1509,K417:K1509,"0",B417:B1509,"4 1 5 1 1 12 31111 6 M78 07000 151 00C 001 00051 015*")</f>
        <v>0</v>
      </c>
      <c r="F416" s="28">
        <f>SUMIFS(F417:F1509,K417:K1509,"0",B417:B1509,"4 1 5 1 1 12 31111 6 M78 07000 151 00C 001 00051 015*")</f>
        <v>0</v>
      </c>
      <c r="G416" s="28">
        <f>SUMIFS(G417:G1509,K417:K1509,"0",B417:B1509,"4 1 5 1 1 12 31111 6 M78 07000 151 00C 001 00051 015*")</f>
        <v>4917.46</v>
      </c>
      <c r="H416" s="28"/>
      <c r="I416" s="28">
        <f t="shared" si="9"/>
        <v>4917.46</v>
      </c>
      <c r="K416" t="s">
        <v>15</v>
      </c>
    </row>
    <row r="417" spans="2:11" ht="22" x14ac:dyDescent="0.15">
      <c r="B417" s="27" t="s">
        <v>640</v>
      </c>
      <c r="C417" s="27" t="s">
        <v>641</v>
      </c>
      <c r="D417" s="29"/>
      <c r="E417" s="28">
        <f>SUMIFS(E418:E1509,K418:K1509,"0",B418:B1509,"4 1 5 1 1 12 31111 6 M78 07000 151 00C 001 00051 015 1151100*")-SUMIFS(D418:D1509,K418:K1509,"0",B418:B1509,"4 1 5 1 1 12 31111 6 M78 07000 151 00C 001 00051 015 1151100*")</f>
        <v>0</v>
      </c>
      <c r="F417" s="28">
        <f>SUMIFS(F418:F1509,K418:K1509,"0",B418:B1509,"4 1 5 1 1 12 31111 6 M78 07000 151 00C 001 00051 015 1151100*")</f>
        <v>0</v>
      </c>
      <c r="G417" s="28">
        <f>SUMIFS(G418:G1509,K418:K1509,"0",B418:B1509,"4 1 5 1 1 12 31111 6 M78 07000 151 00C 001 00051 015 1151100*")</f>
        <v>4917.46</v>
      </c>
      <c r="H417" s="28"/>
      <c r="I417" s="28">
        <f t="shared" si="9"/>
        <v>4917.46</v>
      </c>
      <c r="K417" t="s">
        <v>15</v>
      </c>
    </row>
    <row r="418" spans="2:11" ht="22" x14ac:dyDescent="0.15">
      <c r="B418" s="27" t="s">
        <v>642</v>
      </c>
      <c r="C418" s="27" t="s">
        <v>248</v>
      </c>
      <c r="D418" s="29"/>
      <c r="E418" s="28">
        <f>SUMIFS(E419:E1509,K419:K1509,"0",B419:B1509,"4 1 5 1 1 12 31111 6 M78 07000 151 00C 001 00051 015 1151100 2024*")-SUMIFS(D419:D1509,K419:K1509,"0",B419:B1509,"4 1 5 1 1 12 31111 6 M78 07000 151 00C 001 00051 015 1151100 2024*")</f>
        <v>0</v>
      </c>
      <c r="F418" s="28">
        <f>SUMIFS(F419:F1509,K419:K1509,"0",B419:B1509,"4 1 5 1 1 12 31111 6 M78 07000 151 00C 001 00051 015 1151100 2024*")</f>
        <v>0</v>
      </c>
      <c r="G418" s="28">
        <f>SUMIFS(G419:G1509,K419:K1509,"0",B419:B1509,"4 1 5 1 1 12 31111 6 M78 07000 151 00C 001 00051 015 1151100 2024*")</f>
        <v>4917.46</v>
      </c>
      <c r="H418" s="28"/>
      <c r="I418" s="28">
        <f t="shared" si="9"/>
        <v>4917.46</v>
      </c>
      <c r="K418" t="s">
        <v>15</v>
      </c>
    </row>
    <row r="419" spans="2:11" ht="22" x14ac:dyDescent="0.15">
      <c r="B419" s="27" t="s">
        <v>643</v>
      </c>
      <c r="C419" s="27" t="s">
        <v>182</v>
      </c>
      <c r="D419" s="29"/>
      <c r="E419" s="28">
        <f>SUMIFS(E420:E1509,K420:K1509,"0",B420:B1509,"4 1 5 1 1 12 31111 6 M78 07000 151 00C 001 00051 015 1151100 2024 00000000*")-SUMIFS(D420:D1509,K420:K1509,"0",B420:B1509,"4 1 5 1 1 12 31111 6 M78 07000 151 00C 001 00051 015 1151100 2024 00000000*")</f>
        <v>0</v>
      </c>
      <c r="F419" s="28">
        <f>SUMIFS(F420:F1509,K420:K1509,"0",B420:B1509,"4 1 5 1 1 12 31111 6 M78 07000 151 00C 001 00051 015 1151100 2024 00000000*")</f>
        <v>0</v>
      </c>
      <c r="G419" s="28">
        <f>SUMIFS(G420:G1509,K420:K1509,"0",B420:B1509,"4 1 5 1 1 12 31111 6 M78 07000 151 00C 001 00051 015 1151100 2024 00000000*")</f>
        <v>4917.46</v>
      </c>
      <c r="H419" s="28"/>
      <c r="I419" s="28">
        <f t="shared" si="9"/>
        <v>4917.46</v>
      </c>
      <c r="K419" t="s">
        <v>15</v>
      </c>
    </row>
    <row r="420" spans="2:11" ht="33" x14ac:dyDescent="0.15">
      <c r="B420" s="27" t="s">
        <v>644</v>
      </c>
      <c r="C420" s="27" t="s">
        <v>9</v>
      </c>
      <c r="D420" s="29"/>
      <c r="E420" s="28">
        <f>SUMIFS(E421:E1509,K421:K1509,"0",B421:B1509,"4 1 5 1 1 12 31111 6 M78 07000 151 00C 001 00051 015 1151100 2024 00000000 001*")-SUMIFS(D421:D1509,K421:K1509,"0",B421:B1509,"4 1 5 1 1 12 31111 6 M78 07000 151 00C 001 00051 015 1151100 2024 00000000 001*")</f>
        <v>0</v>
      </c>
      <c r="F420" s="28">
        <f>SUMIFS(F421:F1509,K421:K1509,"0",B421:B1509,"4 1 5 1 1 12 31111 6 M78 07000 151 00C 001 00051 015 1151100 2024 00000000 001*")</f>
        <v>0</v>
      </c>
      <c r="G420" s="28">
        <f>SUMIFS(G421:G1509,K421:K1509,"0",B421:B1509,"4 1 5 1 1 12 31111 6 M78 07000 151 00C 001 00051 015 1151100 2024 00000000 001*")</f>
        <v>4917.46</v>
      </c>
      <c r="H420" s="28"/>
      <c r="I420" s="28">
        <f t="shared" si="9"/>
        <v>4917.46</v>
      </c>
      <c r="K420" t="s">
        <v>15</v>
      </c>
    </row>
    <row r="421" spans="2:11" ht="33" x14ac:dyDescent="0.15">
      <c r="B421" s="30" t="s">
        <v>645</v>
      </c>
      <c r="C421" s="30" t="s">
        <v>646</v>
      </c>
      <c r="D421" s="31"/>
      <c r="E421" s="31">
        <v>0</v>
      </c>
      <c r="F421" s="31">
        <v>0</v>
      </c>
      <c r="G421" s="31">
        <v>4917.46</v>
      </c>
      <c r="H421" s="31"/>
      <c r="I421" s="31">
        <f t="shared" si="9"/>
        <v>4917.46</v>
      </c>
      <c r="K421" t="s">
        <v>38</v>
      </c>
    </row>
    <row r="422" spans="2:11" ht="44" x14ac:dyDescent="0.15">
      <c r="B422" s="27" t="s">
        <v>647</v>
      </c>
      <c r="C422" s="27" t="s">
        <v>648</v>
      </c>
      <c r="D422" s="29"/>
      <c r="E422" s="28">
        <f>SUMIFS(E423:E1509,K423:K1509,"0",B423:B1509,"4 2*")-SUMIFS(D423:D1509,K423:K1509,"0",B423:B1509,"4 2*")</f>
        <v>0</v>
      </c>
      <c r="F422" s="28">
        <f>SUMIFS(F423:F1509,K423:K1509,"0",B423:B1509,"4 2*")</f>
        <v>0</v>
      </c>
      <c r="G422" s="28">
        <f>SUMIFS(G423:G1509,K423:K1509,"0",B423:B1509,"4 2*")</f>
        <v>15629548.530000001</v>
      </c>
      <c r="H422" s="28"/>
      <c r="I422" s="28">
        <f t="shared" si="9"/>
        <v>15629548.530000001</v>
      </c>
      <c r="K422" t="s">
        <v>15</v>
      </c>
    </row>
    <row r="423" spans="2:11" ht="33" x14ac:dyDescent="0.15">
      <c r="B423" s="27" t="s">
        <v>649</v>
      </c>
      <c r="C423" s="27" t="s">
        <v>650</v>
      </c>
      <c r="D423" s="29"/>
      <c r="E423" s="28">
        <f>SUMIFS(E424:E1509,K424:K1509,"0",B424:B1509,"4 2 1*")-SUMIFS(D424:D1509,K424:K1509,"0",B424:B1509,"4 2 1*")</f>
        <v>0</v>
      </c>
      <c r="F423" s="28">
        <f>SUMIFS(F424:F1509,K424:K1509,"0",B424:B1509,"4 2 1*")</f>
        <v>0</v>
      </c>
      <c r="G423" s="28">
        <f>SUMIFS(G424:G1509,K424:K1509,"0",B424:B1509,"4 2 1*")</f>
        <v>14896081.530000001</v>
      </c>
      <c r="H423" s="28"/>
      <c r="I423" s="28">
        <f t="shared" si="9"/>
        <v>14896081.530000001</v>
      </c>
      <c r="K423" t="s">
        <v>15</v>
      </c>
    </row>
    <row r="424" spans="2:11" ht="13" x14ac:dyDescent="0.15">
      <c r="B424" s="27" t="s">
        <v>651</v>
      </c>
      <c r="C424" s="27" t="s">
        <v>652</v>
      </c>
      <c r="D424" s="29"/>
      <c r="E424" s="28">
        <f>SUMIFS(E425:E1509,K425:K1509,"0",B425:B1509,"4 2 1 1*")-SUMIFS(D425:D1509,K425:K1509,"0",B425:B1509,"4 2 1 1*")</f>
        <v>0</v>
      </c>
      <c r="F424" s="28">
        <f>SUMIFS(F425:F1509,K425:K1509,"0",B425:B1509,"4 2 1 1*")</f>
        <v>0</v>
      </c>
      <c r="G424" s="28">
        <f>SUMIFS(G425:G1509,K425:K1509,"0",B425:B1509,"4 2 1 1*")</f>
        <v>13418391.850000001</v>
      </c>
      <c r="H424" s="28"/>
      <c r="I424" s="28">
        <f t="shared" si="9"/>
        <v>13418391.850000001</v>
      </c>
      <c r="K424" t="s">
        <v>15</v>
      </c>
    </row>
    <row r="425" spans="2:11" ht="13" x14ac:dyDescent="0.15">
      <c r="B425" s="27" t="s">
        <v>653</v>
      </c>
      <c r="C425" s="27" t="s">
        <v>652</v>
      </c>
      <c r="D425" s="29"/>
      <c r="E425" s="28">
        <f>SUMIFS(E426:E1509,K426:K1509,"0",B426:B1509,"4 2 1 1 1*")-SUMIFS(D426:D1509,K426:K1509,"0",B426:B1509,"4 2 1 1 1*")</f>
        <v>0</v>
      </c>
      <c r="F425" s="28">
        <f>SUMIFS(F426:F1509,K426:K1509,"0",B426:B1509,"4 2 1 1 1*")</f>
        <v>0</v>
      </c>
      <c r="G425" s="28">
        <f>SUMIFS(G426:G1509,K426:K1509,"0",B426:B1509,"4 2 1 1 1*")</f>
        <v>13418391.850000001</v>
      </c>
      <c r="H425" s="28"/>
      <c r="I425" s="28">
        <f t="shared" si="9"/>
        <v>13418391.850000001</v>
      </c>
      <c r="K425" t="s">
        <v>15</v>
      </c>
    </row>
    <row r="426" spans="2:11" ht="13" x14ac:dyDescent="0.15">
      <c r="B426" s="27" t="s">
        <v>654</v>
      </c>
      <c r="C426" s="27" t="s">
        <v>26</v>
      </c>
      <c r="D426" s="29"/>
      <c r="E426" s="28">
        <f>SUMIFS(E427:E1509,K427:K1509,"0",B427:B1509,"4 2 1 1 1 12*")-SUMIFS(D427:D1509,K427:K1509,"0",B427:B1509,"4 2 1 1 1 12*")</f>
        <v>0</v>
      </c>
      <c r="F426" s="28">
        <f>SUMIFS(F427:F1509,K427:K1509,"0",B427:B1509,"4 2 1 1 1 12*")</f>
        <v>0</v>
      </c>
      <c r="G426" s="28">
        <f>SUMIFS(G427:G1509,K427:K1509,"0",B427:B1509,"4 2 1 1 1 12*")</f>
        <v>13418391.850000001</v>
      </c>
      <c r="H426" s="28"/>
      <c r="I426" s="28">
        <f t="shared" si="9"/>
        <v>13418391.850000001</v>
      </c>
      <c r="K426" t="s">
        <v>15</v>
      </c>
    </row>
    <row r="427" spans="2:11" ht="13" x14ac:dyDescent="0.15">
      <c r="B427" s="27" t="s">
        <v>655</v>
      </c>
      <c r="C427" s="27" t="s">
        <v>28</v>
      </c>
      <c r="D427" s="29"/>
      <c r="E427" s="28">
        <f>SUMIFS(E428:E1509,K428:K1509,"0",B428:B1509,"4 2 1 1 1 12 31111*")-SUMIFS(D428:D1509,K428:K1509,"0",B428:B1509,"4 2 1 1 1 12 31111*")</f>
        <v>0</v>
      </c>
      <c r="F427" s="28">
        <f>SUMIFS(F428:F1509,K428:K1509,"0",B428:B1509,"4 2 1 1 1 12 31111*")</f>
        <v>0</v>
      </c>
      <c r="G427" s="28">
        <f>SUMIFS(G428:G1509,K428:K1509,"0",B428:B1509,"4 2 1 1 1 12 31111*")</f>
        <v>13418391.850000001</v>
      </c>
      <c r="H427" s="28"/>
      <c r="I427" s="28">
        <f t="shared" si="9"/>
        <v>13418391.850000001</v>
      </c>
      <c r="K427" t="s">
        <v>15</v>
      </c>
    </row>
    <row r="428" spans="2:11" ht="13" x14ac:dyDescent="0.15">
      <c r="B428" s="27" t="s">
        <v>656</v>
      </c>
      <c r="C428" s="27" t="s">
        <v>30</v>
      </c>
      <c r="D428" s="29"/>
      <c r="E428" s="28">
        <f>SUMIFS(E429:E1509,K429:K1509,"0",B429:B1509,"4 2 1 1 1 12 31111 6*")-SUMIFS(D429:D1509,K429:K1509,"0",B429:B1509,"4 2 1 1 1 12 31111 6*")</f>
        <v>0</v>
      </c>
      <c r="F428" s="28">
        <f>SUMIFS(F429:F1509,K429:K1509,"0",B429:B1509,"4 2 1 1 1 12 31111 6*")</f>
        <v>0</v>
      </c>
      <c r="G428" s="28">
        <f>SUMIFS(G429:G1509,K429:K1509,"0",B429:B1509,"4 2 1 1 1 12 31111 6*")</f>
        <v>13418391.850000001</v>
      </c>
      <c r="H428" s="28"/>
      <c r="I428" s="28">
        <f t="shared" si="9"/>
        <v>13418391.850000001</v>
      </c>
      <c r="K428" t="s">
        <v>15</v>
      </c>
    </row>
    <row r="429" spans="2:11" ht="13" x14ac:dyDescent="0.15">
      <c r="B429" s="27" t="s">
        <v>657</v>
      </c>
      <c r="C429" s="27" t="s">
        <v>32</v>
      </c>
      <c r="D429" s="29"/>
      <c r="E429" s="28">
        <f>SUMIFS(E430:E1509,K430:K1509,"0",B430:B1509,"4 2 1 1 1 12 31111 6 M78*")-SUMIFS(D430:D1509,K430:K1509,"0",B430:B1509,"4 2 1 1 1 12 31111 6 M78*")</f>
        <v>0</v>
      </c>
      <c r="F429" s="28">
        <f>SUMIFS(F430:F1509,K430:K1509,"0",B430:B1509,"4 2 1 1 1 12 31111 6 M78*")</f>
        <v>0</v>
      </c>
      <c r="G429" s="28">
        <f>SUMIFS(G430:G1509,K430:K1509,"0",B430:B1509,"4 2 1 1 1 12 31111 6 M78*")</f>
        <v>13418391.850000001</v>
      </c>
      <c r="H429" s="28"/>
      <c r="I429" s="28">
        <f t="shared" si="9"/>
        <v>13418391.850000001</v>
      </c>
      <c r="K429" t="s">
        <v>15</v>
      </c>
    </row>
    <row r="430" spans="2:11" ht="13" x14ac:dyDescent="0.15">
      <c r="B430" s="27" t="s">
        <v>658</v>
      </c>
      <c r="C430" s="27" t="s">
        <v>8</v>
      </c>
      <c r="D430" s="29"/>
      <c r="E430" s="28">
        <f>SUMIFS(E431:E1509,K431:K1509,"0",B431:B1509,"4 2 1 1 1 12 31111 6 M78 07000*")-SUMIFS(D431:D1509,K431:K1509,"0",B431:B1509,"4 2 1 1 1 12 31111 6 M78 07000*")</f>
        <v>0</v>
      </c>
      <c r="F430" s="28">
        <f>SUMIFS(F431:F1509,K431:K1509,"0",B431:B1509,"4 2 1 1 1 12 31111 6 M78 07000*")</f>
        <v>0</v>
      </c>
      <c r="G430" s="28">
        <f>SUMIFS(G431:G1509,K431:K1509,"0",B431:B1509,"4 2 1 1 1 12 31111 6 M78 07000*")</f>
        <v>13418391.850000001</v>
      </c>
      <c r="H430" s="28"/>
      <c r="I430" s="28">
        <f t="shared" si="9"/>
        <v>13418391.850000001</v>
      </c>
      <c r="K430" t="s">
        <v>15</v>
      </c>
    </row>
    <row r="431" spans="2:11" ht="13" x14ac:dyDescent="0.15">
      <c r="B431" s="27" t="s">
        <v>659</v>
      </c>
      <c r="C431" s="27" t="s">
        <v>168</v>
      </c>
      <c r="D431" s="29"/>
      <c r="E431" s="28">
        <f>SUMIFS(E432:E1509,K432:K1509,"0",B432:B1509,"4 2 1 1 1 12 31111 6 M78 07000 151*")-SUMIFS(D432:D1509,K432:K1509,"0",B432:B1509,"4 2 1 1 1 12 31111 6 M78 07000 151*")</f>
        <v>0</v>
      </c>
      <c r="F431" s="28">
        <f>SUMIFS(F432:F1509,K432:K1509,"0",B432:B1509,"4 2 1 1 1 12 31111 6 M78 07000 151*")</f>
        <v>0</v>
      </c>
      <c r="G431" s="28">
        <f>SUMIFS(G432:G1509,K432:K1509,"0",B432:B1509,"4 2 1 1 1 12 31111 6 M78 07000 151*")</f>
        <v>13418391.850000001</v>
      </c>
      <c r="H431" s="28"/>
      <c r="I431" s="28">
        <f t="shared" si="9"/>
        <v>13418391.850000001</v>
      </c>
      <c r="K431" t="s">
        <v>15</v>
      </c>
    </row>
    <row r="432" spans="2:11" ht="13" x14ac:dyDescent="0.15">
      <c r="B432" s="27" t="s">
        <v>660</v>
      </c>
      <c r="C432" s="27" t="s">
        <v>170</v>
      </c>
      <c r="D432" s="29"/>
      <c r="E432" s="28">
        <f>SUMIFS(E433:E1509,K433:K1509,"0",B433:B1509,"4 2 1 1 1 12 31111 6 M78 07000 151 00C*")-SUMIFS(D433:D1509,K433:K1509,"0",B433:B1509,"4 2 1 1 1 12 31111 6 M78 07000 151 00C*")</f>
        <v>0</v>
      </c>
      <c r="F432" s="28">
        <f>SUMIFS(F433:F1509,K433:K1509,"0",B433:B1509,"4 2 1 1 1 12 31111 6 M78 07000 151 00C*")</f>
        <v>0</v>
      </c>
      <c r="G432" s="28">
        <f>SUMIFS(G433:G1509,K433:K1509,"0",B433:B1509,"4 2 1 1 1 12 31111 6 M78 07000 151 00C*")</f>
        <v>13418391.850000001</v>
      </c>
      <c r="H432" s="28"/>
      <c r="I432" s="28">
        <f t="shared" si="9"/>
        <v>13418391.850000001</v>
      </c>
      <c r="K432" t="s">
        <v>15</v>
      </c>
    </row>
    <row r="433" spans="2:11" ht="22" x14ac:dyDescent="0.15">
      <c r="B433" s="27" t="s">
        <v>661</v>
      </c>
      <c r="C433" s="27" t="s">
        <v>9</v>
      </c>
      <c r="D433" s="29"/>
      <c r="E433" s="28">
        <f>SUMIFS(E434:E1509,K434:K1509,"0",B434:B1509,"4 2 1 1 1 12 31111 6 M78 07000 151 00C 001*")-SUMIFS(D434:D1509,K434:K1509,"0",B434:B1509,"4 2 1 1 1 12 31111 6 M78 07000 151 00C 001*")</f>
        <v>0</v>
      </c>
      <c r="F433" s="28">
        <f>SUMIFS(F434:F1509,K434:K1509,"0",B434:B1509,"4 2 1 1 1 12 31111 6 M78 07000 151 00C 001*")</f>
        <v>0</v>
      </c>
      <c r="G433" s="28">
        <f>SUMIFS(G434:G1509,K434:K1509,"0",B434:B1509,"4 2 1 1 1 12 31111 6 M78 07000 151 00C 001*")</f>
        <v>13418391.850000001</v>
      </c>
      <c r="H433" s="28"/>
      <c r="I433" s="28">
        <f t="shared" si="9"/>
        <v>13418391.850000001</v>
      </c>
      <c r="K433" t="s">
        <v>15</v>
      </c>
    </row>
    <row r="434" spans="2:11" ht="22" x14ac:dyDescent="0.15">
      <c r="B434" s="27" t="s">
        <v>662</v>
      </c>
      <c r="C434" s="27" t="s">
        <v>652</v>
      </c>
      <c r="D434" s="29"/>
      <c r="E434" s="28">
        <f>SUMIFS(E435:E1509,K435:K1509,"0",B435:B1509,"4 2 1 1 1 12 31111 6 M78 07000 151 00C 001 00081*")-SUMIFS(D435:D1509,K435:K1509,"0",B435:B1509,"4 2 1 1 1 12 31111 6 M78 07000 151 00C 001 00081*")</f>
        <v>0</v>
      </c>
      <c r="F434" s="28">
        <f>SUMIFS(F435:F1509,K435:K1509,"0",B435:B1509,"4 2 1 1 1 12 31111 6 M78 07000 151 00C 001 00081*")</f>
        <v>0</v>
      </c>
      <c r="G434" s="28">
        <f>SUMIFS(G435:G1509,K435:K1509,"0",B435:B1509,"4 2 1 1 1 12 31111 6 M78 07000 151 00C 001 00081*")</f>
        <v>13418391.850000001</v>
      </c>
      <c r="H434" s="28"/>
      <c r="I434" s="28">
        <f t="shared" si="9"/>
        <v>13418391.850000001</v>
      </c>
      <c r="K434" t="s">
        <v>15</v>
      </c>
    </row>
    <row r="435" spans="2:11" ht="22" x14ac:dyDescent="0.15">
      <c r="B435" s="27" t="s">
        <v>663</v>
      </c>
      <c r="C435" s="27" t="s">
        <v>176</v>
      </c>
      <c r="D435" s="29"/>
      <c r="E435" s="28">
        <f>SUMIFS(E436:E1509,K436:K1509,"0",B436:B1509,"4 2 1 1 1 12 31111 6 M78 07000 151 00C 001 00081 015*")-SUMIFS(D436:D1509,K436:K1509,"0",B436:B1509,"4 2 1 1 1 12 31111 6 M78 07000 151 00C 001 00081 015*")</f>
        <v>0</v>
      </c>
      <c r="F435" s="28">
        <f>SUMIFS(F436:F1509,K436:K1509,"0",B436:B1509,"4 2 1 1 1 12 31111 6 M78 07000 151 00C 001 00081 015*")</f>
        <v>0</v>
      </c>
      <c r="G435" s="28">
        <f>SUMIFS(G436:G1509,K436:K1509,"0",B436:B1509,"4 2 1 1 1 12 31111 6 M78 07000 151 00C 001 00081 015*")</f>
        <v>13418391.850000001</v>
      </c>
      <c r="H435" s="28"/>
      <c r="I435" s="28">
        <f t="shared" si="9"/>
        <v>13418391.850000001</v>
      </c>
      <c r="K435" t="s">
        <v>15</v>
      </c>
    </row>
    <row r="436" spans="2:11" ht="22" x14ac:dyDescent="0.15">
      <c r="B436" s="27" t="s">
        <v>664</v>
      </c>
      <c r="C436" s="27" t="s">
        <v>652</v>
      </c>
      <c r="D436" s="29"/>
      <c r="E436" s="28">
        <f>SUMIFS(E437:E1509,K437:K1509,"0",B437:B1509,"4 2 1 1 1 12 31111 6 M78 07000 151 00C 001 00081 015 1190000*")-SUMIFS(D437:D1509,K437:K1509,"0",B437:B1509,"4 2 1 1 1 12 31111 6 M78 07000 151 00C 001 00081 015 1190000*")</f>
        <v>0</v>
      </c>
      <c r="F436" s="28">
        <f>SUMIFS(F437:F1509,K437:K1509,"0",B437:B1509,"4 2 1 1 1 12 31111 6 M78 07000 151 00C 001 00081 015 1190000*")</f>
        <v>0</v>
      </c>
      <c r="G436" s="28">
        <f>SUMIFS(G437:G1509,K437:K1509,"0",B437:B1509,"4 2 1 1 1 12 31111 6 M78 07000 151 00C 001 00081 015 1190000*")</f>
        <v>13418391.850000001</v>
      </c>
      <c r="H436" s="28"/>
      <c r="I436" s="28">
        <f t="shared" si="9"/>
        <v>13418391.850000001</v>
      </c>
      <c r="K436" t="s">
        <v>15</v>
      </c>
    </row>
    <row r="437" spans="2:11" ht="22" x14ac:dyDescent="0.15">
      <c r="B437" s="27" t="s">
        <v>665</v>
      </c>
      <c r="C437" s="27" t="s">
        <v>248</v>
      </c>
      <c r="D437" s="29"/>
      <c r="E437" s="28">
        <f>SUMIFS(E438:E1509,K438:K1509,"0",B438:B1509,"4 2 1 1 1 12 31111 6 M78 07000 151 00C 001 00081 015 1190000 2024*")-SUMIFS(D438:D1509,K438:K1509,"0",B438:B1509,"4 2 1 1 1 12 31111 6 M78 07000 151 00C 001 00081 015 1190000 2024*")</f>
        <v>0</v>
      </c>
      <c r="F437" s="28">
        <f>SUMIFS(F438:F1509,K438:K1509,"0",B438:B1509,"4 2 1 1 1 12 31111 6 M78 07000 151 00C 001 00081 015 1190000 2024*")</f>
        <v>0</v>
      </c>
      <c r="G437" s="28">
        <f>SUMIFS(G438:G1509,K438:K1509,"0",B438:B1509,"4 2 1 1 1 12 31111 6 M78 07000 151 00C 001 00081 015 1190000 2024*")</f>
        <v>13418391.850000001</v>
      </c>
      <c r="H437" s="28"/>
      <c r="I437" s="28">
        <f t="shared" si="9"/>
        <v>13418391.850000001</v>
      </c>
      <c r="K437" t="s">
        <v>15</v>
      </c>
    </row>
    <row r="438" spans="2:11" ht="22" x14ac:dyDescent="0.15">
      <c r="B438" s="27" t="s">
        <v>666</v>
      </c>
      <c r="C438" s="27" t="s">
        <v>182</v>
      </c>
      <c r="D438" s="29"/>
      <c r="E438" s="28">
        <f>SUMIFS(E439:E1509,K439:K1509,"0",B439:B1509,"4 2 1 1 1 12 31111 6 M78 07000 151 00C 001 00081 015 1190000 2024 00000000*")-SUMIFS(D439:D1509,K439:K1509,"0",B439:B1509,"4 2 1 1 1 12 31111 6 M78 07000 151 00C 001 00081 015 1190000 2024 00000000*")</f>
        <v>0</v>
      </c>
      <c r="F438" s="28">
        <f>SUMIFS(F439:F1509,K439:K1509,"0",B439:B1509,"4 2 1 1 1 12 31111 6 M78 07000 151 00C 001 00081 015 1190000 2024 00000000*")</f>
        <v>0</v>
      </c>
      <c r="G438" s="28">
        <f>SUMIFS(G439:G1509,K439:K1509,"0",B439:B1509,"4 2 1 1 1 12 31111 6 M78 07000 151 00C 001 00081 015 1190000 2024 00000000*")</f>
        <v>13418391.850000001</v>
      </c>
      <c r="H438" s="28"/>
      <c r="I438" s="28">
        <f t="shared" si="9"/>
        <v>13418391.850000001</v>
      </c>
      <c r="K438" t="s">
        <v>15</v>
      </c>
    </row>
    <row r="439" spans="2:11" ht="33" x14ac:dyDescent="0.15">
      <c r="B439" s="27" t="s">
        <v>667</v>
      </c>
      <c r="C439" s="27" t="s">
        <v>9</v>
      </c>
      <c r="D439" s="29"/>
      <c r="E439" s="28">
        <f>SUMIFS(E440:E1509,K440:K1509,"0",B440:B1509,"4 2 1 1 1 12 31111 6 M78 07000 151 00C 001 00081 015 1190000 2024 00000000 001*")-SUMIFS(D440:D1509,K440:K1509,"0",B440:B1509,"4 2 1 1 1 12 31111 6 M78 07000 151 00C 001 00081 015 1190000 2024 00000000 001*")</f>
        <v>0</v>
      </c>
      <c r="F439" s="28">
        <f>SUMIFS(F440:F1509,K440:K1509,"0",B440:B1509,"4 2 1 1 1 12 31111 6 M78 07000 151 00C 001 00081 015 1190000 2024 00000000 001*")</f>
        <v>0</v>
      </c>
      <c r="G439" s="28">
        <f>SUMIFS(G440:G1509,K440:K1509,"0",B440:B1509,"4 2 1 1 1 12 31111 6 M78 07000 151 00C 001 00081 015 1190000 2024 00000000 001*")</f>
        <v>13418391.850000001</v>
      </c>
      <c r="H439" s="28"/>
      <c r="I439" s="28">
        <f t="shared" si="9"/>
        <v>13418391.850000001</v>
      </c>
      <c r="K439" t="s">
        <v>15</v>
      </c>
    </row>
    <row r="440" spans="2:11" ht="33" x14ac:dyDescent="0.15">
      <c r="B440" s="30" t="s">
        <v>668</v>
      </c>
      <c r="C440" s="30" t="s">
        <v>669</v>
      </c>
      <c r="D440" s="31"/>
      <c r="E440" s="31">
        <v>0</v>
      </c>
      <c r="F440" s="31">
        <v>0</v>
      </c>
      <c r="G440" s="31">
        <v>10061313.460000001</v>
      </c>
      <c r="H440" s="31"/>
      <c r="I440" s="31">
        <f t="shared" ref="I440:I471" si="10">E440 - F440 + G440</f>
        <v>10061313.460000001</v>
      </c>
      <c r="K440" t="s">
        <v>38</v>
      </c>
    </row>
    <row r="441" spans="2:11" ht="33" x14ac:dyDescent="0.15">
      <c r="B441" s="30" t="s">
        <v>670</v>
      </c>
      <c r="C441" s="30" t="s">
        <v>58</v>
      </c>
      <c r="D441" s="31"/>
      <c r="E441" s="31">
        <v>0</v>
      </c>
      <c r="F441" s="31">
        <v>0</v>
      </c>
      <c r="G441" s="31">
        <v>2272406.02</v>
      </c>
      <c r="H441" s="31"/>
      <c r="I441" s="31">
        <f t="shared" si="10"/>
        <v>2272406.02</v>
      </c>
      <c r="K441" t="s">
        <v>38</v>
      </c>
    </row>
    <row r="442" spans="2:11" ht="33" x14ac:dyDescent="0.15">
      <c r="B442" s="30" t="s">
        <v>671</v>
      </c>
      <c r="C442" s="30" t="s">
        <v>672</v>
      </c>
      <c r="D442" s="31"/>
      <c r="E442" s="31">
        <v>0</v>
      </c>
      <c r="F442" s="31">
        <v>0</v>
      </c>
      <c r="G442" s="31">
        <v>366722.15</v>
      </c>
      <c r="H442" s="31"/>
      <c r="I442" s="31">
        <f t="shared" si="10"/>
        <v>366722.15</v>
      </c>
      <c r="K442" t="s">
        <v>38</v>
      </c>
    </row>
    <row r="443" spans="2:11" ht="33" x14ac:dyDescent="0.15">
      <c r="B443" s="30" t="s">
        <v>673</v>
      </c>
      <c r="C443" s="30" t="s">
        <v>64</v>
      </c>
      <c r="D443" s="31"/>
      <c r="E443" s="31">
        <v>0</v>
      </c>
      <c r="F443" s="31">
        <v>0</v>
      </c>
      <c r="G443" s="31">
        <v>717950.22</v>
      </c>
      <c r="H443" s="31"/>
      <c r="I443" s="31">
        <f t="shared" si="10"/>
        <v>717950.22</v>
      </c>
      <c r="K443" t="s">
        <v>38</v>
      </c>
    </row>
    <row r="444" spans="2:11" ht="13" x14ac:dyDescent="0.15">
      <c r="B444" s="27" t="s">
        <v>674</v>
      </c>
      <c r="C444" s="27" t="s">
        <v>675</v>
      </c>
      <c r="D444" s="29"/>
      <c r="E444" s="28">
        <f>SUMIFS(E445:E1509,K445:K1509,"0",B445:B1509,"4 2 1 4*")-SUMIFS(D445:D1509,K445:K1509,"0",B445:B1509,"4 2 1 4*")</f>
        <v>0</v>
      </c>
      <c r="F444" s="28">
        <f>SUMIFS(F445:F1509,K445:K1509,"0",B445:B1509,"4 2 1 4*")</f>
        <v>0</v>
      </c>
      <c r="G444" s="28">
        <f>SUMIFS(G445:G1509,K445:K1509,"0",B445:B1509,"4 2 1 4*")</f>
        <v>1477689.68</v>
      </c>
      <c r="H444" s="28"/>
      <c r="I444" s="28">
        <f t="shared" si="10"/>
        <v>1477689.68</v>
      </c>
      <c r="K444" t="s">
        <v>15</v>
      </c>
    </row>
    <row r="445" spans="2:11" ht="13" x14ac:dyDescent="0.15">
      <c r="B445" s="27" t="s">
        <v>676</v>
      </c>
      <c r="C445" s="27" t="s">
        <v>675</v>
      </c>
      <c r="D445" s="29"/>
      <c r="E445" s="28">
        <f>SUMIFS(E446:E1509,K446:K1509,"0",B446:B1509,"4 2 1 4 1*")-SUMIFS(D446:D1509,K446:K1509,"0",B446:B1509,"4 2 1 4 1*")</f>
        <v>0</v>
      </c>
      <c r="F445" s="28">
        <f>SUMIFS(F446:F1509,K446:K1509,"0",B446:B1509,"4 2 1 4 1*")</f>
        <v>0</v>
      </c>
      <c r="G445" s="28">
        <f>SUMIFS(G446:G1509,K446:K1509,"0",B446:B1509,"4 2 1 4 1*")</f>
        <v>1477689.68</v>
      </c>
      <c r="H445" s="28"/>
      <c r="I445" s="28">
        <f t="shared" si="10"/>
        <v>1477689.68</v>
      </c>
      <c r="K445" t="s">
        <v>15</v>
      </c>
    </row>
    <row r="446" spans="2:11" ht="13" x14ac:dyDescent="0.15">
      <c r="B446" s="27" t="s">
        <v>677</v>
      </c>
      <c r="C446" s="27" t="s">
        <v>26</v>
      </c>
      <c r="D446" s="29"/>
      <c r="E446" s="28">
        <f>SUMIFS(E447:E1509,K447:K1509,"0",B447:B1509,"4 2 1 4 1 12*")-SUMIFS(D447:D1509,K447:K1509,"0",B447:B1509,"4 2 1 4 1 12*")</f>
        <v>0</v>
      </c>
      <c r="F446" s="28">
        <f>SUMIFS(F447:F1509,K447:K1509,"0",B447:B1509,"4 2 1 4 1 12*")</f>
        <v>0</v>
      </c>
      <c r="G446" s="28">
        <f>SUMIFS(G447:G1509,K447:K1509,"0",B447:B1509,"4 2 1 4 1 12*")</f>
        <v>1477689.68</v>
      </c>
      <c r="H446" s="28"/>
      <c r="I446" s="28">
        <f t="shared" si="10"/>
        <v>1477689.68</v>
      </c>
      <c r="K446" t="s">
        <v>15</v>
      </c>
    </row>
    <row r="447" spans="2:11" ht="13" x14ac:dyDescent="0.15">
      <c r="B447" s="27" t="s">
        <v>678</v>
      </c>
      <c r="C447" s="27" t="s">
        <v>28</v>
      </c>
      <c r="D447" s="29"/>
      <c r="E447" s="28">
        <f>SUMIFS(E448:E1509,K448:K1509,"0",B448:B1509,"4 2 1 4 1 12 31111*")-SUMIFS(D448:D1509,K448:K1509,"0",B448:B1509,"4 2 1 4 1 12 31111*")</f>
        <v>0</v>
      </c>
      <c r="F447" s="28">
        <f>SUMIFS(F448:F1509,K448:K1509,"0",B448:B1509,"4 2 1 4 1 12 31111*")</f>
        <v>0</v>
      </c>
      <c r="G447" s="28">
        <f>SUMIFS(G448:G1509,K448:K1509,"0",B448:B1509,"4 2 1 4 1 12 31111*")</f>
        <v>1477689.68</v>
      </c>
      <c r="H447" s="28"/>
      <c r="I447" s="28">
        <f t="shared" si="10"/>
        <v>1477689.68</v>
      </c>
      <c r="K447" t="s">
        <v>15</v>
      </c>
    </row>
    <row r="448" spans="2:11" ht="13" x14ac:dyDescent="0.15">
      <c r="B448" s="27" t="s">
        <v>679</v>
      </c>
      <c r="C448" s="27" t="s">
        <v>680</v>
      </c>
      <c r="D448" s="29"/>
      <c r="E448" s="28">
        <f>SUMIFS(E449:E1509,K449:K1509,"0",B449:B1509,"4 2 1 4 1 12 31111 6*")-SUMIFS(D449:D1509,K449:K1509,"0",B449:B1509,"4 2 1 4 1 12 31111 6*")</f>
        <v>0</v>
      </c>
      <c r="F448" s="28">
        <f>SUMIFS(F449:F1509,K449:K1509,"0",B449:B1509,"4 2 1 4 1 12 31111 6*")</f>
        <v>0</v>
      </c>
      <c r="G448" s="28">
        <f>SUMIFS(G449:G1509,K449:K1509,"0",B449:B1509,"4 2 1 4 1 12 31111 6*")</f>
        <v>1477689.68</v>
      </c>
      <c r="H448" s="28"/>
      <c r="I448" s="28">
        <f t="shared" si="10"/>
        <v>1477689.68</v>
      </c>
      <c r="K448" t="s">
        <v>15</v>
      </c>
    </row>
    <row r="449" spans="2:11" ht="13" x14ac:dyDescent="0.15">
      <c r="B449" s="27" t="s">
        <v>681</v>
      </c>
      <c r="C449" s="27" t="s">
        <v>682</v>
      </c>
      <c r="D449" s="29"/>
      <c r="E449" s="28">
        <f>SUMIFS(E450:E1509,K450:K1509,"0",B450:B1509,"4 2 1 4 1 12 31111 6 M78*")-SUMIFS(D450:D1509,K450:K1509,"0",B450:B1509,"4 2 1 4 1 12 31111 6 M78*")</f>
        <v>0</v>
      </c>
      <c r="F449" s="28">
        <f>SUMIFS(F450:F1509,K450:K1509,"0",B450:B1509,"4 2 1 4 1 12 31111 6 M78*")</f>
        <v>0</v>
      </c>
      <c r="G449" s="28">
        <f>SUMIFS(G450:G1509,K450:K1509,"0",B450:B1509,"4 2 1 4 1 12 31111 6 M78*")</f>
        <v>1477689.68</v>
      </c>
      <c r="H449" s="28"/>
      <c r="I449" s="28">
        <f t="shared" si="10"/>
        <v>1477689.68</v>
      </c>
      <c r="K449" t="s">
        <v>15</v>
      </c>
    </row>
    <row r="450" spans="2:11" ht="13" x14ac:dyDescent="0.15">
      <c r="B450" s="27" t="s">
        <v>683</v>
      </c>
      <c r="C450" s="27" t="s">
        <v>8</v>
      </c>
      <c r="D450" s="29"/>
      <c r="E450" s="28">
        <f>SUMIFS(E451:E1509,K451:K1509,"0",B451:B1509,"4 2 1 4 1 12 31111 6 M78 07000*")-SUMIFS(D451:D1509,K451:K1509,"0",B451:B1509,"4 2 1 4 1 12 31111 6 M78 07000*")</f>
        <v>0</v>
      </c>
      <c r="F450" s="28">
        <f>SUMIFS(F451:F1509,K451:K1509,"0",B451:B1509,"4 2 1 4 1 12 31111 6 M78 07000*")</f>
        <v>0</v>
      </c>
      <c r="G450" s="28">
        <f>SUMIFS(G451:G1509,K451:K1509,"0",B451:B1509,"4 2 1 4 1 12 31111 6 M78 07000*")</f>
        <v>1477689.68</v>
      </c>
      <c r="H450" s="28"/>
      <c r="I450" s="28">
        <f t="shared" si="10"/>
        <v>1477689.68</v>
      </c>
      <c r="K450" t="s">
        <v>15</v>
      </c>
    </row>
    <row r="451" spans="2:11" ht="13" x14ac:dyDescent="0.15">
      <c r="B451" s="27" t="s">
        <v>684</v>
      </c>
      <c r="C451" s="27" t="s">
        <v>168</v>
      </c>
      <c r="D451" s="29"/>
      <c r="E451" s="28">
        <f>SUMIFS(E452:E1509,K452:K1509,"0",B452:B1509,"4 2 1 4 1 12 31111 6 M78 07000 151*")-SUMIFS(D452:D1509,K452:K1509,"0",B452:B1509,"4 2 1 4 1 12 31111 6 M78 07000 151*")</f>
        <v>0</v>
      </c>
      <c r="F451" s="28">
        <f>SUMIFS(F452:F1509,K452:K1509,"0",B452:B1509,"4 2 1 4 1 12 31111 6 M78 07000 151*")</f>
        <v>0</v>
      </c>
      <c r="G451" s="28">
        <f>SUMIFS(G452:G1509,K452:K1509,"0",B452:B1509,"4 2 1 4 1 12 31111 6 M78 07000 151*")</f>
        <v>1477689.68</v>
      </c>
      <c r="H451" s="28"/>
      <c r="I451" s="28">
        <f t="shared" si="10"/>
        <v>1477689.68</v>
      </c>
      <c r="K451" t="s">
        <v>15</v>
      </c>
    </row>
    <row r="452" spans="2:11" ht="13" x14ac:dyDescent="0.15">
      <c r="B452" s="27" t="s">
        <v>685</v>
      </c>
      <c r="C452" s="27" t="s">
        <v>170</v>
      </c>
      <c r="D452" s="29"/>
      <c r="E452" s="28">
        <f>SUMIFS(E453:E1509,K453:K1509,"0",B453:B1509,"4 2 1 4 1 12 31111 6 M78 07000 151 00C*")-SUMIFS(D453:D1509,K453:K1509,"0",B453:B1509,"4 2 1 4 1 12 31111 6 M78 07000 151 00C*")</f>
        <v>0</v>
      </c>
      <c r="F452" s="28">
        <f>SUMIFS(F453:F1509,K453:K1509,"0",B453:B1509,"4 2 1 4 1 12 31111 6 M78 07000 151 00C*")</f>
        <v>0</v>
      </c>
      <c r="G452" s="28">
        <f>SUMIFS(G453:G1509,K453:K1509,"0",B453:B1509,"4 2 1 4 1 12 31111 6 M78 07000 151 00C*")</f>
        <v>1477689.68</v>
      </c>
      <c r="H452" s="28"/>
      <c r="I452" s="28">
        <f t="shared" si="10"/>
        <v>1477689.68</v>
      </c>
      <c r="K452" t="s">
        <v>15</v>
      </c>
    </row>
    <row r="453" spans="2:11" ht="22" x14ac:dyDescent="0.15">
      <c r="B453" s="27" t="s">
        <v>686</v>
      </c>
      <c r="C453" s="27" t="s">
        <v>9</v>
      </c>
      <c r="D453" s="29"/>
      <c r="E453" s="28">
        <f>SUMIFS(E454:E1509,K454:K1509,"0",B454:B1509,"4 2 1 4 1 12 31111 6 M78 07000 151 00C 001*")-SUMIFS(D454:D1509,K454:K1509,"0",B454:B1509,"4 2 1 4 1 12 31111 6 M78 07000 151 00C 001*")</f>
        <v>0</v>
      </c>
      <c r="F453" s="28">
        <f>SUMIFS(F454:F1509,K454:K1509,"0",B454:B1509,"4 2 1 4 1 12 31111 6 M78 07000 151 00C 001*")</f>
        <v>0</v>
      </c>
      <c r="G453" s="28">
        <f>SUMIFS(G454:G1509,K454:K1509,"0",B454:B1509,"4 2 1 4 1 12 31111 6 M78 07000 151 00C 001*")</f>
        <v>1477689.68</v>
      </c>
      <c r="H453" s="28"/>
      <c r="I453" s="28">
        <f t="shared" si="10"/>
        <v>1477689.68</v>
      </c>
      <c r="K453" t="s">
        <v>15</v>
      </c>
    </row>
    <row r="454" spans="2:11" ht="22" x14ac:dyDescent="0.15">
      <c r="B454" s="27" t="s">
        <v>687</v>
      </c>
      <c r="C454" s="27" t="s">
        <v>675</v>
      </c>
      <c r="D454" s="29"/>
      <c r="E454" s="28">
        <f>SUMIFS(E455:E1509,K455:K1509,"0",B455:B1509,"4 2 1 4 1 12 31111 6 M78 07000 151 00C 001 00084*")-SUMIFS(D455:D1509,K455:K1509,"0",B455:B1509,"4 2 1 4 1 12 31111 6 M78 07000 151 00C 001 00084*")</f>
        <v>0</v>
      </c>
      <c r="F454" s="28">
        <f>SUMIFS(F455:F1509,K455:K1509,"0",B455:B1509,"4 2 1 4 1 12 31111 6 M78 07000 151 00C 001 00084*")</f>
        <v>0</v>
      </c>
      <c r="G454" s="28">
        <f>SUMIFS(G455:G1509,K455:K1509,"0",B455:B1509,"4 2 1 4 1 12 31111 6 M78 07000 151 00C 001 00084*")</f>
        <v>1477689.68</v>
      </c>
      <c r="H454" s="28"/>
      <c r="I454" s="28">
        <f t="shared" si="10"/>
        <v>1477689.68</v>
      </c>
      <c r="K454" t="s">
        <v>15</v>
      </c>
    </row>
    <row r="455" spans="2:11" ht="22" x14ac:dyDescent="0.15">
      <c r="B455" s="27" t="s">
        <v>688</v>
      </c>
      <c r="C455" s="27" t="s">
        <v>176</v>
      </c>
      <c r="D455" s="29"/>
      <c r="E455" s="28">
        <f>SUMIFS(E456:E1509,K456:K1509,"0",B456:B1509,"4 2 1 4 1 12 31111 6 M78 07000 151 00C 001 00084 015*")-SUMIFS(D456:D1509,K456:K1509,"0",B456:B1509,"4 2 1 4 1 12 31111 6 M78 07000 151 00C 001 00084 015*")</f>
        <v>0</v>
      </c>
      <c r="F455" s="28">
        <f>SUMIFS(F456:F1509,K456:K1509,"0",B456:B1509,"4 2 1 4 1 12 31111 6 M78 07000 151 00C 001 00084 015*")</f>
        <v>0</v>
      </c>
      <c r="G455" s="28">
        <f>SUMIFS(G456:G1509,K456:K1509,"0",B456:B1509,"4 2 1 4 1 12 31111 6 M78 07000 151 00C 001 00084 015*")</f>
        <v>1477689.68</v>
      </c>
      <c r="H455" s="28"/>
      <c r="I455" s="28">
        <f t="shared" si="10"/>
        <v>1477689.68</v>
      </c>
      <c r="K455" t="s">
        <v>15</v>
      </c>
    </row>
    <row r="456" spans="2:11" ht="22" x14ac:dyDescent="0.15">
      <c r="B456" s="27" t="s">
        <v>689</v>
      </c>
      <c r="C456" s="27" t="s">
        <v>652</v>
      </c>
      <c r="D456" s="29"/>
      <c r="E456" s="28">
        <f>SUMIFS(E457:E1509,K457:K1509,"0",B457:B1509,"4 2 1 4 1 12 31111 6 M78 07000 151 00C 001 00084 015 1190000*")-SUMIFS(D457:D1509,K457:K1509,"0",B457:B1509,"4 2 1 4 1 12 31111 6 M78 07000 151 00C 001 00084 015 1190000*")</f>
        <v>0</v>
      </c>
      <c r="F456" s="28">
        <f>SUMIFS(F457:F1509,K457:K1509,"0",B457:B1509,"4 2 1 4 1 12 31111 6 M78 07000 151 00C 001 00084 015 1190000*")</f>
        <v>0</v>
      </c>
      <c r="G456" s="28">
        <f>SUMIFS(G457:G1509,K457:K1509,"0",B457:B1509,"4 2 1 4 1 12 31111 6 M78 07000 151 00C 001 00084 015 1190000*")</f>
        <v>1477689.68</v>
      </c>
      <c r="H456" s="28"/>
      <c r="I456" s="28">
        <f t="shared" si="10"/>
        <v>1477689.68</v>
      </c>
      <c r="K456" t="s">
        <v>15</v>
      </c>
    </row>
    <row r="457" spans="2:11" ht="22" x14ac:dyDescent="0.15">
      <c r="B457" s="27" t="s">
        <v>690</v>
      </c>
      <c r="C457" s="27" t="s">
        <v>248</v>
      </c>
      <c r="D457" s="29"/>
      <c r="E457" s="28">
        <f>SUMIFS(E458:E1509,K458:K1509,"0",B458:B1509,"4 2 1 4 1 12 31111 6 M78 07000 151 00C 001 00084 015 1190000 2024*")-SUMIFS(D458:D1509,K458:K1509,"0",B458:B1509,"4 2 1 4 1 12 31111 6 M78 07000 151 00C 001 00084 015 1190000 2024*")</f>
        <v>0</v>
      </c>
      <c r="F457" s="28">
        <f>SUMIFS(F458:F1509,K458:K1509,"0",B458:B1509,"4 2 1 4 1 12 31111 6 M78 07000 151 00C 001 00084 015 1190000 2024*")</f>
        <v>0</v>
      </c>
      <c r="G457" s="28">
        <f>SUMIFS(G458:G1509,K458:K1509,"0",B458:B1509,"4 2 1 4 1 12 31111 6 M78 07000 151 00C 001 00084 015 1190000 2024*")</f>
        <v>1477689.68</v>
      </c>
      <c r="H457" s="28"/>
      <c r="I457" s="28">
        <f t="shared" si="10"/>
        <v>1477689.68</v>
      </c>
      <c r="K457" t="s">
        <v>15</v>
      </c>
    </row>
    <row r="458" spans="2:11" ht="22" x14ac:dyDescent="0.15">
      <c r="B458" s="27" t="s">
        <v>691</v>
      </c>
      <c r="C458" s="27" t="s">
        <v>182</v>
      </c>
      <c r="D458" s="29"/>
      <c r="E458" s="28">
        <f>SUMIFS(E459:E1509,K459:K1509,"0",B459:B1509,"4 2 1 4 1 12 31111 6 M78 07000 151 00C 001 00084 015 1190000 2024 00000000*")-SUMIFS(D459:D1509,K459:K1509,"0",B459:B1509,"4 2 1 4 1 12 31111 6 M78 07000 151 00C 001 00084 015 1190000 2024 00000000*")</f>
        <v>0</v>
      </c>
      <c r="F458" s="28">
        <f>SUMIFS(F459:F1509,K459:K1509,"0",B459:B1509,"4 2 1 4 1 12 31111 6 M78 07000 151 00C 001 00084 015 1190000 2024 00000000*")</f>
        <v>0</v>
      </c>
      <c r="G458" s="28">
        <f>SUMIFS(G459:G1509,K459:K1509,"0",B459:B1509,"4 2 1 4 1 12 31111 6 M78 07000 151 00C 001 00084 015 1190000 2024 00000000*")</f>
        <v>1477689.68</v>
      </c>
      <c r="H458" s="28"/>
      <c r="I458" s="28">
        <f t="shared" si="10"/>
        <v>1477689.68</v>
      </c>
      <c r="K458" t="s">
        <v>15</v>
      </c>
    </row>
    <row r="459" spans="2:11" ht="33" x14ac:dyDescent="0.15">
      <c r="B459" s="27" t="s">
        <v>692</v>
      </c>
      <c r="C459" s="27" t="s">
        <v>9</v>
      </c>
      <c r="D459" s="29"/>
      <c r="E459" s="28">
        <f>SUMIFS(E460:E1509,K460:K1509,"0",B460:B1509,"4 2 1 4 1 12 31111 6 M78 07000 151 00C 001 00084 015 1190000 2024 00000000 001*")-SUMIFS(D460:D1509,K460:K1509,"0",B460:B1509,"4 2 1 4 1 12 31111 6 M78 07000 151 00C 001 00084 015 1190000 2024 00000000 001*")</f>
        <v>0</v>
      </c>
      <c r="F459" s="28">
        <f>SUMIFS(F460:F1509,K460:K1509,"0",B460:B1509,"4 2 1 4 1 12 31111 6 M78 07000 151 00C 001 00084 015 1190000 2024 00000000 001*")</f>
        <v>0</v>
      </c>
      <c r="G459" s="28">
        <f>SUMIFS(G460:G1509,K460:K1509,"0",B460:B1509,"4 2 1 4 1 12 31111 6 M78 07000 151 00C 001 00084 015 1190000 2024 00000000 001*")</f>
        <v>1477689.68</v>
      </c>
      <c r="H459" s="28"/>
      <c r="I459" s="28">
        <f t="shared" si="10"/>
        <v>1477689.68</v>
      </c>
      <c r="K459" t="s">
        <v>15</v>
      </c>
    </row>
    <row r="460" spans="2:11" ht="33" x14ac:dyDescent="0.15">
      <c r="B460" s="30" t="s">
        <v>693</v>
      </c>
      <c r="C460" s="30" t="s">
        <v>595</v>
      </c>
      <c r="D460" s="31"/>
      <c r="E460" s="31">
        <v>0</v>
      </c>
      <c r="F460" s="31">
        <v>0</v>
      </c>
      <c r="G460" s="31">
        <v>1462359</v>
      </c>
      <c r="H460" s="31"/>
      <c r="I460" s="31">
        <f t="shared" si="10"/>
        <v>1462359</v>
      </c>
      <c r="K460" t="s">
        <v>38</v>
      </c>
    </row>
    <row r="461" spans="2:11" ht="33" x14ac:dyDescent="0.15">
      <c r="B461" s="30" t="s">
        <v>694</v>
      </c>
      <c r="C461" s="30" t="s">
        <v>695</v>
      </c>
      <c r="D461" s="31"/>
      <c r="E461" s="31">
        <v>0</v>
      </c>
      <c r="F461" s="31">
        <v>0</v>
      </c>
      <c r="G461" s="31">
        <v>15330.68</v>
      </c>
      <c r="H461" s="31"/>
      <c r="I461" s="31">
        <f t="shared" si="10"/>
        <v>15330.68</v>
      </c>
      <c r="K461" t="s">
        <v>38</v>
      </c>
    </row>
    <row r="462" spans="2:11" ht="22" x14ac:dyDescent="0.15">
      <c r="B462" s="27" t="s">
        <v>696</v>
      </c>
      <c r="C462" s="27" t="s">
        <v>697</v>
      </c>
      <c r="D462" s="29"/>
      <c r="E462" s="28">
        <f>SUMIFS(E463:E1509,K463:K1509,"0",B463:B1509,"4 2 2*")-SUMIFS(D463:D1509,K463:K1509,"0",B463:B1509,"4 2 2*")</f>
        <v>0</v>
      </c>
      <c r="F462" s="28">
        <f>SUMIFS(F463:F1509,K463:K1509,"0",B463:B1509,"4 2 2*")</f>
        <v>0</v>
      </c>
      <c r="G462" s="28">
        <f>SUMIFS(G463:G1509,K463:K1509,"0",B463:B1509,"4 2 2*")</f>
        <v>733467</v>
      </c>
      <c r="H462" s="28"/>
      <c r="I462" s="28">
        <f t="shared" si="10"/>
        <v>733467</v>
      </c>
      <c r="K462" t="s">
        <v>15</v>
      </c>
    </row>
    <row r="463" spans="2:11" ht="13" x14ac:dyDescent="0.15">
      <c r="B463" s="27" t="s">
        <v>698</v>
      </c>
      <c r="C463" s="27" t="s">
        <v>699</v>
      </c>
      <c r="D463" s="29"/>
      <c r="E463" s="28">
        <f>SUMIFS(E464:E1509,K464:K1509,"0",B464:B1509,"4 2 2 3*")-SUMIFS(D464:D1509,K464:K1509,"0",B464:B1509,"4 2 2 3*")</f>
        <v>0</v>
      </c>
      <c r="F463" s="28">
        <f>SUMIFS(F464:F1509,K464:K1509,"0",B464:B1509,"4 2 2 3*")</f>
        <v>0</v>
      </c>
      <c r="G463" s="28">
        <f>SUMIFS(G464:G1509,K464:K1509,"0",B464:B1509,"4 2 2 3*")</f>
        <v>733467</v>
      </c>
      <c r="H463" s="28"/>
      <c r="I463" s="28">
        <f t="shared" si="10"/>
        <v>733467</v>
      </c>
      <c r="K463" t="s">
        <v>15</v>
      </c>
    </row>
    <row r="464" spans="2:11" ht="13" x14ac:dyDescent="0.15">
      <c r="B464" s="27" t="s">
        <v>700</v>
      </c>
      <c r="C464" s="27" t="s">
        <v>699</v>
      </c>
      <c r="D464" s="29"/>
      <c r="E464" s="28">
        <f>SUMIFS(E465:E1509,K465:K1509,"0",B465:B1509,"4 2 2 3 1*")-SUMIFS(D465:D1509,K465:K1509,"0",B465:B1509,"4 2 2 3 1*")</f>
        <v>0</v>
      </c>
      <c r="F464" s="28">
        <f>SUMIFS(F465:F1509,K465:K1509,"0",B465:B1509,"4 2 2 3 1*")</f>
        <v>0</v>
      </c>
      <c r="G464" s="28">
        <f>SUMIFS(G465:G1509,K465:K1509,"0",B465:B1509,"4 2 2 3 1*")</f>
        <v>733467</v>
      </c>
      <c r="H464" s="28"/>
      <c r="I464" s="28">
        <f t="shared" si="10"/>
        <v>733467</v>
      </c>
      <c r="K464" t="s">
        <v>15</v>
      </c>
    </row>
    <row r="465" spans="2:11" ht="13" x14ac:dyDescent="0.15">
      <c r="B465" s="27" t="s">
        <v>701</v>
      </c>
      <c r="C465" s="27" t="s">
        <v>26</v>
      </c>
      <c r="D465" s="29"/>
      <c r="E465" s="28">
        <f>SUMIFS(E466:E1509,K466:K1509,"0",B466:B1509,"4 2 2 3 1 12*")-SUMIFS(D466:D1509,K466:K1509,"0",B466:B1509,"4 2 2 3 1 12*")</f>
        <v>0</v>
      </c>
      <c r="F465" s="28">
        <f>SUMIFS(F466:F1509,K466:K1509,"0",B466:B1509,"4 2 2 3 1 12*")</f>
        <v>0</v>
      </c>
      <c r="G465" s="28">
        <f>SUMIFS(G466:G1509,K466:K1509,"0",B466:B1509,"4 2 2 3 1 12*")</f>
        <v>733467</v>
      </c>
      <c r="H465" s="28"/>
      <c r="I465" s="28">
        <f t="shared" si="10"/>
        <v>733467</v>
      </c>
      <c r="K465" t="s">
        <v>15</v>
      </c>
    </row>
    <row r="466" spans="2:11" ht="13" x14ac:dyDescent="0.15">
      <c r="B466" s="27" t="s">
        <v>702</v>
      </c>
      <c r="C466" s="27" t="s">
        <v>28</v>
      </c>
      <c r="D466" s="29"/>
      <c r="E466" s="28">
        <f>SUMIFS(E467:E1509,K467:K1509,"0",B467:B1509,"4 2 2 3 1 12 31111*")-SUMIFS(D467:D1509,K467:K1509,"0",B467:B1509,"4 2 2 3 1 12 31111*")</f>
        <v>0</v>
      </c>
      <c r="F466" s="28">
        <f>SUMIFS(F467:F1509,K467:K1509,"0",B467:B1509,"4 2 2 3 1 12 31111*")</f>
        <v>0</v>
      </c>
      <c r="G466" s="28">
        <f>SUMIFS(G467:G1509,K467:K1509,"0",B467:B1509,"4 2 2 3 1 12 31111*")</f>
        <v>733467</v>
      </c>
      <c r="H466" s="28"/>
      <c r="I466" s="28">
        <f t="shared" si="10"/>
        <v>733467</v>
      </c>
      <c r="K466" t="s">
        <v>15</v>
      </c>
    </row>
    <row r="467" spans="2:11" ht="13" x14ac:dyDescent="0.15">
      <c r="B467" s="27" t="s">
        <v>703</v>
      </c>
      <c r="C467" s="27" t="s">
        <v>30</v>
      </c>
      <c r="D467" s="29"/>
      <c r="E467" s="28">
        <f>SUMIFS(E468:E1509,K468:K1509,"0",B468:B1509,"4 2 2 3 1 12 31111 6*")-SUMIFS(D468:D1509,K468:K1509,"0",B468:B1509,"4 2 2 3 1 12 31111 6*")</f>
        <v>0</v>
      </c>
      <c r="F467" s="28">
        <f>SUMIFS(F468:F1509,K468:K1509,"0",B468:B1509,"4 2 2 3 1 12 31111 6*")</f>
        <v>0</v>
      </c>
      <c r="G467" s="28">
        <f>SUMIFS(G468:G1509,K468:K1509,"0",B468:B1509,"4 2 2 3 1 12 31111 6*")</f>
        <v>733467</v>
      </c>
      <c r="H467" s="28"/>
      <c r="I467" s="28">
        <f t="shared" si="10"/>
        <v>733467</v>
      </c>
      <c r="K467" t="s">
        <v>15</v>
      </c>
    </row>
    <row r="468" spans="2:11" ht="13" x14ac:dyDescent="0.15">
      <c r="B468" s="27" t="s">
        <v>704</v>
      </c>
      <c r="C468" s="27" t="s">
        <v>32</v>
      </c>
      <c r="D468" s="29"/>
      <c r="E468" s="28">
        <f>SUMIFS(E469:E1509,K469:K1509,"0",B469:B1509,"4 2 2 3 1 12 31111 6 M78*")-SUMIFS(D469:D1509,K469:K1509,"0",B469:B1509,"4 2 2 3 1 12 31111 6 M78*")</f>
        <v>0</v>
      </c>
      <c r="F468" s="28">
        <f>SUMIFS(F469:F1509,K469:K1509,"0",B469:B1509,"4 2 2 3 1 12 31111 6 M78*")</f>
        <v>0</v>
      </c>
      <c r="G468" s="28">
        <f>SUMIFS(G469:G1509,K469:K1509,"0",B469:B1509,"4 2 2 3 1 12 31111 6 M78*")</f>
        <v>733467</v>
      </c>
      <c r="H468" s="28"/>
      <c r="I468" s="28">
        <f t="shared" si="10"/>
        <v>733467</v>
      </c>
      <c r="K468" t="s">
        <v>15</v>
      </c>
    </row>
    <row r="469" spans="2:11" ht="13" x14ac:dyDescent="0.15">
      <c r="B469" s="27" t="s">
        <v>705</v>
      </c>
      <c r="C469" s="27" t="s">
        <v>8</v>
      </c>
      <c r="D469" s="29"/>
      <c r="E469" s="28">
        <f>SUMIFS(E470:E1509,K470:K1509,"0",B470:B1509,"4 2 2 3 1 12 31111 6 M78 07000*")-SUMIFS(D470:D1509,K470:K1509,"0",B470:B1509,"4 2 2 3 1 12 31111 6 M78 07000*")</f>
        <v>0</v>
      </c>
      <c r="F469" s="28">
        <f>SUMIFS(F470:F1509,K470:K1509,"0",B470:B1509,"4 2 2 3 1 12 31111 6 M78 07000*")</f>
        <v>0</v>
      </c>
      <c r="G469" s="28">
        <f>SUMIFS(G470:G1509,K470:K1509,"0",B470:B1509,"4 2 2 3 1 12 31111 6 M78 07000*")</f>
        <v>733467</v>
      </c>
      <c r="H469" s="28"/>
      <c r="I469" s="28">
        <f t="shared" si="10"/>
        <v>733467</v>
      </c>
      <c r="K469" t="s">
        <v>15</v>
      </c>
    </row>
    <row r="470" spans="2:11" ht="13" x14ac:dyDescent="0.15">
      <c r="B470" s="27" t="s">
        <v>706</v>
      </c>
      <c r="C470" s="27" t="s">
        <v>168</v>
      </c>
      <c r="D470" s="29"/>
      <c r="E470" s="28">
        <f>SUMIFS(E471:E1509,K471:K1509,"0",B471:B1509,"4 2 2 3 1 12 31111 6 M78 07000 151*")-SUMIFS(D471:D1509,K471:K1509,"0",B471:B1509,"4 2 2 3 1 12 31111 6 M78 07000 151*")</f>
        <v>0</v>
      </c>
      <c r="F470" s="28">
        <f>SUMIFS(F471:F1509,K471:K1509,"0",B471:B1509,"4 2 2 3 1 12 31111 6 M78 07000 151*")</f>
        <v>0</v>
      </c>
      <c r="G470" s="28">
        <f>SUMIFS(G471:G1509,K471:K1509,"0",B471:B1509,"4 2 2 3 1 12 31111 6 M78 07000 151*")</f>
        <v>733467</v>
      </c>
      <c r="H470" s="28"/>
      <c r="I470" s="28">
        <f t="shared" si="10"/>
        <v>733467</v>
      </c>
      <c r="K470" t="s">
        <v>15</v>
      </c>
    </row>
    <row r="471" spans="2:11" ht="13" x14ac:dyDescent="0.15">
      <c r="B471" s="27" t="s">
        <v>707</v>
      </c>
      <c r="C471" s="27" t="s">
        <v>170</v>
      </c>
      <c r="D471" s="29"/>
      <c r="E471" s="28">
        <f>SUMIFS(E472:E1509,K472:K1509,"0",B472:B1509,"4 2 2 3 1 12 31111 6 M78 07000 151 00C*")-SUMIFS(D472:D1509,K472:K1509,"0",B472:B1509,"4 2 2 3 1 12 31111 6 M78 07000 151 00C*")</f>
        <v>0</v>
      </c>
      <c r="F471" s="28">
        <f>SUMIFS(F472:F1509,K472:K1509,"0",B472:B1509,"4 2 2 3 1 12 31111 6 M78 07000 151 00C*")</f>
        <v>0</v>
      </c>
      <c r="G471" s="28">
        <f>SUMIFS(G472:G1509,K472:K1509,"0",B472:B1509,"4 2 2 3 1 12 31111 6 M78 07000 151 00C*")</f>
        <v>733467</v>
      </c>
      <c r="H471" s="28"/>
      <c r="I471" s="28">
        <f t="shared" si="10"/>
        <v>733467</v>
      </c>
      <c r="K471" t="s">
        <v>15</v>
      </c>
    </row>
    <row r="472" spans="2:11" ht="22" x14ac:dyDescent="0.15">
      <c r="B472" s="27" t="s">
        <v>708</v>
      </c>
      <c r="C472" s="27" t="s">
        <v>9</v>
      </c>
      <c r="D472" s="29"/>
      <c r="E472" s="28">
        <f>SUMIFS(E473:E1509,K473:K1509,"0",B473:B1509,"4 2 2 3 1 12 31111 6 M78 07000 151 00C 001*")-SUMIFS(D473:D1509,K473:K1509,"0",B473:B1509,"4 2 2 3 1 12 31111 6 M78 07000 151 00C 001*")</f>
        <v>0</v>
      </c>
      <c r="F472" s="28">
        <f>SUMIFS(F473:F1509,K473:K1509,"0",B473:B1509,"4 2 2 3 1 12 31111 6 M78 07000 151 00C 001*")</f>
        <v>0</v>
      </c>
      <c r="G472" s="28">
        <f>SUMIFS(G473:G1509,K473:K1509,"0",B473:B1509,"4 2 2 3 1 12 31111 6 M78 07000 151 00C 001*")</f>
        <v>733467</v>
      </c>
      <c r="H472" s="28"/>
      <c r="I472" s="28">
        <f t="shared" ref="I472:I479" si="11">E472 - F472 + G472</f>
        <v>733467</v>
      </c>
      <c r="K472" t="s">
        <v>15</v>
      </c>
    </row>
    <row r="473" spans="2:11" ht="22" x14ac:dyDescent="0.15">
      <c r="B473" s="27" t="s">
        <v>709</v>
      </c>
      <c r="C473" s="27" t="s">
        <v>699</v>
      </c>
      <c r="D473" s="29"/>
      <c r="E473" s="28">
        <f>SUMIFS(E474:E1509,K474:K1509,"0",B474:B1509,"4 2 2 3 1 12 31111 6 M78 07000 151 00C 001 00093*")-SUMIFS(D474:D1509,K474:K1509,"0",B474:B1509,"4 2 2 3 1 12 31111 6 M78 07000 151 00C 001 00093*")</f>
        <v>0</v>
      </c>
      <c r="F473" s="28">
        <f>SUMIFS(F474:F1509,K474:K1509,"0",B474:B1509,"4 2 2 3 1 12 31111 6 M78 07000 151 00C 001 00093*")</f>
        <v>0</v>
      </c>
      <c r="G473" s="28">
        <f>SUMIFS(G474:G1509,K474:K1509,"0",B474:B1509,"4 2 2 3 1 12 31111 6 M78 07000 151 00C 001 00093*")</f>
        <v>733467</v>
      </c>
      <c r="H473" s="28"/>
      <c r="I473" s="28">
        <f t="shared" si="11"/>
        <v>733467</v>
      </c>
      <c r="K473" t="s">
        <v>15</v>
      </c>
    </row>
    <row r="474" spans="2:11" ht="22" x14ac:dyDescent="0.15">
      <c r="B474" s="27" t="s">
        <v>710</v>
      </c>
      <c r="C474" s="27" t="s">
        <v>711</v>
      </c>
      <c r="D474" s="29"/>
      <c r="E474" s="28">
        <f>SUMIFS(E475:E1509,K475:K1509,"0",B475:B1509,"4 2 2 3 1 12 31111 6 M78 07000 151 00C 001 00093 016*")-SUMIFS(D475:D1509,K475:K1509,"0",B475:B1509,"4 2 2 3 1 12 31111 6 M78 07000 151 00C 001 00093 016*")</f>
        <v>0</v>
      </c>
      <c r="F474" s="28">
        <f>SUMIFS(F475:F1509,K475:K1509,"0",B475:B1509,"4 2 2 3 1 12 31111 6 M78 07000 151 00C 001 00093 016*")</f>
        <v>0</v>
      </c>
      <c r="G474" s="28">
        <f>SUMIFS(G475:G1509,K475:K1509,"0",B475:B1509,"4 2 2 3 1 12 31111 6 M78 07000 151 00C 001 00093 016*")</f>
        <v>733467</v>
      </c>
      <c r="H474" s="28"/>
      <c r="I474" s="28">
        <f t="shared" si="11"/>
        <v>733467</v>
      </c>
      <c r="K474" t="s">
        <v>15</v>
      </c>
    </row>
    <row r="475" spans="2:11" ht="22" x14ac:dyDescent="0.15">
      <c r="B475" s="27" t="s">
        <v>712</v>
      </c>
      <c r="C475" s="27" t="s">
        <v>713</v>
      </c>
      <c r="D475" s="29"/>
      <c r="E475" s="28">
        <f>SUMIFS(E476:E1509,K476:K1509,"0",B476:B1509,"4 2 2 3 1 12 31111 6 M78 07000 151 00C 001 00093 016 1171000*")-SUMIFS(D476:D1509,K476:K1509,"0",B476:B1509,"4 2 2 3 1 12 31111 6 M78 07000 151 00C 001 00093 016 1171000*")</f>
        <v>0</v>
      </c>
      <c r="F475" s="28">
        <f>SUMIFS(F476:F1509,K476:K1509,"0",B476:B1509,"4 2 2 3 1 12 31111 6 M78 07000 151 00C 001 00093 016 1171000*")</f>
        <v>0</v>
      </c>
      <c r="G475" s="28">
        <f>SUMIFS(G476:G1509,K476:K1509,"0",B476:B1509,"4 2 2 3 1 12 31111 6 M78 07000 151 00C 001 00093 016 1171000*")</f>
        <v>733467</v>
      </c>
      <c r="H475" s="28"/>
      <c r="I475" s="28">
        <f t="shared" si="11"/>
        <v>733467</v>
      </c>
      <c r="K475" t="s">
        <v>15</v>
      </c>
    </row>
    <row r="476" spans="2:11" ht="22" x14ac:dyDescent="0.15">
      <c r="B476" s="27" t="s">
        <v>714</v>
      </c>
      <c r="C476" s="27" t="s">
        <v>248</v>
      </c>
      <c r="D476" s="29"/>
      <c r="E476" s="28">
        <f>SUMIFS(E477:E1509,K477:K1509,"0",B477:B1509,"4 2 2 3 1 12 31111 6 M78 07000 151 00C 001 00093 016 1171000 2024*")-SUMIFS(D477:D1509,K477:K1509,"0",B477:B1509,"4 2 2 3 1 12 31111 6 M78 07000 151 00C 001 00093 016 1171000 2024*")</f>
        <v>0</v>
      </c>
      <c r="F476" s="28">
        <f>SUMIFS(F477:F1509,K477:K1509,"0",B477:B1509,"4 2 2 3 1 12 31111 6 M78 07000 151 00C 001 00093 016 1171000 2024*")</f>
        <v>0</v>
      </c>
      <c r="G476" s="28">
        <f>SUMIFS(G477:G1509,K477:K1509,"0",B477:B1509,"4 2 2 3 1 12 31111 6 M78 07000 151 00C 001 00093 016 1171000 2024*")</f>
        <v>733467</v>
      </c>
      <c r="H476" s="28"/>
      <c r="I476" s="28">
        <f t="shared" si="11"/>
        <v>733467</v>
      </c>
      <c r="K476" t="s">
        <v>15</v>
      </c>
    </row>
    <row r="477" spans="2:11" ht="22" x14ac:dyDescent="0.15">
      <c r="B477" s="27" t="s">
        <v>715</v>
      </c>
      <c r="C477" s="27" t="s">
        <v>182</v>
      </c>
      <c r="D477" s="29"/>
      <c r="E477" s="28">
        <f>SUMIFS(E478:E1509,K478:K1509,"0",B478:B1509,"4 2 2 3 1 12 31111 6 M78 07000 151 00C 001 00093 016 1171000 2024 00000000*")-SUMIFS(D478:D1509,K478:K1509,"0",B478:B1509,"4 2 2 3 1 12 31111 6 M78 07000 151 00C 001 00093 016 1171000 2024 00000000*")</f>
        <v>0</v>
      </c>
      <c r="F477" s="28">
        <f>SUMIFS(F478:F1509,K478:K1509,"0",B478:B1509,"4 2 2 3 1 12 31111 6 M78 07000 151 00C 001 00093 016 1171000 2024 00000000*")</f>
        <v>0</v>
      </c>
      <c r="G477" s="28">
        <f>SUMIFS(G478:G1509,K478:K1509,"0",B478:B1509,"4 2 2 3 1 12 31111 6 M78 07000 151 00C 001 00093 016 1171000 2024 00000000*")</f>
        <v>733467</v>
      </c>
      <c r="H477" s="28"/>
      <c r="I477" s="28">
        <f t="shared" si="11"/>
        <v>733467</v>
      </c>
      <c r="K477" t="s">
        <v>15</v>
      </c>
    </row>
    <row r="478" spans="2:11" ht="33" x14ac:dyDescent="0.15">
      <c r="B478" s="27" t="s">
        <v>716</v>
      </c>
      <c r="C478" s="27" t="s">
        <v>9</v>
      </c>
      <c r="D478" s="29"/>
      <c r="E478" s="28">
        <f>SUMIFS(E479:E1509,K479:K1509,"0",B479:B1509,"4 2 2 3 1 12 31111 6 M78 07000 151 00C 001 00093 016 1171000 2024 00000000 001*")-SUMIFS(D479:D1509,K479:K1509,"0",B479:B1509,"4 2 2 3 1 12 31111 6 M78 07000 151 00C 001 00093 016 1171000 2024 00000000 001*")</f>
        <v>0</v>
      </c>
      <c r="F478" s="28">
        <f>SUMIFS(F479:F1509,K479:K1509,"0",B479:B1509,"4 2 2 3 1 12 31111 6 M78 07000 151 00C 001 00093 016 1171000 2024 00000000 001*")</f>
        <v>0</v>
      </c>
      <c r="G478" s="28">
        <f>SUMIFS(G479:G1509,K479:K1509,"0",B479:B1509,"4 2 2 3 1 12 31111 6 M78 07000 151 00C 001 00093 016 1171000 2024 00000000 001*")</f>
        <v>733467</v>
      </c>
      <c r="H478" s="28"/>
      <c r="I478" s="28">
        <f t="shared" si="11"/>
        <v>733467</v>
      </c>
      <c r="K478" t="s">
        <v>15</v>
      </c>
    </row>
    <row r="479" spans="2:11" ht="33" x14ac:dyDescent="0.15">
      <c r="B479" s="30" t="s">
        <v>717</v>
      </c>
      <c r="C479" s="30" t="s">
        <v>718</v>
      </c>
      <c r="D479" s="31"/>
      <c r="E479" s="31">
        <v>0</v>
      </c>
      <c r="F479" s="31">
        <v>0</v>
      </c>
      <c r="G479" s="31">
        <v>733467</v>
      </c>
      <c r="H479" s="31"/>
      <c r="I479" s="31">
        <f t="shared" si="11"/>
        <v>733467</v>
      </c>
      <c r="K479" t="s">
        <v>38</v>
      </c>
    </row>
    <row r="480" spans="2:11" ht="13" x14ac:dyDescent="0.15">
      <c r="B480" s="27" t="s">
        <v>719</v>
      </c>
      <c r="C480" s="27" t="s">
        <v>720</v>
      </c>
      <c r="D480" s="28">
        <f>SUMIFS(D481:D1509,K481:K1509,"0",B481:B1509,"5*")-SUMIFS(E481:E1509,K481:K1509,"0",B481:B1509,"5*")</f>
        <v>0</v>
      </c>
      <c r="E480" s="29"/>
      <c r="F480" s="28">
        <f>SUMIFS(F481:F1509,K481:K1509,"0",B481:B1509,"5*")</f>
        <v>13525946.01</v>
      </c>
      <c r="G480" s="28">
        <f>SUMIFS(G481:G1509,K481:K1509,"0",B481:B1509,"5*")</f>
        <v>0</v>
      </c>
      <c r="H480" s="28">
        <f t="shared" ref="H480:H543" si="12">D480 + F480 - G480</f>
        <v>13525946.01</v>
      </c>
      <c r="I480" s="28"/>
      <c r="K480" t="s">
        <v>15</v>
      </c>
    </row>
    <row r="481" spans="2:11" ht="13" x14ac:dyDescent="0.15">
      <c r="B481" s="27" t="s">
        <v>721</v>
      </c>
      <c r="C481" s="27" t="s">
        <v>722</v>
      </c>
      <c r="D481" s="28">
        <f>SUMIFS(D482:D1509,K482:K1509,"0",B482:B1509,"5 1*")-SUMIFS(E482:E1509,K482:K1509,"0",B482:B1509,"5 1*")</f>
        <v>0</v>
      </c>
      <c r="E481" s="29"/>
      <c r="F481" s="28">
        <f>SUMIFS(F482:F1509,K482:K1509,"0",B482:B1509,"5 1*")</f>
        <v>12154651.109999999</v>
      </c>
      <c r="G481" s="28">
        <f>SUMIFS(G482:G1509,K482:K1509,"0",B482:B1509,"5 1*")</f>
        <v>0</v>
      </c>
      <c r="H481" s="28">
        <f t="shared" si="12"/>
        <v>12154651.109999999</v>
      </c>
      <c r="I481" s="28"/>
      <c r="K481" t="s">
        <v>15</v>
      </c>
    </row>
    <row r="482" spans="2:11" ht="13" x14ac:dyDescent="0.15">
      <c r="B482" s="27" t="s">
        <v>723</v>
      </c>
      <c r="C482" s="27" t="s">
        <v>724</v>
      </c>
      <c r="D482" s="28">
        <f>SUMIFS(D483:D1509,K483:K1509,"0",B483:B1509,"5 1 1*")-SUMIFS(E483:E1509,K483:K1509,"0",B483:B1509,"5 1 1*")</f>
        <v>0</v>
      </c>
      <c r="E482" s="29"/>
      <c r="F482" s="28">
        <f>SUMIFS(F483:F1509,K483:K1509,"0",B483:B1509,"5 1 1*")</f>
        <v>6665791.1099999975</v>
      </c>
      <c r="G482" s="28">
        <f>SUMIFS(G483:G1509,K483:K1509,"0",B483:B1509,"5 1 1*")</f>
        <v>0</v>
      </c>
      <c r="H482" s="28">
        <f t="shared" si="12"/>
        <v>6665791.1099999975</v>
      </c>
      <c r="I482" s="28"/>
      <c r="K482" t="s">
        <v>15</v>
      </c>
    </row>
    <row r="483" spans="2:11" ht="13" x14ac:dyDescent="0.15">
      <c r="B483" s="27" t="s">
        <v>725</v>
      </c>
      <c r="C483" s="27" t="s">
        <v>726</v>
      </c>
      <c r="D483" s="28">
        <f>SUMIFS(D484:D1509,K484:K1509,"0",B484:B1509,"5 1 1 1*")-SUMIFS(E484:E1509,K484:K1509,"0",B484:B1509,"5 1 1 1*")</f>
        <v>0</v>
      </c>
      <c r="E483" s="29"/>
      <c r="F483" s="28">
        <f>SUMIFS(F484:F1509,K484:K1509,"0",B484:B1509,"5 1 1 1*")</f>
        <v>4616315.8199999994</v>
      </c>
      <c r="G483" s="28">
        <f>SUMIFS(G484:G1509,K484:K1509,"0",B484:B1509,"5 1 1 1*")</f>
        <v>0</v>
      </c>
      <c r="H483" s="28">
        <f t="shared" si="12"/>
        <v>4616315.8199999994</v>
      </c>
      <c r="I483" s="28"/>
      <c r="K483" t="s">
        <v>15</v>
      </c>
    </row>
    <row r="484" spans="2:11" ht="13" x14ac:dyDescent="0.15">
      <c r="B484" s="27" t="s">
        <v>727</v>
      </c>
      <c r="C484" s="27" t="s">
        <v>728</v>
      </c>
      <c r="D484" s="28">
        <f>SUMIFS(D485:D1509,K485:K1509,"0",B485:B1509,"5 1 1 1 3*")-SUMIFS(E485:E1509,K485:K1509,"0",B485:B1509,"5 1 1 1 3*")</f>
        <v>0</v>
      </c>
      <c r="E484" s="29"/>
      <c r="F484" s="28">
        <f>SUMIFS(F485:F1509,K485:K1509,"0",B485:B1509,"5 1 1 1 3*")</f>
        <v>4616315.8199999994</v>
      </c>
      <c r="G484" s="28">
        <f>SUMIFS(G485:G1509,K485:K1509,"0",B485:B1509,"5 1 1 1 3*")</f>
        <v>0</v>
      </c>
      <c r="H484" s="28">
        <f t="shared" si="12"/>
        <v>4616315.8199999994</v>
      </c>
      <c r="I484" s="28"/>
      <c r="K484" t="s">
        <v>15</v>
      </c>
    </row>
    <row r="485" spans="2:11" ht="13" x14ac:dyDescent="0.15">
      <c r="B485" s="27" t="s">
        <v>729</v>
      </c>
      <c r="C485" s="27" t="s">
        <v>26</v>
      </c>
      <c r="D485" s="28">
        <f>SUMIFS(D486:D1509,K486:K1509,"0",B486:B1509,"5 1 1 1 3 12*")-SUMIFS(E486:E1509,K486:K1509,"0",B486:B1509,"5 1 1 1 3 12*")</f>
        <v>0</v>
      </c>
      <c r="E485" s="29"/>
      <c r="F485" s="28">
        <f>SUMIFS(F486:F1509,K486:K1509,"0",B486:B1509,"5 1 1 1 3 12*")</f>
        <v>4616315.8199999994</v>
      </c>
      <c r="G485" s="28">
        <f>SUMIFS(G486:G1509,K486:K1509,"0",B486:B1509,"5 1 1 1 3 12*")</f>
        <v>0</v>
      </c>
      <c r="H485" s="28">
        <f t="shared" si="12"/>
        <v>4616315.8199999994</v>
      </c>
      <c r="I485" s="28"/>
      <c r="K485" t="s">
        <v>15</v>
      </c>
    </row>
    <row r="486" spans="2:11" ht="13" x14ac:dyDescent="0.15">
      <c r="B486" s="27" t="s">
        <v>730</v>
      </c>
      <c r="C486" s="27" t="s">
        <v>28</v>
      </c>
      <c r="D486" s="28">
        <f>SUMIFS(D487:D1509,K487:K1509,"0",B487:B1509,"5 1 1 1 3 12 31111*")-SUMIFS(E487:E1509,K487:K1509,"0",B487:B1509,"5 1 1 1 3 12 31111*")</f>
        <v>0</v>
      </c>
      <c r="E486" s="29"/>
      <c r="F486" s="28">
        <f>SUMIFS(F487:F1509,K487:K1509,"0",B487:B1509,"5 1 1 1 3 12 31111*")</f>
        <v>4616315.8199999994</v>
      </c>
      <c r="G486" s="28">
        <f>SUMIFS(G487:G1509,K487:K1509,"0",B487:B1509,"5 1 1 1 3 12 31111*")</f>
        <v>0</v>
      </c>
      <c r="H486" s="28">
        <f t="shared" si="12"/>
        <v>4616315.8199999994</v>
      </c>
      <c r="I486" s="28"/>
      <c r="K486" t="s">
        <v>15</v>
      </c>
    </row>
    <row r="487" spans="2:11" ht="13" x14ac:dyDescent="0.15">
      <c r="B487" s="27" t="s">
        <v>731</v>
      </c>
      <c r="C487" s="27" t="s">
        <v>30</v>
      </c>
      <c r="D487" s="28">
        <f>SUMIFS(D488:D1509,K488:K1509,"0",B488:B1509,"5 1 1 1 3 12 31111 6*")-SUMIFS(E488:E1509,K488:K1509,"0",B488:B1509,"5 1 1 1 3 12 31111 6*")</f>
        <v>0</v>
      </c>
      <c r="E487" s="29"/>
      <c r="F487" s="28">
        <f>SUMIFS(F488:F1509,K488:K1509,"0",B488:B1509,"5 1 1 1 3 12 31111 6*")</f>
        <v>4616315.8199999994</v>
      </c>
      <c r="G487" s="28">
        <f>SUMIFS(G488:G1509,K488:K1509,"0",B488:B1509,"5 1 1 1 3 12 31111 6*")</f>
        <v>0</v>
      </c>
      <c r="H487" s="28">
        <f t="shared" si="12"/>
        <v>4616315.8199999994</v>
      </c>
      <c r="I487" s="28"/>
      <c r="K487" t="s">
        <v>15</v>
      </c>
    </row>
    <row r="488" spans="2:11" ht="13" x14ac:dyDescent="0.15">
      <c r="B488" s="27" t="s">
        <v>732</v>
      </c>
      <c r="C488" s="27" t="s">
        <v>733</v>
      </c>
      <c r="D488" s="28">
        <f>SUMIFS(D489:D1509,K489:K1509,"0",B489:B1509,"5 1 1 1 3 12 31111 6 M78*")-SUMIFS(E489:E1509,K489:K1509,"0",B489:B1509,"5 1 1 1 3 12 31111 6 M78*")</f>
        <v>0</v>
      </c>
      <c r="E488" s="29"/>
      <c r="F488" s="28">
        <f>SUMIFS(F489:F1509,K489:K1509,"0",B489:B1509,"5 1 1 1 3 12 31111 6 M78*")</f>
        <v>4616315.8199999994</v>
      </c>
      <c r="G488" s="28">
        <f>SUMIFS(G489:G1509,K489:K1509,"0",B489:B1509,"5 1 1 1 3 12 31111 6 M78*")</f>
        <v>0</v>
      </c>
      <c r="H488" s="28">
        <f t="shared" si="12"/>
        <v>4616315.8199999994</v>
      </c>
      <c r="I488" s="28"/>
      <c r="K488" t="s">
        <v>15</v>
      </c>
    </row>
    <row r="489" spans="2:11" ht="13" x14ac:dyDescent="0.15">
      <c r="B489" s="27" t="s">
        <v>734</v>
      </c>
      <c r="C489" s="27" t="s">
        <v>735</v>
      </c>
      <c r="D489" s="28">
        <f>SUMIFS(D490:D1509,K490:K1509,"0",B490:B1509,"5 1 1 1 3 12 31111 6 M78 01000*")-SUMIFS(E490:E1509,K490:K1509,"0",B490:B1509,"5 1 1 1 3 12 31111 6 M78 01000*")</f>
        <v>0</v>
      </c>
      <c r="E489" s="29"/>
      <c r="F489" s="28">
        <f>SUMIFS(F490:F1509,K490:K1509,"0",B490:B1509,"5 1 1 1 3 12 31111 6 M78 01000*")</f>
        <v>464966.42</v>
      </c>
      <c r="G489" s="28">
        <f>SUMIFS(G490:G1509,K490:K1509,"0",B490:B1509,"5 1 1 1 3 12 31111 6 M78 01000*")</f>
        <v>0</v>
      </c>
      <c r="H489" s="28">
        <f t="shared" si="12"/>
        <v>464966.42</v>
      </c>
      <c r="I489" s="28"/>
      <c r="K489" t="s">
        <v>15</v>
      </c>
    </row>
    <row r="490" spans="2:11" ht="13" x14ac:dyDescent="0.15">
      <c r="B490" s="27" t="s">
        <v>736</v>
      </c>
      <c r="C490" s="27" t="s">
        <v>737</v>
      </c>
      <c r="D490" s="28">
        <f>SUMIFS(D491:D1509,K491:K1509,"0",B491:B1509,"5 1 1 1 3 12 31111 6 M78 01000 131*")-SUMIFS(E491:E1509,K491:K1509,"0",B491:B1509,"5 1 1 1 3 12 31111 6 M78 01000 131*")</f>
        <v>0</v>
      </c>
      <c r="E490" s="29"/>
      <c r="F490" s="28">
        <f>SUMIFS(F491:F1509,K491:K1509,"0",B491:B1509,"5 1 1 1 3 12 31111 6 M78 01000 131*")</f>
        <v>464966.42</v>
      </c>
      <c r="G490" s="28">
        <f>SUMIFS(G491:G1509,K491:K1509,"0",B491:B1509,"5 1 1 1 3 12 31111 6 M78 01000 131*")</f>
        <v>0</v>
      </c>
      <c r="H490" s="28">
        <f t="shared" si="12"/>
        <v>464966.42</v>
      </c>
      <c r="I490" s="28"/>
      <c r="K490" t="s">
        <v>15</v>
      </c>
    </row>
    <row r="491" spans="2:11" ht="13" x14ac:dyDescent="0.15">
      <c r="B491" s="27" t="s">
        <v>738</v>
      </c>
      <c r="C491" s="27" t="s">
        <v>170</v>
      </c>
      <c r="D491" s="28">
        <f>SUMIFS(D492:D1509,K492:K1509,"0",B492:B1509,"5 1 1 1 3 12 31111 6 M78 01000 131 00C*")-SUMIFS(E492:E1509,K492:K1509,"0",B492:B1509,"5 1 1 1 3 12 31111 6 M78 01000 131 00C*")</f>
        <v>0</v>
      </c>
      <c r="E491" s="29"/>
      <c r="F491" s="28">
        <f>SUMIFS(F492:F1509,K492:K1509,"0",B492:B1509,"5 1 1 1 3 12 31111 6 M78 01000 131 00C*")</f>
        <v>464966.42</v>
      </c>
      <c r="G491" s="28">
        <f>SUMIFS(G492:G1509,K492:K1509,"0",B492:B1509,"5 1 1 1 3 12 31111 6 M78 01000 131 00C*")</f>
        <v>0</v>
      </c>
      <c r="H491" s="28">
        <f t="shared" si="12"/>
        <v>464966.42</v>
      </c>
      <c r="I491" s="28"/>
      <c r="K491" t="s">
        <v>15</v>
      </c>
    </row>
    <row r="492" spans="2:11" ht="22" x14ac:dyDescent="0.15">
      <c r="B492" s="27" t="s">
        <v>739</v>
      </c>
      <c r="C492" s="27" t="s">
        <v>9</v>
      </c>
      <c r="D492" s="28">
        <f>SUMIFS(D493:D1509,K493:K1509,"0",B493:B1509,"5 1 1 1 3 12 31111 6 M78 01000 131 00C 001*")-SUMIFS(E493:E1509,K493:K1509,"0",B493:B1509,"5 1 1 1 3 12 31111 6 M78 01000 131 00C 001*")</f>
        <v>0</v>
      </c>
      <c r="E492" s="29"/>
      <c r="F492" s="28">
        <f>SUMIFS(F493:F1509,K493:K1509,"0",B493:B1509,"5 1 1 1 3 12 31111 6 M78 01000 131 00C 001*")</f>
        <v>464966.42</v>
      </c>
      <c r="G492" s="28">
        <f>SUMIFS(G493:G1509,K493:K1509,"0",B493:B1509,"5 1 1 1 3 12 31111 6 M78 01000 131 00C 001*")</f>
        <v>0</v>
      </c>
      <c r="H492" s="28">
        <f t="shared" si="12"/>
        <v>464966.42</v>
      </c>
      <c r="I492" s="28"/>
      <c r="K492" t="s">
        <v>15</v>
      </c>
    </row>
    <row r="493" spans="2:11" ht="22" x14ac:dyDescent="0.15">
      <c r="B493" s="27" t="s">
        <v>740</v>
      </c>
      <c r="C493" s="27" t="s">
        <v>741</v>
      </c>
      <c r="D493" s="28">
        <f>SUMIFS(D494:D1509,K494:K1509,"0",B494:B1509,"5 1 1 1 3 12 31111 6 M78 01000 131 00C 001 11301*")-SUMIFS(E494:E1509,K494:K1509,"0",B494:B1509,"5 1 1 1 3 12 31111 6 M78 01000 131 00C 001 11301*")</f>
        <v>0</v>
      </c>
      <c r="E493" s="29"/>
      <c r="F493" s="28">
        <f>SUMIFS(F494:F1509,K494:K1509,"0",B494:B1509,"5 1 1 1 3 12 31111 6 M78 01000 131 00C 001 11301*")</f>
        <v>464966.42</v>
      </c>
      <c r="G493" s="28">
        <f>SUMIFS(G494:G1509,K494:K1509,"0",B494:B1509,"5 1 1 1 3 12 31111 6 M78 01000 131 00C 001 11301*")</f>
        <v>0</v>
      </c>
      <c r="H493" s="28">
        <f t="shared" si="12"/>
        <v>464966.42</v>
      </c>
      <c r="I493" s="28"/>
      <c r="K493" t="s">
        <v>15</v>
      </c>
    </row>
    <row r="494" spans="2:11" ht="22" x14ac:dyDescent="0.15">
      <c r="B494" s="27" t="s">
        <v>742</v>
      </c>
      <c r="C494" s="27" t="s">
        <v>176</v>
      </c>
      <c r="D494" s="28">
        <f>SUMIFS(D495:D1509,K495:K1509,"0",B495:B1509,"5 1 1 1 3 12 31111 6 M78 01000 131 00C 001 11301 015*")-SUMIFS(E495:E1509,K495:K1509,"0",B495:B1509,"5 1 1 1 3 12 31111 6 M78 01000 131 00C 001 11301 015*")</f>
        <v>0</v>
      </c>
      <c r="E494" s="29"/>
      <c r="F494" s="28">
        <f>SUMIFS(F495:F1509,K495:K1509,"0",B495:B1509,"5 1 1 1 3 12 31111 6 M78 01000 131 00C 001 11301 015*")</f>
        <v>464966.42</v>
      </c>
      <c r="G494" s="28">
        <f>SUMIFS(G495:G1509,K495:K1509,"0",B495:B1509,"5 1 1 1 3 12 31111 6 M78 01000 131 00C 001 11301 015*")</f>
        <v>0</v>
      </c>
      <c r="H494" s="28">
        <f t="shared" si="12"/>
        <v>464966.42</v>
      </c>
      <c r="I494" s="28"/>
      <c r="K494" t="s">
        <v>15</v>
      </c>
    </row>
    <row r="495" spans="2:11" ht="22" x14ac:dyDescent="0.15">
      <c r="B495" s="27" t="s">
        <v>743</v>
      </c>
      <c r="C495" s="27" t="s">
        <v>744</v>
      </c>
      <c r="D495" s="28">
        <f>SUMIFS(D496:D1509,K496:K1509,"0",B496:B1509,"5 1 1 1 3 12 31111 6 M78 01000 131 00C 001 11301 015 2111100*")-SUMIFS(E496:E1509,K496:K1509,"0",B496:B1509,"5 1 1 1 3 12 31111 6 M78 01000 131 00C 001 11301 015 2111100*")</f>
        <v>0</v>
      </c>
      <c r="E495" s="29"/>
      <c r="F495" s="28">
        <f>SUMIFS(F496:F1509,K496:K1509,"0",B496:B1509,"5 1 1 1 3 12 31111 6 M78 01000 131 00C 001 11301 015 2111100*")</f>
        <v>464966.42</v>
      </c>
      <c r="G495" s="28">
        <f>SUMIFS(G496:G1509,K496:K1509,"0",B496:B1509,"5 1 1 1 3 12 31111 6 M78 01000 131 00C 001 11301 015 2111100*")</f>
        <v>0</v>
      </c>
      <c r="H495" s="28">
        <f t="shared" si="12"/>
        <v>464966.42</v>
      </c>
      <c r="I495" s="28"/>
      <c r="K495" t="s">
        <v>15</v>
      </c>
    </row>
    <row r="496" spans="2:11" ht="22" x14ac:dyDescent="0.15">
      <c r="B496" s="27" t="s">
        <v>745</v>
      </c>
      <c r="C496" s="27" t="s">
        <v>248</v>
      </c>
      <c r="D496" s="28">
        <f>SUMIFS(D497:D1509,K497:K1509,"0",B497:B1509,"5 1 1 1 3 12 31111 6 M78 01000 131 00C 001 11301 015 2111100 2024*")-SUMIFS(E497:E1509,K497:K1509,"0",B497:B1509,"5 1 1 1 3 12 31111 6 M78 01000 131 00C 001 11301 015 2111100 2024*")</f>
        <v>0</v>
      </c>
      <c r="E496" s="29"/>
      <c r="F496" s="28">
        <f>SUMIFS(F497:F1509,K497:K1509,"0",B497:B1509,"5 1 1 1 3 12 31111 6 M78 01000 131 00C 001 11301 015 2111100 2024*")</f>
        <v>464966.42</v>
      </c>
      <c r="G496" s="28">
        <f>SUMIFS(G497:G1509,K497:K1509,"0",B497:B1509,"5 1 1 1 3 12 31111 6 M78 01000 131 00C 001 11301 015 2111100 2024*")</f>
        <v>0</v>
      </c>
      <c r="H496" s="28">
        <f t="shared" si="12"/>
        <v>464966.42</v>
      </c>
      <c r="I496" s="28"/>
      <c r="K496" t="s">
        <v>15</v>
      </c>
    </row>
    <row r="497" spans="2:11" ht="22" x14ac:dyDescent="0.15">
      <c r="B497" s="27" t="s">
        <v>746</v>
      </c>
      <c r="C497" s="27" t="s">
        <v>182</v>
      </c>
      <c r="D497" s="28">
        <f>SUMIFS(D498:D1509,K498:K1509,"0",B498:B1509,"5 1 1 1 3 12 31111 6 M78 01000 131 00C 001 11301 015 2111100 2024 00000000*")-SUMIFS(E498:E1509,K498:K1509,"0",B498:B1509,"5 1 1 1 3 12 31111 6 M78 01000 131 00C 001 11301 015 2111100 2024 00000000*")</f>
        <v>0</v>
      </c>
      <c r="E497" s="29"/>
      <c r="F497" s="28">
        <f>SUMIFS(F498:F1509,K498:K1509,"0",B498:B1509,"5 1 1 1 3 12 31111 6 M78 01000 131 00C 001 11301 015 2111100 2024 00000000*")</f>
        <v>464966.42</v>
      </c>
      <c r="G497" s="28">
        <f>SUMIFS(G498:G1509,K498:K1509,"0",B498:B1509,"5 1 1 1 3 12 31111 6 M78 01000 131 00C 001 11301 015 2111100 2024 00000000*")</f>
        <v>0</v>
      </c>
      <c r="H497" s="28">
        <f t="shared" si="12"/>
        <v>464966.42</v>
      </c>
      <c r="I497" s="28"/>
      <c r="K497" t="s">
        <v>15</v>
      </c>
    </row>
    <row r="498" spans="2:11" ht="33" x14ac:dyDescent="0.15">
      <c r="B498" s="27" t="s">
        <v>747</v>
      </c>
      <c r="C498" s="27" t="s">
        <v>9</v>
      </c>
      <c r="D498" s="28">
        <f>SUMIFS(D499:D1509,K499:K1509,"0",B499:B1509,"5 1 1 1 3 12 31111 6 M78 01000 131 00C 001 11301 015 2111100 2024 00000000 001*")-SUMIFS(E499:E1509,K499:K1509,"0",B499:B1509,"5 1 1 1 3 12 31111 6 M78 01000 131 00C 001 11301 015 2111100 2024 00000000 001*")</f>
        <v>0</v>
      </c>
      <c r="E498" s="29"/>
      <c r="F498" s="28">
        <f>SUMIFS(F499:F1509,K499:K1509,"0",B499:B1509,"5 1 1 1 3 12 31111 6 M78 01000 131 00C 001 11301 015 2111100 2024 00000000 001*")</f>
        <v>464966.42</v>
      </c>
      <c r="G498" s="28">
        <f>SUMIFS(G499:G1509,K499:K1509,"0",B499:B1509,"5 1 1 1 3 12 31111 6 M78 01000 131 00C 001 11301 015 2111100 2024 00000000 001*")</f>
        <v>0</v>
      </c>
      <c r="H498" s="28">
        <f t="shared" si="12"/>
        <v>464966.42</v>
      </c>
      <c r="I498" s="28"/>
      <c r="K498" t="s">
        <v>15</v>
      </c>
    </row>
    <row r="499" spans="2:11" ht="33" x14ac:dyDescent="0.15">
      <c r="B499" s="27" t="s">
        <v>748</v>
      </c>
      <c r="C499" s="27" t="s">
        <v>749</v>
      </c>
      <c r="D499" s="28">
        <f>SUMIFS(D500:D1509,K500:K1509,"0",B500:B1509,"5 1 1 1 3 12 31111 6 M78 01000 131 00C 001 11301 015 2111100 2024 00000000 001 001*")-SUMIFS(E500:E1509,K500:K1509,"0",B500:B1509,"5 1 1 1 3 12 31111 6 M78 01000 131 00C 001 11301 015 2111100 2024 00000000 001 001*")</f>
        <v>0</v>
      </c>
      <c r="E499" s="29"/>
      <c r="F499" s="28">
        <f>SUMIFS(F500:F1509,K500:K1509,"0",B500:B1509,"5 1 1 1 3 12 31111 6 M78 01000 131 00C 001 11301 015 2111100 2024 00000000 001 001*")</f>
        <v>464966.42</v>
      </c>
      <c r="G499" s="28">
        <f>SUMIFS(G500:G1509,K500:K1509,"0",B500:B1509,"5 1 1 1 3 12 31111 6 M78 01000 131 00C 001 11301 015 2111100 2024 00000000 001 001*")</f>
        <v>0</v>
      </c>
      <c r="H499" s="28">
        <f t="shared" si="12"/>
        <v>464966.42</v>
      </c>
      <c r="I499" s="28"/>
      <c r="K499" t="s">
        <v>15</v>
      </c>
    </row>
    <row r="500" spans="2:11" ht="33" x14ac:dyDescent="0.15">
      <c r="B500" s="30" t="s">
        <v>750</v>
      </c>
      <c r="C500" s="30" t="s">
        <v>751</v>
      </c>
      <c r="D500" s="31">
        <v>0</v>
      </c>
      <c r="E500" s="31"/>
      <c r="F500" s="31">
        <v>464966.42</v>
      </c>
      <c r="G500" s="31">
        <v>0</v>
      </c>
      <c r="H500" s="31">
        <f t="shared" si="12"/>
        <v>464966.42</v>
      </c>
      <c r="I500" s="31"/>
      <c r="K500" t="s">
        <v>38</v>
      </c>
    </row>
    <row r="501" spans="2:11" ht="13" x14ac:dyDescent="0.15">
      <c r="B501" s="27" t="s">
        <v>752</v>
      </c>
      <c r="C501" s="27" t="s">
        <v>753</v>
      </c>
      <c r="D501" s="28">
        <f>SUMIFS(D502:D1509,K502:K1509,"0",B502:B1509,"5 1 1 1 3 12 31111 6 M78 02000*")-SUMIFS(E502:E1509,K502:K1509,"0",B502:B1509,"5 1 1 1 3 12 31111 6 M78 02000*")</f>
        <v>0</v>
      </c>
      <c r="E501" s="29"/>
      <c r="F501" s="28">
        <f>SUMIFS(F502:F1509,K502:K1509,"0",B502:B1509,"5 1 1 1 3 12 31111 6 M78 02000*")</f>
        <v>263556.09999999998</v>
      </c>
      <c r="G501" s="28">
        <f>SUMIFS(G502:G1509,K502:K1509,"0",B502:B1509,"5 1 1 1 3 12 31111 6 M78 02000*")</f>
        <v>0</v>
      </c>
      <c r="H501" s="28">
        <f t="shared" si="12"/>
        <v>263556.09999999998</v>
      </c>
      <c r="I501" s="28"/>
      <c r="K501" t="s">
        <v>15</v>
      </c>
    </row>
    <row r="502" spans="2:11" ht="13" x14ac:dyDescent="0.15">
      <c r="B502" s="27" t="s">
        <v>754</v>
      </c>
      <c r="C502" s="27" t="s">
        <v>755</v>
      </c>
      <c r="D502" s="28">
        <f>SUMIFS(D503:D1509,K503:K1509,"0",B503:B1509,"5 1 1 1 3 12 31111 6 M78 02000 122*")-SUMIFS(E503:E1509,K503:K1509,"0",B503:B1509,"5 1 1 1 3 12 31111 6 M78 02000 122*")</f>
        <v>0</v>
      </c>
      <c r="E502" s="29"/>
      <c r="F502" s="28">
        <f>SUMIFS(F503:F1509,K503:K1509,"0",B503:B1509,"5 1 1 1 3 12 31111 6 M78 02000 122*")</f>
        <v>263556.09999999998</v>
      </c>
      <c r="G502" s="28">
        <f>SUMIFS(G503:G1509,K503:K1509,"0",B503:B1509,"5 1 1 1 3 12 31111 6 M78 02000 122*")</f>
        <v>0</v>
      </c>
      <c r="H502" s="28">
        <f t="shared" si="12"/>
        <v>263556.09999999998</v>
      </c>
      <c r="I502" s="28"/>
      <c r="K502" t="s">
        <v>15</v>
      </c>
    </row>
    <row r="503" spans="2:11" ht="13" x14ac:dyDescent="0.15">
      <c r="B503" s="27" t="s">
        <v>756</v>
      </c>
      <c r="C503" s="27" t="s">
        <v>170</v>
      </c>
      <c r="D503" s="28">
        <f>SUMIFS(D504:D1509,K504:K1509,"0",B504:B1509,"5 1 1 1 3 12 31111 6 M78 02000 122 00C*")-SUMIFS(E504:E1509,K504:K1509,"0",B504:B1509,"5 1 1 1 3 12 31111 6 M78 02000 122 00C*")</f>
        <v>0</v>
      </c>
      <c r="E503" s="29"/>
      <c r="F503" s="28">
        <f>SUMIFS(F504:F1509,K504:K1509,"0",B504:B1509,"5 1 1 1 3 12 31111 6 M78 02000 122 00C*")</f>
        <v>263556.09999999998</v>
      </c>
      <c r="G503" s="28">
        <f>SUMIFS(G504:G1509,K504:K1509,"0",B504:B1509,"5 1 1 1 3 12 31111 6 M78 02000 122 00C*")</f>
        <v>0</v>
      </c>
      <c r="H503" s="28">
        <f t="shared" si="12"/>
        <v>263556.09999999998</v>
      </c>
      <c r="I503" s="28"/>
      <c r="K503" t="s">
        <v>15</v>
      </c>
    </row>
    <row r="504" spans="2:11" ht="22" x14ac:dyDescent="0.15">
      <c r="B504" s="27" t="s">
        <v>757</v>
      </c>
      <c r="C504" s="27" t="s">
        <v>9</v>
      </c>
      <c r="D504" s="28">
        <f>SUMIFS(D505:D1509,K505:K1509,"0",B505:B1509,"5 1 1 1 3 12 31111 6 M78 02000 122 00C 001*")-SUMIFS(E505:E1509,K505:K1509,"0",B505:B1509,"5 1 1 1 3 12 31111 6 M78 02000 122 00C 001*")</f>
        <v>0</v>
      </c>
      <c r="E504" s="29"/>
      <c r="F504" s="28">
        <f>SUMIFS(F505:F1509,K505:K1509,"0",B505:B1509,"5 1 1 1 3 12 31111 6 M78 02000 122 00C 001*")</f>
        <v>263556.09999999998</v>
      </c>
      <c r="G504" s="28">
        <f>SUMIFS(G505:G1509,K505:K1509,"0",B505:B1509,"5 1 1 1 3 12 31111 6 M78 02000 122 00C 001*")</f>
        <v>0</v>
      </c>
      <c r="H504" s="28">
        <f t="shared" si="12"/>
        <v>263556.09999999998</v>
      </c>
      <c r="I504" s="28"/>
      <c r="K504" t="s">
        <v>15</v>
      </c>
    </row>
    <row r="505" spans="2:11" ht="22" x14ac:dyDescent="0.15">
      <c r="B505" s="27" t="s">
        <v>758</v>
      </c>
      <c r="C505" s="27" t="s">
        <v>741</v>
      </c>
      <c r="D505" s="28">
        <f>SUMIFS(D506:D1509,K506:K1509,"0",B506:B1509,"5 1 1 1 3 12 31111 6 M78 02000 122 00C 001 11301*")-SUMIFS(E506:E1509,K506:K1509,"0",B506:B1509,"5 1 1 1 3 12 31111 6 M78 02000 122 00C 001 11301*")</f>
        <v>0</v>
      </c>
      <c r="E505" s="29"/>
      <c r="F505" s="28">
        <f>SUMIFS(F506:F1509,K506:K1509,"0",B506:B1509,"5 1 1 1 3 12 31111 6 M78 02000 122 00C 001 11301*")</f>
        <v>263556.09999999998</v>
      </c>
      <c r="G505" s="28">
        <f>SUMIFS(G506:G1509,K506:K1509,"0",B506:B1509,"5 1 1 1 3 12 31111 6 M78 02000 122 00C 001 11301*")</f>
        <v>0</v>
      </c>
      <c r="H505" s="28">
        <f t="shared" si="12"/>
        <v>263556.09999999998</v>
      </c>
      <c r="I505" s="28"/>
      <c r="K505" t="s">
        <v>15</v>
      </c>
    </row>
    <row r="506" spans="2:11" ht="22" x14ac:dyDescent="0.15">
      <c r="B506" s="27" t="s">
        <v>759</v>
      </c>
      <c r="C506" s="27" t="s">
        <v>176</v>
      </c>
      <c r="D506" s="28">
        <f>SUMIFS(D507:D1509,K507:K1509,"0",B507:B1509,"5 1 1 1 3 12 31111 6 M78 02000 122 00C 001 11301 015*")-SUMIFS(E507:E1509,K507:K1509,"0",B507:B1509,"5 1 1 1 3 12 31111 6 M78 02000 122 00C 001 11301 015*")</f>
        <v>0</v>
      </c>
      <c r="E506" s="29"/>
      <c r="F506" s="28">
        <f>SUMIFS(F507:F1509,K507:K1509,"0",B507:B1509,"5 1 1 1 3 12 31111 6 M78 02000 122 00C 001 11301 015*")</f>
        <v>263556.09999999998</v>
      </c>
      <c r="G506" s="28">
        <f>SUMIFS(G507:G1509,K507:K1509,"0",B507:B1509,"5 1 1 1 3 12 31111 6 M78 02000 122 00C 001 11301 015*")</f>
        <v>0</v>
      </c>
      <c r="H506" s="28">
        <f t="shared" si="12"/>
        <v>263556.09999999998</v>
      </c>
      <c r="I506" s="28"/>
      <c r="K506" t="s">
        <v>15</v>
      </c>
    </row>
    <row r="507" spans="2:11" ht="22" x14ac:dyDescent="0.15">
      <c r="B507" s="27" t="s">
        <v>760</v>
      </c>
      <c r="C507" s="27" t="s">
        <v>744</v>
      </c>
      <c r="D507" s="28">
        <f>SUMIFS(D508:D1509,K508:K1509,"0",B508:B1509,"5 1 1 1 3 12 31111 6 M78 02000 122 00C 001 11301 015 2111100*")-SUMIFS(E508:E1509,K508:K1509,"0",B508:B1509,"5 1 1 1 3 12 31111 6 M78 02000 122 00C 001 11301 015 2111100*")</f>
        <v>0</v>
      </c>
      <c r="E507" s="29"/>
      <c r="F507" s="28">
        <f>SUMIFS(F508:F1509,K508:K1509,"0",B508:B1509,"5 1 1 1 3 12 31111 6 M78 02000 122 00C 001 11301 015 2111100*")</f>
        <v>263556.09999999998</v>
      </c>
      <c r="G507" s="28">
        <f>SUMIFS(G508:G1509,K508:K1509,"0",B508:B1509,"5 1 1 1 3 12 31111 6 M78 02000 122 00C 001 11301 015 2111100*")</f>
        <v>0</v>
      </c>
      <c r="H507" s="28">
        <f t="shared" si="12"/>
        <v>263556.09999999998</v>
      </c>
      <c r="I507" s="28"/>
      <c r="K507" t="s">
        <v>15</v>
      </c>
    </row>
    <row r="508" spans="2:11" ht="22" x14ac:dyDescent="0.15">
      <c r="B508" s="27" t="s">
        <v>761</v>
      </c>
      <c r="C508" s="27" t="s">
        <v>248</v>
      </c>
      <c r="D508" s="28">
        <f>SUMIFS(D509:D1509,K509:K1509,"0",B509:B1509,"5 1 1 1 3 12 31111 6 M78 02000 122 00C 001 11301 015 2111100 2024*")-SUMIFS(E509:E1509,K509:K1509,"0",B509:B1509,"5 1 1 1 3 12 31111 6 M78 02000 122 00C 001 11301 015 2111100 2024*")</f>
        <v>0</v>
      </c>
      <c r="E508" s="29"/>
      <c r="F508" s="28">
        <f>SUMIFS(F509:F1509,K509:K1509,"0",B509:B1509,"5 1 1 1 3 12 31111 6 M78 02000 122 00C 001 11301 015 2111100 2024*")</f>
        <v>263556.09999999998</v>
      </c>
      <c r="G508" s="28">
        <f>SUMIFS(G509:G1509,K509:K1509,"0",B509:B1509,"5 1 1 1 3 12 31111 6 M78 02000 122 00C 001 11301 015 2111100 2024*")</f>
        <v>0</v>
      </c>
      <c r="H508" s="28">
        <f t="shared" si="12"/>
        <v>263556.09999999998</v>
      </c>
      <c r="I508" s="28"/>
      <c r="K508" t="s">
        <v>15</v>
      </c>
    </row>
    <row r="509" spans="2:11" ht="22" x14ac:dyDescent="0.15">
      <c r="B509" s="27" t="s">
        <v>762</v>
      </c>
      <c r="C509" s="27" t="s">
        <v>182</v>
      </c>
      <c r="D509" s="28">
        <f>SUMIFS(D510:D1509,K510:K1509,"0",B510:B1509,"5 1 1 1 3 12 31111 6 M78 02000 122 00C 001 11301 015 2111100 2024 00000000*")-SUMIFS(E510:E1509,K510:K1509,"0",B510:B1509,"5 1 1 1 3 12 31111 6 M78 02000 122 00C 001 11301 015 2111100 2024 00000000*")</f>
        <v>0</v>
      </c>
      <c r="E509" s="29"/>
      <c r="F509" s="28">
        <f>SUMIFS(F510:F1509,K510:K1509,"0",B510:B1509,"5 1 1 1 3 12 31111 6 M78 02000 122 00C 001 11301 015 2111100 2024 00000000*")</f>
        <v>263556.09999999998</v>
      </c>
      <c r="G509" s="28">
        <f>SUMIFS(G510:G1509,K510:K1509,"0",B510:B1509,"5 1 1 1 3 12 31111 6 M78 02000 122 00C 001 11301 015 2111100 2024 00000000*")</f>
        <v>0</v>
      </c>
      <c r="H509" s="28">
        <f t="shared" si="12"/>
        <v>263556.09999999998</v>
      </c>
      <c r="I509" s="28"/>
      <c r="K509" t="s">
        <v>15</v>
      </c>
    </row>
    <row r="510" spans="2:11" ht="33" x14ac:dyDescent="0.15">
      <c r="B510" s="27" t="s">
        <v>763</v>
      </c>
      <c r="C510" s="27" t="s">
        <v>9</v>
      </c>
      <c r="D510" s="28">
        <f>SUMIFS(D511:D1509,K511:K1509,"0",B511:B1509,"5 1 1 1 3 12 31111 6 M78 02000 122 00C 001 11301 015 2111100 2024 00000000 001*")-SUMIFS(E511:E1509,K511:K1509,"0",B511:B1509,"5 1 1 1 3 12 31111 6 M78 02000 122 00C 001 11301 015 2111100 2024 00000000 001*")</f>
        <v>0</v>
      </c>
      <c r="E510" s="29"/>
      <c r="F510" s="28">
        <f>SUMIFS(F511:F1509,K511:K1509,"0",B511:B1509,"5 1 1 1 3 12 31111 6 M78 02000 122 00C 001 11301 015 2111100 2024 00000000 001*")</f>
        <v>263556.09999999998</v>
      </c>
      <c r="G510" s="28">
        <f>SUMIFS(G511:G1509,K511:K1509,"0",B511:B1509,"5 1 1 1 3 12 31111 6 M78 02000 122 00C 001 11301 015 2111100 2024 00000000 001*")</f>
        <v>0</v>
      </c>
      <c r="H510" s="28">
        <f t="shared" si="12"/>
        <v>263556.09999999998</v>
      </c>
      <c r="I510" s="28"/>
      <c r="K510" t="s">
        <v>15</v>
      </c>
    </row>
    <row r="511" spans="2:11" ht="33" x14ac:dyDescent="0.15">
      <c r="B511" s="27" t="s">
        <v>764</v>
      </c>
      <c r="C511" s="27" t="s">
        <v>765</v>
      </c>
      <c r="D511" s="28">
        <f>SUMIFS(D512:D1509,K512:K1509,"0",B512:B1509,"5 1 1 1 3 12 31111 6 M78 02000 122 00C 001 11301 015 2111100 2024 00000000 001 001*")-SUMIFS(E512:E1509,K512:K1509,"0",B512:B1509,"5 1 1 1 3 12 31111 6 M78 02000 122 00C 001 11301 015 2111100 2024 00000000 001 001*")</f>
        <v>0</v>
      </c>
      <c r="E511" s="29"/>
      <c r="F511" s="28">
        <f>SUMIFS(F512:F1509,K512:K1509,"0",B512:B1509,"5 1 1 1 3 12 31111 6 M78 02000 122 00C 001 11301 015 2111100 2024 00000000 001 001*")</f>
        <v>263556.09999999998</v>
      </c>
      <c r="G511" s="28">
        <f>SUMIFS(G512:G1509,K512:K1509,"0",B512:B1509,"5 1 1 1 3 12 31111 6 M78 02000 122 00C 001 11301 015 2111100 2024 00000000 001 001*")</f>
        <v>0</v>
      </c>
      <c r="H511" s="28">
        <f t="shared" si="12"/>
        <v>263556.09999999998</v>
      </c>
      <c r="I511" s="28"/>
      <c r="K511" t="s">
        <v>15</v>
      </c>
    </row>
    <row r="512" spans="2:11" ht="33" x14ac:dyDescent="0.15">
      <c r="B512" s="30" t="s">
        <v>766</v>
      </c>
      <c r="C512" s="30" t="s">
        <v>751</v>
      </c>
      <c r="D512" s="31">
        <v>0</v>
      </c>
      <c r="E512" s="31"/>
      <c r="F512" s="31">
        <v>263556.09999999998</v>
      </c>
      <c r="G512" s="31">
        <v>0</v>
      </c>
      <c r="H512" s="31">
        <f t="shared" si="12"/>
        <v>263556.09999999998</v>
      </c>
      <c r="I512" s="31"/>
      <c r="K512" t="s">
        <v>38</v>
      </c>
    </row>
    <row r="513" spans="2:11" ht="13" x14ac:dyDescent="0.15">
      <c r="B513" s="27" t="s">
        <v>767</v>
      </c>
      <c r="C513" s="27" t="s">
        <v>768</v>
      </c>
      <c r="D513" s="28">
        <f>SUMIFS(D514:D1509,K514:K1509,"0",B514:B1509,"5 1 1 1 3 12 31111 6 M78 05000*")-SUMIFS(E514:E1509,K514:K1509,"0",B514:B1509,"5 1 1 1 3 12 31111 6 M78 05000*")</f>
        <v>0</v>
      </c>
      <c r="E513" s="29"/>
      <c r="F513" s="28">
        <f>SUMIFS(F514:F1509,K514:K1509,"0",B514:B1509,"5 1 1 1 3 12 31111 6 M78 05000*")</f>
        <v>1171623.27</v>
      </c>
      <c r="G513" s="28">
        <f>SUMIFS(G514:G1509,K514:K1509,"0",B514:B1509,"5 1 1 1 3 12 31111 6 M78 05000*")</f>
        <v>0</v>
      </c>
      <c r="H513" s="28">
        <f t="shared" si="12"/>
        <v>1171623.27</v>
      </c>
      <c r="I513" s="28"/>
      <c r="K513" t="s">
        <v>15</v>
      </c>
    </row>
    <row r="514" spans="2:11" ht="13" x14ac:dyDescent="0.15">
      <c r="B514" s="27" t="s">
        <v>769</v>
      </c>
      <c r="C514" s="27" t="s">
        <v>770</v>
      </c>
      <c r="D514" s="28">
        <f>SUMIFS(D515:D1509,K515:K1509,"0",B515:B1509,"5 1 1 1 3 12 31111 6 M78 05000 111*")-SUMIFS(E515:E1509,K515:K1509,"0",B515:B1509,"5 1 1 1 3 12 31111 6 M78 05000 111*")</f>
        <v>0</v>
      </c>
      <c r="E514" s="29"/>
      <c r="F514" s="28">
        <f>SUMIFS(F515:F1509,K515:K1509,"0",B515:B1509,"5 1 1 1 3 12 31111 6 M78 05000 111*")</f>
        <v>1171623.27</v>
      </c>
      <c r="G514" s="28">
        <f>SUMIFS(G515:G1509,K515:K1509,"0",B515:B1509,"5 1 1 1 3 12 31111 6 M78 05000 111*")</f>
        <v>0</v>
      </c>
      <c r="H514" s="28">
        <f t="shared" si="12"/>
        <v>1171623.27</v>
      </c>
      <c r="I514" s="28"/>
      <c r="K514" t="s">
        <v>15</v>
      </c>
    </row>
    <row r="515" spans="2:11" ht="13" x14ac:dyDescent="0.15">
      <c r="B515" s="27" t="s">
        <v>771</v>
      </c>
      <c r="C515" s="27" t="s">
        <v>170</v>
      </c>
      <c r="D515" s="28">
        <f>SUMIFS(D516:D1509,K516:K1509,"0",B516:B1509,"5 1 1 1 3 12 31111 6 M78 05000 111 00C*")-SUMIFS(E516:E1509,K516:K1509,"0",B516:B1509,"5 1 1 1 3 12 31111 6 M78 05000 111 00C*")</f>
        <v>0</v>
      </c>
      <c r="E515" s="29"/>
      <c r="F515" s="28">
        <f>SUMIFS(F516:F1509,K516:K1509,"0",B516:B1509,"5 1 1 1 3 12 31111 6 M78 05000 111 00C*")</f>
        <v>1171623.27</v>
      </c>
      <c r="G515" s="28">
        <f>SUMIFS(G516:G1509,K516:K1509,"0",B516:B1509,"5 1 1 1 3 12 31111 6 M78 05000 111 00C*")</f>
        <v>0</v>
      </c>
      <c r="H515" s="28">
        <f t="shared" si="12"/>
        <v>1171623.27</v>
      </c>
      <c r="I515" s="28"/>
      <c r="K515" t="s">
        <v>15</v>
      </c>
    </row>
    <row r="516" spans="2:11" ht="22" x14ac:dyDescent="0.15">
      <c r="B516" s="27" t="s">
        <v>772</v>
      </c>
      <c r="C516" s="27" t="s">
        <v>9</v>
      </c>
      <c r="D516" s="28">
        <f>SUMIFS(D517:D1509,K517:K1509,"0",B517:B1509,"5 1 1 1 3 12 31111 6 M78 05000 111 00C 001*")-SUMIFS(E517:E1509,K517:K1509,"0",B517:B1509,"5 1 1 1 3 12 31111 6 M78 05000 111 00C 001*")</f>
        <v>0</v>
      </c>
      <c r="E516" s="29"/>
      <c r="F516" s="28">
        <f>SUMIFS(F517:F1509,K517:K1509,"0",B517:B1509,"5 1 1 1 3 12 31111 6 M78 05000 111 00C 001*")</f>
        <v>1171623.27</v>
      </c>
      <c r="G516" s="28">
        <f>SUMIFS(G517:G1509,K517:K1509,"0",B517:B1509,"5 1 1 1 3 12 31111 6 M78 05000 111 00C 001*")</f>
        <v>0</v>
      </c>
      <c r="H516" s="28">
        <f t="shared" si="12"/>
        <v>1171623.27</v>
      </c>
      <c r="I516" s="28"/>
      <c r="K516" t="s">
        <v>15</v>
      </c>
    </row>
    <row r="517" spans="2:11" ht="22" x14ac:dyDescent="0.15">
      <c r="B517" s="27" t="s">
        <v>773</v>
      </c>
      <c r="C517" s="27" t="s">
        <v>741</v>
      </c>
      <c r="D517" s="28">
        <f>SUMIFS(D518:D1509,K518:K1509,"0",B518:B1509,"5 1 1 1 3 12 31111 6 M78 05000 111 00C 001 11301*")-SUMIFS(E518:E1509,K518:K1509,"0",B518:B1509,"5 1 1 1 3 12 31111 6 M78 05000 111 00C 001 11301*")</f>
        <v>0</v>
      </c>
      <c r="E517" s="29"/>
      <c r="F517" s="28">
        <f>SUMIFS(F518:F1509,K518:K1509,"0",B518:B1509,"5 1 1 1 3 12 31111 6 M78 05000 111 00C 001 11301*")</f>
        <v>1171623.27</v>
      </c>
      <c r="G517" s="28">
        <f>SUMIFS(G518:G1509,K518:K1509,"0",B518:B1509,"5 1 1 1 3 12 31111 6 M78 05000 111 00C 001 11301*")</f>
        <v>0</v>
      </c>
      <c r="H517" s="28">
        <f t="shared" si="12"/>
        <v>1171623.27</v>
      </c>
      <c r="I517" s="28"/>
      <c r="K517" t="s">
        <v>15</v>
      </c>
    </row>
    <row r="518" spans="2:11" ht="22" x14ac:dyDescent="0.15">
      <c r="B518" s="27" t="s">
        <v>774</v>
      </c>
      <c r="C518" s="27" t="s">
        <v>176</v>
      </c>
      <c r="D518" s="28">
        <f>SUMIFS(D519:D1509,K519:K1509,"0",B519:B1509,"5 1 1 1 3 12 31111 6 M78 05000 111 00C 001 11301 015*")-SUMIFS(E519:E1509,K519:K1509,"0",B519:B1509,"5 1 1 1 3 12 31111 6 M78 05000 111 00C 001 11301 015*")</f>
        <v>0</v>
      </c>
      <c r="E518" s="29"/>
      <c r="F518" s="28">
        <f>SUMIFS(F519:F1509,K519:K1509,"0",B519:B1509,"5 1 1 1 3 12 31111 6 M78 05000 111 00C 001 11301 015*")</f>
        <v>1171623.27</v>
      </c>
      <c r="G518" s="28">
        <f>SUMIFS(G519:G1509,K519:K1509,"0",B519:B1509,"5 1 1 1 3 12 31111 6 M78 05000 111 00C 001 11301 015*")</f>
        <v>0</v>
      </c>
      <c r="H518" s="28">
        <f t="shared" si="12"/>
        <v>1171623.27</v>
      </c>
      <c r="I518" s="28"/>
      <c r="K518" t="s">
        <v>15</v>
      </c>
    </row>
    <row r="519" spans="2:11" ht="22" x14ac:dyDescent="0.15">
      <c r="B519" s="27" t="s">
        <v>775</v>
      </c>
      <c r="C519" s="27" t="s">
        <v>744</v>
      </c>
      <c r="D519" s="28">
        <f>SUMIFS(D520:D1509,K520:K1509,"0",B520:B1509,"5 1 1 1 3 12 31111 6 M78 05000 111 00C 001 11301 015 2111100*")-SUMIFS(E520:E1509,K520:K1509,"0",B520:B1509,"5 1 1 1 3 12 31111 6 M78 05000 111 00C 001 11301 015 2111100*")</f>
        <v>0</v>
      </c>
      <c r="E519" s="29"/>
      <c r="F519" s="28">
        <f>SUMIFS(F520:F1509,K520:K1509,"0",B520:B1509,"5 1 1 1 3 12 31111 6 M78 05000 111 00C 001 11301 015 2111100*")</f>
        <v>1171623.27</v>
      </c>
      <c r="G519" s="28">
        <f>SUMIFS(G520:G1509,K520:K1509,"0",B520:B1509,"5 1 1 1 3 12 31111 6 M78 05000 111 00C 001 11301 015 2111100*")</f>
        <v>0</v>
      </c>
      <c r="H519" s="28">
        <f t="shared" si="12"/>
        <v>1171623.27</v>
      </c>
      <c r="I519" s="28"/>
      <c r="K519" t="s">
        <v>15</v>
      </c>
    </row>
    <row r="520" spans="2:11" ht="22" x14ac:dyDescent="0.15">
      <c r="B520" s="27" t="s">
        <v>776</v>
      </c>
      <c r="C520" s="27" t="s">
        <v>248</v>
      </c>
      <c r="D520" s="28">
        <f>SUMIFS(D521:D1509,K521:K1509,"0",B521:B1509,"5 1 1 1 3 12 31111 6 M78 05000 111 00C 001 11301 015 2111100 2024*")-SUMIFS(E521:E1509,K521:K1509,"0",B521:B1509,"5 1 1 1 3 12 31111 6 M78 05000 111 00C 001 11301 015 2111100 2024*")</f>
        <v>0</v>
      </c>
      <c r="E520" s="29"/>
      <c r="F520" s="28">
        <f>SUMIFS(F521:F1509,K521:K1509,"0",B521:B1509,"5 1 1 1 3 12 31111 6 M78 05000 111 00C 001 11301 015 2111100 2024*")</f>
        <v>1171623.27</v>
      </c>
      <c r="G520" s="28">
        <f>SUMIFS(G521:G1509,K521:K1509,"0",B521:B1509,"5 1 1 1 3 12 31111 6 M78 05000 111 00C 001 11301 015 2111100 2024*")</f>
        <v>0</v>
      </c>
      <c r="H520" s="28">
        <f t="shared" si="12"/>
        <v>1171623.27</v>
      </c>
      <c r="I520" s="28"/>
      <c r="K520" t="s">
        <v>15</v>
      </c>
    </row>
    <row r="521" spans="2:11" ht="22" x14ac:dyDescent="0.15">
      <c r="B521" s="27" t="s">
        <v>777</v>
      </c>
      <c r="C521" s="27" t="s">
        <v>182</v>
      </c>
      <c r="D521" s="28">
        <f>SUMIFS(D522:D1509,K522:K1509,"0",B522:B1509,"5 1 1 1 3 12 31111 6 M78 05000 111 00C 001 11301 015 2111100 2024 00000000*")-SUMIFS(E522:E1509,K522:K1509,"0",B522:B1509,"5 1 1 1 3 12 31111 6 M78 05000 111 00C 001 11301 015 2111100 2024 00000000*")</f>
        <v>0</v>
      </c>
      <c r="E521" s="29"/>
      <c r="F521" s="28">
        <f>SUMIFS(F522:F1509,K522:K1509,"0",B522:B1509,"5 1 1 1 3 12 31111 6 M78 05000 111 00C 001 11301 015 2111100 2024 00000000*")</f>
        <v>1171623.27</v>
      </c>
      <c r="G521" s="28">
        <f>SUMIFS(G522:G1509,K522:K1509,"0",B522:B1509,"5 1 1 1 3 12 31111 6 M78 05000 111 00C 001 11301 015 2111100 2024 00000000*")</f>
        <v>0</v>
      </c>
      <c r="H521" s="28">
        <f t="shared" si="12"/>
        <v>1171623.27</v>
      </c>
      <c r="I521" s="28"/>
      <c r="K521" t="s">
        <v>15</v>
      </c>
    </row>
    <row r="522" spans="2:11" ht="33" x14ac:dyDescent="0.15">
      <c r="B522" s="27" t="s">
        <v>778</v>
      </c>
      <c r="C522" s="27" t="s">
        <v>9</v>
      </c>
      <c r="D522" s="28">
        <f>SUMIFS(D523:D1509,K523:K1509,"0",B523:B1509,"5 1 1 1 3 12 31111 6 M78 05000 111 00C 001 11301 015 2111100 2024 00000000 001*")-SUMIFS(E523:E1509,K523:K1509,"0",B523:B1509,"5 1 1 1 3 12 31111 6 M78 05000 111 00C 001 11301 015 2111100 2024 00000000 001*")</f>
        <v>0</v>
      </c>
      <c r="E522" s="29"/>
      <c r="F522" s="28">
        <f>SUMIFS(F523:F1509,K523:K1509,"0",B523:B1509,"5 1 1 1 3 12 31111 6 M78 05000 111 00C 001 11301 015 2111100 2024 00000000 001*")</f>
        <v>1171623.27</v>
      </c>
      <c r="G522" s="28">
        <f>SUMIFS(G523:G1509,K523:K1509,"0",B523:B1509,"5 1 1 1 3 12 31111 6 M78 05000 111 00C 001 11301 015 2111100 2024 00000000 001*")</f>
        <v>0</v>
      </c>
      <c r="H522" s="28">
        <f t="shared" si="12"/>
        <v>1171623.27</v>
      </c>
      <c r="I522" s="28"/>
      <c r="K522" t="s">
        <v>15</v>
      </c>
    </row>
    <row r="523" spans="2:11" ht="33" x14ac:dyDescent="0.15">
      <c r="B523" s="27" t="s">
        <v>779</v>
      </c>
      <c r="C523" s="27" t="s">
        <v>780</v>
      </c>
      <c r="D523" s="28">
        <f>SUMIFS(D524:D1509,K524:K1509,"0",B524:B1509,"5 1 1 1 3 12 31111 6 M78 05000 111 00C 001 11301 015 2111100 2024 00000000 001 001*")-SUMIFS(E524:E1509,K524:K1509,"0",B524:B1509,"5 1 1 1 3 12 31111 6 M78 05000 111 00C 001 11301 015 2111100 2024 00000000 001 001*")</f>
        <v>0</v>
      </c>
      <c r="E523" s="29"/>
      <c r="F523" s="28">
        <f>SUMIFS(F524:F1509,K524:K1509,"0",B524:B1509,"5 1 1 1 3 12 31111 6 M78 05000 111 00C 001 11301 015 2111100 2024 00000000 001 001*")</f>
        <v>1171623.27</v>
      </c>
      <c r="G523" s="28">
        <f>SUMIFS(G524:G1509,K524:K1509,"0",B524:B1509,"5 1 1 1 3 12 31111 6 M78 05000 111 00C 001 11301 015 2111100 2024 00000000 001 001*")</f>
        <v>0</v>
      </c>
      <c r="H523" s="28">
        <f t="shared" si="12"/>
        <v>1171623.27</v>
      </c>
      <c r="I523" s="28"/>
      <c r="K523" t="s">
        <v>15</v>
      </c>
    </row>
    <row r="524" spans="2:11" ht="33" x14ac:dyDescent="0.15">
      <c r="B524" s="30" t="s">
        <v>781</v>
      </c>
      <c r="C524" s="30" t="s">
        <v>751</v>
      </c>
      <c r="D524" s="31">
        <v>0</v>
      </c>
      <c r="E524" s="31"/>
      <c r="F524" s="31">
        <v>1171623.27</v>
      </c>
      <c r="G524" s="31">
        <v>0</v>
      </c>
      <c r="H524" s="31">
        <f t="shared" si="12"/>
        <v>1171623.27</v>
      </c>
      <c r="I524" s="31"/>
      <c r="K524" t="s">
        <v>38</v>
      </c>
    </row>
    <row r="525" spans="2:11" ht="13" x14ac:dyDescent="0.15">
      <c r="B525" s="27" t="s">
        <v>782</v>
      </c>
      <c r="C525" s="27" t="s">
        <v>783</v>
      </c>
      <c r="D525" s="28">
        <f>SUMIFS(D526:D1509,K526:K1509,"0",B526:B1509,"5 1 1 1 3 12 31111 6 M78 06000*")-SUMIFS(E526:E1509,K526:K1509,"0",B526:B1509,"5 1 1 1 3 12 31111 6 M78 06000*")</f>
        <v>0</v>
      </c>
      <c r="E525" s="29"/>
      <c r="F525" s="28">
        <f>SUMIFS(F526:F1509,K526:K1509,"0",B526:B1509,"5 1 1 1 3 12 31111 6 M78 06000*")</f>
        <v>123399.42</v>
      </c>
      <c r="G525" s="28">
        <f>SUMIFS(G526:G1509,K526:K1509,"0",B526:B1509,"5 1 1 1 3 12 31111 6 M78 06000*")</f>
        <v>0</v>
      </c>
      <c r="H525" s="28">
        <f t="shared" si="12"/>
        <v>123399.42</v>
      </c>
      <c r="I525" s="28"/>
      <c r="K525" t="s">
        <v>15</v>
      </c>
    </row>
    <row r="526" spans="2:11" ht="13" x14ac:dyDescent="0.15">
      <c r="B526" s="27" t="s">
        <v>784</v>
      </c>
      <c r="C526" s="27" t="s">
        <v>785</v>
      </c>
      <c r="D526" s="28">
        <f>SUMIFS(D527:D1509,K527:K1509,"0",B527:B1509,"5 1 1 1 3 12 31111 6 M78 06000 132*")-SUMIFS(E527:E1509,K527:K1509,"0",B527:B1509,"5 1 1 1 3 12 31111 6 M78 06000 132*")</f>
        <v>0</v>
      </c>
      <c r="E526" s="29"/>
      <c r="F526" s="28">
        <f>SUMIFS(F527:F1509,K527:K1509,"0",B527:B1509,"5 1 1 1 3 12 31111 6 M78 06000 132*")</f>
        <v>123399.42</v>
      </c>
      <c r="G526" s="28">
        <f>SUMIFS(G527:G1509,K527:K1509,"0",B527:B1509,"5 1 1 1 3 12 31111 6 M78 06000 132*")</f>
        <v>0</v>
      </c>
      <c r="H526" s="28">
        <f t="shared" si="12"/>
        <v>123399.42</v>
      </c>
      <c r="I526" s="28"/>
      <c r="K526" t="s">
        <v>15</v>
      </c>
    </row>
    <row r="527" spans="2:11" ht="13" x14ac:dyDescent="0.15">
      <c r="B527" s="27" t="s">
        <v>786</v>
      </c>
      <c r="C527" s="27" t="s">
        <v>170</v>
      </c>
      <c r="D527" s="28">
        <f>SUMIFS(D528:D1509,K528:K1509,"0",B528:B1509,"5 1 1 1 3 12 31111 6 M78 06000 132 00C*")-SUMIFS(E528:E1509,K528:K1509,"0",B528:B1509,"5 1 1 1 3 12 31111 6 M78 06000 132 00C*")</f>
        <v>0</v>
      </c>
      <c r="E527" s="29"/>
      <c r="F527" s="28">
        <f>SUMIFS(F528:F1509,K528:K1509,"0",B528:B1509,"5 1 1 1 3 12 31111 6 M78 06000 132 00C*")</f>
        <v>123399.42</v>
      </c>
      <c r="G527" s="28">
        <f>SUMIFS(G528:G1509,K528:K1509,"0",B528:B1509,"5 1 1 1 3 12 31111 6 M78 06000 132 00C*")</f>
        <v>0</v>
      </c>
      <c r="H527" s="28">
        <f t="shared" si="12"/>
        <v>123399.42</v>
      </c>
      <c r="I527" s="28"/>
      <c r="K527" t="s">
        <v>15</v>
      </c>
    </row>
    <row r="528" spans="2:11" ht="22" x14ac:dyDescent="0.15">
      <c r="B528" s="27" t="s">
        <v>787</v>
      </c>
      <c r="C528" s="27" t="s">
        <v>9</v>
      </c>
      <c r="D528" s="28">
        <f>SUMIFS(D529:D1509,K529:K1509,"0",B529:B1509,"5 1 1 1 3 12 31111 6 M78 06000 132 00C 001*")-SUMIFS(E529:E1509,K529:K1509,"0",B529:B1509,"5 1 1 1 3 12 31111 6 M78 06000 132 00C 001*")</f>
        <v>0</v>
      </c>
      <c r="E528" s="29"/>
      <c r="F528" s="28">
        <f>SUMIFS(F529:F1509,K529:K1509,"0",B529:B1509,"5 1 1 1 3 12 31111 6 M78 06000 132 00C 001*")</f>
        <v>123399.42</v>
      </c>
      <c r="G528" s="28">
        <f>SUMIFS(G529:G1509,K529:K1509,"0",B529:B1509,"5 1 1 1 3 12 31111 6 M78 06000 132 00C 001*")</f>
        <v>0</v>
      </c>
      <c r="H528" s="28">
        <f t="shared" si="12"/>
        <v>123399.42</v>
      </c>
      <c r="I528" s="28"/>
      <c r="K528" t="s">
        <v>15</v>
      </c>
    </row>
    <row r="529" spans="2:11" ht="22" x14ac:dyDescent="0.15">
      <c r="B529" s="27" t="s">
        <v>788</v>
      </c>
      <c r="C529" s="27" t="s">
        <v>741</v>
      </c>
      <c r="D529" s="28">
        <f>SUMIFS(D530:D1509,K530:K1509,"0",B530:B1509,"5 1 1 1 3 12 31111 6 M78 06000 132 00C 001 11301*")-SUMIFS(E530:E1509,K530:K1509,"0",B530:B1509,"5 1 1 1 3 12 31111 6 M78 06000 132 00C 001 11301*")</f>
        <v>0</v>
      </c>
      <c r="E529" s="29"/>
      <c r="F529" s="28">
        <f>SUMIFS(F530:F1509,K530:K1509,"0",B530:B1509,"5 1 1 1 3 12 31111 6 M78 06000 132 00C 001 11301*")</f>
        <v>114500</v>
      </c>
      <c r="G529" s="28">
        <f>SUMIFS(G530:G1509,K530:K1509,"0",B530:B1509,"5 1 1 1 3 12 31111 6 M78 06000 132 00C 001 11301*")</f>
        <v>0</v>
      </c>
      <c r="H529" s="28">
        <f t="shared" si="12"/>
        <v>114500</v>
      </c>
      <c r="I529" s="28"/>
      <c r="K529" t="s">
        <v>15</v>
      </c>
    </row>
    <row r="530" spans="2:11" ht="22" x14ac:dyDescent="0.15">
      <c r="B530" s="27" t="s">
        <v>789</v>
      </c>
      <c r="C530" s="27" t="s">
        <v>176</v>
      </c>
      <c r="D530" s="28">
        <f>SUMIFS(D531:D1509,K531:K1509,"0",B531:B1509,"5 1 1 1 3 12 31111 6 M78 06000 132 00C 001 11301 015*")-SUMIFS(E531:E1509,K531:K1509,"0",B531:B1509,"5 1 1 1 3 12 31111 6 M78 06000 132 00C 001 11301 015*")</f>
        <v>0</v>
      </c>
      <c r="E530" s="29"/>
      <c r="F530" s="28">
        <f>SUMIFS(F531:F1509,K531:K1509,"0",B531:B1509,"5 1 1 1 3 12 31111 6 M78 06000 132 00C 001 11301 015*")</f>
        <v>114500</v>
      </c>
      <c r="G530" s="28">
        <f>SUMIFS(G531:G1509,K531:K1509,"0",B531:B1509,"5 1 1 1 3 12 31111 6 M78 06000 132 00C 001 11301 015*")</f>
        <v>0</v>
      </c>
      <c r="H530" s="28">
        <f t="shared" si="12"/>
        <v>114500</v>
      </c>
      <c r="I530" s="28"/>
      <c r="K530" t="s">
        <v>15</v>
      </c>
    </row>
    <row r="531" spans="2:11" ht="22" x14ac:dyDescent="0.15">
      <c r="B531" s="27" t="s">
        <v>790</v>
      </c>
      <c r="C531" s="27" t="s">
        <v>744</v>
      </c>
      <c r="D531" s="28">
        <f>SUMIFS(D532:D1509,K532:K1509,"0",B532:B1509,"5 1 1 1 3 12 31111 6 M78 06000 132 00C 001 11301 015 2111100*")-SUMIFS(E532:E1509,K532:K1509,"0",B532:B1509,"5 1 1 1 3 12 31111 6 M78 06000 132 00C 001 11301 015 2111100*")</f>
        <v>0</v>
      </c>
      <c r="E531" s="29"/>
      <c r="F531" s="28">
        <f>SUMIFS(F532:F1509,K532:K1509,"0",B532:B1509,"5 1 1 1 3 12 31111 6 M78 06000 132 00C 001 11301 015 2111100*")</f>
        <v>114500</v>
      </c>
      <c r="G531" s="28">
        <f>SUMIFS(G532:G1509,K532:K1509,"0",B532:B1509,"5 1 1 1 3 12 31111 6 M78 06000 132 00C 001 11301 015 2111100*")</f>
        <v>0</v>
      </c>
      <c r="H531" s="28">
        <f t="shared" si="12"/>
        <v>114500</v>
      </c>
      <c r="I531" s="28"/>
      <c r="K531" t="s">
        <v>15</v>
      </c>
    </row>
    <row r="532" spans="2:11" ht="22" x14ac:dyDescent="0.15">
      <c r="B532" s="27" t="s">
        <v>791</v>
      </c>
      <c r="C532" s="27" t="s">
        <v>248</v>
      </c>
      <c r="D532" s="28">
        <f>SUMIFS(D533:D1509,K533:K1509,"0",B533:B1509,"5 1 1 1 3 12 31111 6 M78 06000 132 00C 001 11301 015 2111100 2024*")-SUMIFS(E533:E1509,K533:K1509,"0",B533:B1509,"5 1 1 1 3 12 31111 6 M78 06000 132 00C 001 11301 015 2111100 2024*")</f>
        <v>0</v>
      </c>
      <c r="E532" s="29"/>
      <c r="F532" s="28">
        <f>SUMIFS(F533:F1509,K533:K1509,"0",B533:B1509,"5 1 1 1 3 12 31111 6 M78 06000 132 00C 001 11301 015 2111100 2024*")</f>
        <v>114500</v>
      </c>
      <c r="G532" s="28">
        <f>SUMIFS(G533:G1509,K533:K1509,"0",B533:B1509,"5 1 1 1 3 12 31111 6 M78 06000 132 00C 001 11301 015 2111100 2024*")</f>
        <v>0</v>
      </c>
      <c r="H532" s="28">
        <f t="shared" si="12"/>
        <v>114500</v>
      </c>
      <c r="I532" s="28"/>
      <c r="K532" t="s">
        <v>15</v>
      </c>
    </row>
    <row r="533" spans="2:11" ht="22" x14ac:dyDescent="0.15">
      <c r="B533" s="27" t="s">
        <v>792</v>
      </c>
      <c r="C533" s="27" t="s">
        <v>182</v>
      </c>
      <c r="D533" s="28">
        <f>SUMIFS(D534:D1509,K534:K1509,"0",B534:B1509,"5 1 1 1 3 12 31111 6 M78 06000 132 00C 001 11301 015 2111100 2024 00000000*")-SUMIFS(E534:E1509,K534:K1509,"0",B534:B1509,"5 1 1 1 3 12 31111 6 M78 06000 132 00C 001 11301 015 2111100 2024 00000000*")</f>
        <v>0</v>
      </c>
      <c r="E533" s="29"/>
      <c r="F533" s="28">
        <f>SUMIFS(F534:F1509,K534:K1509,"0",B534:B1509,"5 1 1 1 3 12 31111 6 M78 06000 132 00C 001 11301 015 2111100 2024 00000000*")</f>
        <v>114500</v>
      </c>
      <c r="G533" s="28">
        <f>SUMIFS(G534:G1509,K534:K1509,"0",B534:B1509,"5 1 1 1 3 12 31111 6 M78 06000 132 00C 001 11301 015 2111100 2024 00000000*")</f>
        <v>0</v>
      </c>
      <c r="H533" s="28">
        <f t="shared" si="12"/>
        <v>114500</v>
      </c>
      <c r="I533" s="28"/>
      <c r="K533" t="s">
        <v>15</v>
      </c>
    </row>
    <row r="534" spans="2:11" ht="33" x14ac:dyDescent="0.15">
      <c r="B534" s="27" t="s">
        <v>793</v>
      </c>
      <c r="C534" s="27" t="s">
        <v>9</v>
      </c>
      <c r="D534" s="28">
        <f>SUMIFS(D535:D1509,K535:K1509,"0",B535:B1509,"5 1 1 1 3 12 31111 6 M78 06000 132 00C 001 11301 015 2111100 2024 00000000 001*")-SUMIFS(E535:E1509,K535:K1509,"0",B535:B1509,"5 1 1 1 3 12 31111 6 M78 06000 132 00C 001 11301 015 2111100 2024 00000000 001*")</f>
        <v>0</v>
      </c>
      <c r="E534" s="29"/>
      <c r="F534" s="28">
        <f>SUMIFS(F535:F1509,K535:K1509,"0",B535:B1509,"5 1 1 1 3 12 31111 6 M78 06000 132 00C 001 11301 015 2111100 2024 00000000 001*")</f>
        <v>114500</v>
      </c>
      <c r="G534" s="28">
        <f>SUMIFS(G535:G1509,K535:K1509,"0",B535:B1509,"5 1 1 1 3 12 31111 6 M78 06000 132 00C 001 11301 015 2111100 2024 00000000 001*")</f>
        <v>0</v>
      </c>
      <c r="H534" s="28">
        <f t="shared" si="12"/>
        <v>114500</v>
      </c>
      <c r="I534" s="28"/>
      <c r="K534" t="s">
        <v>15</v>
      </c>
    </row>
    <row r="535" spans="2:11" ht="33" x14ac:dyDescent="0.15">
      <c r="B535" s="27" t="s">
        <v>794</v>
      </c>
      <c r="C535" s="27" t="s">
        <v>795</v>
      </c>
      <c r="D535" s="28">
        <f>SUMIFS(D536:D1509,K536:K1509,"0",B536:B1509,"5 1 1 1 3 12 31111 6 M78 06000 132 00C 001 11301 015 2111100 2024 00000000 001 001*")-SUMIFS(E536:E1509,K536:K1509,"0",B536:B1509,"5 1 1 1 3 12 31111 6 M78 06000 132 00C 001 11301 015 2111100 2024 00000000 001 001*")</f>
        <v>0</v>
      </c>
      <c r="E535" s="29"/>
      <c r="F535" s="28">
        <f>SUMIFS(F536:F1509,K536:K1509,"0",B536:B1509,"5 1 1 1 3 12 31111 6 M78 06000 132 00C 001 11301 015 2111100 2024 00000000 001 001*")</f>
        <v>114500</v>
      </c>
      <c r="G535" s="28">
        <f>SUMIFS(G536:G1509,K536:K1509,"0",B536:B1509,"5 1 1 1 3 12 31111 6 M78 06000 132 00C 001 11301 015 2111100 2024 00000000 001 001*")</f>
        <v>0</v>
      </c>
      <c r="H535" s="28">
        <f t="shared" si="12"/>
        <v>114500</v>
      </c>
      <c r="I535" s="28"/>
      <c r="K535" t="s">
        <v>15</v>
      </c>
    </row>
    <row r="536" spans="2:11" ht="33" x14ac:dyDescent="0.15">
      <c r="B536" s="30" t="s">
        <v>796</v>
      </c>
      <c r="C536" s="30" t="s">
        <v>751</v>
      </c>
      <c r="D536" s="31">
        <v>0</v>
      </c>
      <c r="E536" s="31"/>
      <c r="F536" s="31">
        <v>114500</v>
      </c>
      <c r="G536" s="31">
        <v>0</v>
      </c>
      <c r="H536" s="31">
        <f t="shared" si="12"/>
        <v>114500</v>
      </c>
      <c r="I536" s="31"/>
      <c r="K536" t="s">
        <v>38</v>
      </c>
    </row>
    <row r="537" spans="2:11" ht="22" x14ac:dyDescent="0.15">
      <c r="B537" s="27" t="s">
        <v>797</v>
      </c>
      <c r="C537" s="27" t="s">
        <v>798</v>
      </c>
      <c r="D537" s="28">
        <f>SUMIFS(D538:D1509,K538:K1509,"0",B538:B1509,"5 1 1 1 3 12 31111 6 M78 06000 132 00C 001 13403*")-SUMIFS(E538:E1509,K538:K1509,"0",B538:B1509,"5 1 1 1 3 12 31111 6 M78 06000 132 00C 001 13403*")</f>
        <v>0</v>
      </c>
      <c r="E537" s="29"/>
      <c r="F537" s="28">
        <f>SUMIFS(F538:F1509,K538:K1509,"0",B538:B1509,"5 1 1 1 3 12 31111 6 M78 06000 132 00C 001 13403*")</f>
        <v>8899.42</v>
      </c>
      <c r="G537" s="28">
        <f>SUMIFS(G538:G1509,K538:K1509,"0",B538:B1509,"5 1 1 1 3 12 31111 6 M78 06000 132 00C 001 13403*")</f>
        <v>0</v>
      </c>
      <c r="H537" s="28">
        <f t="shared" si="12"/>
        <v>8899.42</v>
      </c>
      <c r="I537" s="28"/>
      <c r="K537" t="s">
        <v>15</v>
      </c>
    </row>
    <row r="538" spans="2:11" ht="22" x14ac:dyDescent="0.15">
      <c r="B538" s="27" t="s">
        <v>799</v>
      </c>
      <c r="C538" s="27" t="s">
        <v>733</v>
      </c>
      <c r="D538" s="28">
        <f>SUMIFS(D539:D1509,K539:K1509,"0",B539:B1509,"5 1 1 1 3 12 31111 6 M78 06000 132 00C 001 13403 015*")-SUMIFS(E539:E1509,K539:K1509,"0",B539:B1509,"5 1 1 1 3 12 31111 6 M78 06000 132 00C 001 13403 015*")</f>
        <v>0</v>
      </c>
      <c r="E538" s="29"/>
      <c r="F538" s="28">
        <f>SUMIFS(F539:F1509,K539:K1509,"0",B539:B1509,"5 1 1 1 3 12 31111 6 M78 06000 132 00C 001 13403 015*")</f>
        <v>8899.42</v>
      </c>
      <c r="G538" s="28">
        <f>SUMIFS(G539:G1509,K539:K1509,"0",B539:B1509,"5 1 1 1 3 12 31111 6 M78 06000 132 00C 001 13403 015*")</f>
        <v>0</v>
      </c>
      <c r="H538" s="28">
        <f t="shared" si="12"/>
        <v>8899.42</v>
      </c>
      <c r="I538" s="28"/>
      <c r="K538" t="s">
        <v>15</v>
      </c>
    </row>
    <row r="539" spans="2:11" ht="22" x14ac:dyDescent="0.15">
      <c r="B539" s="27" t="s">
        <v>800</v>
      </c>
      <c r="C539" s="27" t="s">
        <v>744</v>
      </c>
      <c r="D539" s="28">
        <f>SUMIFS(D540:D1509,K540:K1509,"0",B540:B1509,"5 1 1 1 3 12 31111 6 M78 06000 132 00C 001 13403 015 2111100*")-SUMIFS(E540:E1509,K540:K1509,"0",B540:B1509,"5 1 1 1 3 12 31111 6 M78 06000 132 00C 001 13403 015 2111100*")</f>
        <v>0</v>
      </c>
      <c r="E539" s="29"/>
      <c r="F539" s="28">
        <f>SUMIFS(F540:F1509,K540:K1509,"0",B540:B1509,"5 1 1 1 3 12 31111 6 M78 06000 132 00C 001 13403 015 2111100*")</f>
        <v>8899.42</v>
      </c>
      <c r="G539" s="28">
        <f>SUMIFS(G540:G1509,K540:K1509,"0",B540:B1509,"5 1 1 1 3 12 31111 6 M78 06000 132 00C 001 13403 015 2111100*")</f>
        <v>0</v>
      </c>
      <c r="H539" s="28">
        <f t="shared" si="12"/>
        <v>8899.42</v>
      </c>
      <c r="I539" s="28"/>
      <c r="K539" t="s">
        <v>15</v>
      </c>
    </row>
    <row r="540" spans="2:11" ht="22" x14ac:dyDescent="0.15">
      <c r="B540" s="27" t="s">
        <v>801</v>
      </c>
      <c r="C540" s="27" t="s">
        <v>248</v>
      </c>
      <c r="D540" s="28">
        <f>SUMIFS(D541:D1509,K541:K1509,"0",B541:B1509,"5 1 1 1 3 12 31111 6 M78 06000 132 00C 001 13403 015 2111100 2024*")-SUMIFS(E541:E1509,K541:K1509,"0",B541:B1509,"5 1 1 1 3 12 31111 6 M78 06000 132 00C 001 13403 015 2111100 2024*")</f>
        <v>0</v>
      </c>
      <c r="E540" s="29"/>
      <c r="F540" s="28">
        <f>SUMIFS(F541:F1509,K541:K1509,"0",B541:B1509,"5 1 1 1 3 12 31111 6 M78 06000 132 00C 001 13403 015 2111100 2024*")</f>
        <v>8899.42</v>
      </c>
      <c r="G540" s="28">
        <f>SUMIFS(G541:G1509,K541:K1509,"0",B541:B1509,"5 1 1 1 3 12 31111 6 M78 06000 132 00C 001 13403 015 2111100 2024*")</f>
        <v>0</v>
      </c>
      <c r="H540" s="28">
        <f t="shared" si="12"/>
        <v>8899.42</v>
      </c>
      <c r="I540" s="28"/>
      <c r="K540" t="s">
        <v>15</v>
      </c>
    </row>
    <row r="541" spans="2:11" ht="22" x14ac:dyDescent="0.15">
      <c r="B541" s="30" t="s">
        <v>802</v>
      </c>
      <c r="C541" s="30" t="s">
        <v>182</v>
      </c>
      <c r="D541" s="31">
        <v>0</v>
      </c>
      <c r="E541" s="31"/>
      <c r="F541" s="31">
        <v>8899.42</v>
      </c>
      <c r="G541" s="31">
        <v>0</v>
      </c>
      <c r="H541" s="31">
        <f t="shared" si="12"/>
        <v>8899.42</v>
      </c>
      <c r="I541" s="31"/>
      <c r="K541" t="s">
        <v>38</v>
      </c>
    </row>
    <row r="542" spans="2:11" ht="13" x14ac:dyDescent="0.15">
      <c r="B542" s="27" t="s">
        <v>803</v>
      </c>
      <c r="C542" s="27" t="s">
        <v>8</v>
      </c>
      <c r="D542" s="28">
        <f>SUMIFS(D543:D1509,K543:K1509,"0",B543:B1509,"5 1 1 1 3 12 31111 6 M78 07000*")-SUMIFS(E543:E1509,K543:K1509,"0",B543:B1509,"5 1 1 1 3 12 31111 6 M78 07000*")</f>
        <v>0</v>
      </c>
      <c r="E542" s="29"/>
      <c r="F542" s="28">
        <f>SUMIFS(F543:F1509,K543:K1509,"0",B543:B1509,"5 1 1 1 3 12 31111 6 M78 07000*")</f>
        <v>413640</v>
      </c>
      <c r="G542" s="28">
        <f>SUMIFS(G543:G1509,K543:K1509,"0",B543:B1509,"5 1 1 1 3 12 31111 6 M78 07000*")</f>
        <v>0</v>
      </c>
      <c r="H542" s="28">
        <f t="shared" si="12"/>
        <v>413640</v>
      </c>
      <c r="I542" s="28"/>
      <c r="K542" t="s">
        <v>15</v>
      </c>
    </row>
    <row r="543" spans="2:11" ht="13" x14ac:dyDescent="0.15">
      <c r="B543" s="27" t="s">
        <v>804</v>
      </c>
      <c r="C543" s="27" t="s">
        <v>168</v>
      </c>
      <c r="D543" s="28">
        <f>SUMIFS(D544:D1509,K544:K1509,"0",B544:B1509,"5 1 1 1 3 12 31111 6 M78 07000 151*")-SUMIFS(E544:E1509,K544:K1509,"0",B544:B1509,"5 1 1 1 3 12 31111 6 M78 07000 151*")</f>
        <v>0</v>
      </c>
      <c r="E543" s="29"/>
      <c r="F543" s="28">
        <f>SUMIFS(F544:F1509,K544:K1509,"0",B544:B1509,"5 1 1 1 3 12 31111 6 M78 07000 151*")</f>
        <v>413640</v>
      </c>
      <c r="G543" s="28">
        <f>SUMIFS(G544:G1509,K544:K1509,"0",B544:B1509,"5 1 1 1 3 12 31111 6 M78 07000 151*")</f>
        <v>0</v>
      </c>
      <c r="H543" s="28">
        <f t="shared" si="12"/>
        <v>413640</v>
      </c>
      <c r="I543" s="28"/>
      <c r="K543" t="s">
        <v>15</v>
      </c>
    </row>
    <row r="544" spans="2:11" ht="13" x14ac:dyDescent="0.15">
      <c r="B544" s="27" t="s">
        <v>805</v>
      </c>
      <c r="C544" s="27" t="s">
        <v>170</v>
      </c>
      <c r="D544" s="28">
        <f>SUMIFS(D545:D1509,K545:K1509,"0",B545:B1509,"5 1 1 1 3 12 31111 6 M78 07000 151 00C*")-SUMIFS(E545:E1509,K545:K1509,"0",B545:B1509,"5 1 1 1 3 12 31111 6 M78 07000 151 00C*")</f>
        <v>0</v>
      </c>
      <c r="E544" s="29"/>
      <c r="F544" s="28">
        <f>SUMIFS(F545:F1509,K545:K1509,"0",B545:B1509,"5 1 1 1 3 12 31111 6 M78 07000 151 00C*")</f>
        <v>413640</v>
      </c>
      <c r="G544" s="28">
        <f>SUMIFS(G545:G1509,K545:K1509,"0",B545:B1509,"5 1 1 1 3 12 31111 6 M78 07000 151 00C*")</f>
        <v>0</v>
      </c>
      <c r="H544" s="28">
        <f t="shared" ref="H544:H607" si="13">D544 + F544 - G544</f>
        <v>413640</v>
      </c>
      <c r="I544" s="28"/>
      <c r="K544" t="s">
        <v>15</v>
      </c>
    </row>
    <row r="545" spans="2:11" ht="22" x14ac:dyDescent="0.15">
      <c r="B545" s="27" t="s">
        <v>806</v>
      </c>
      <c r="C545" s="27" t="s">
        <v>9</v>
      </c>
      <c r="D545" s="28">
        <f>SUMIFS(D546:D1509,K546:K1509,"0",B546:B1509,"5 1 1 1 3 12 31111 6 M78 07000 151 00C 001*")-SUMIFS(E546:E1509,K546:K1509,"0",B546:B1509,"5 1 1 1 3 12 31111 6 M78 07000 151 00C 001*")</f>
        <v>0</v>
      </c>
      <c r="E545" s="29"/>
      <c r="F545" s="28">
        <f>SUMIFS(F546:F1509,K546:K1509,"0",B546:B1509,"5 1 1 1 3 12 31111 6 M78 07000 151 00C 001*")</f>
        <v>413640</v>
      </c>
      <c r="G545" s="28">
        <f>SUMIFS(G546:G1509,K546:K1509,"0",B546:B1509,"5 1 1 1 3 12 31111 6 M78 07000 151 00C 001*")</f>
        <v>0</v>
      </c>
      <c r="H545" s="28">
        <f t="shared" si="13"/>
        <v>413640</v>
      </c>
      <c r="I545" s="28"/>
      <c r="K545" t="s">
        <v>15</v>
      </c>
    </row>
    <row r="546" spans="2:11" ht="22" x14ac:dyDescent="0.15">
      <c r="B546" s="27" t="s">
        <v>807</v>
      </c>
      <c r="C546" s="27" t="s">
        <v>741</v>
      </c>
      <c r="D546" s="28">
        <f>SUMIFS(D547:D1509,K547:K1509,"0",B547:B1509,"5 1 1 1 3 12 31111 6 M78 07000 151 00C 001 11301*")-SUMIFS(E547:E1509,K547:K1509,"0",B547:B1509,"5 1 1 1 3 12 31111 6 M78 07000 151 00C 001 11301*")</f>
        <v>0</v>
      </c>
      <c r="E546" s="29"/>
      <c r="F546" s="28">
        <f>SUMIFS(F547:F1509,K547:K1509,"0",B547:B1509,"5 1 1 1 3 12 31111 6 M78 07000 151 00C 001 11301*")</f>
        <v>413640</v>
      </c>
      <c r="G546" s="28">
        <f>SUMIFS(G547:G1509,K547:K1509,"0",B547:B1509,"5 1 1 1 3 12 31111 6 M78 07000 151 00C 001 11301*")</f>
        <v>0</v>
      </c>
      <c r="H546" s="28">
        <f t="shared" si="13"/>
        <v>413640</v>
      </c>
      <c r="I546" s="28"/>
      <c r="K546" t="s">
        <v>15</v>
      </c>
    </row>
    <row r="547" spans="2:11" ht="22" x14ac:dyDescent="0.15">
      <c r="B547" s="27" t="s">
        <v>808</v>
      </c>
      <c r="C547" s="27" t="s">
        <v>176</v>
      </c>
      <c r="D547" s="28">
        <f>SUMIFS(D548:D1509,K548:K1509,"0",B548:B1509,"5 1 1 1 3 12 31111 6 M78 07000 151 00C 001 11301 015*")-SUMIFS(E548:E1509,K548:K1509,"0",B548:B1509,"5 1 1 1 3 12 31111 6 M78 07000 151 00C 001 11301 015*")</f>
        <v>0</v>
      </c>
      <c r="E547" s="29"/>
      <c r="F547" s="28">
        <f>SUMIFS(F548:F1509,K548:K1509,"0",B548:B1509,"5 1 1 1 3 12 31111 6 M78 07000 151 00C 001 11301 015*")</f>
        <v>413640</v>
      </c>
      <c r="G547" s="28">
        <f>SUMIFS(G548:G1509,K548:K1509,"0",B548:B1509,"5 1 1 1 3 12 31111 6 M78 07000 151 00C 001 11301 015*")</f>
        <v>0</v>
      </c>
      <c r="H547" s="28">
        <f t="shared" si="13"/>
        <v>413640</v>
      </c>
      <c r="I547" s="28"/>
      <c r="K547" t="s">
        <v>15</v>
      </c>
    </row>
    <row r="548" spans="2:11" ht="22" x14ac:dyDescent="0.15">
      <c r="B548" s="27" t="s">
        <v>809</v>
      </c>
      <c r="C548" s="27" t="s">
        <v>744</v>
      </c>
      <c r="D548" s="28">
        <f>SUMIFS(D549:D1509,K549:K1509,"0",B549:B1509,"5 1 1 1 3 12 31111 6 M78 07000 151 00C 001 11301 015 2111100*")-SUMIFS(E549:E1509,K549:K1509,"0",B549:B1509,"5 1 1 1 3 12 31111 6 M78 07000 151 00C 001 11301 015 2111100*")</f>
        <v>0</v>
      </c>
      <c r="E548" s="29"/>
      <c r="F548" s="28">
        <f>SUMIFS(F549:F1509,K549:K1509,"0",B549:B1509,"5 1 1 1 3 12 31111 6 M78 07000 151 00C 001 11301 015 2111100*")</f>
        <v>413640</v>
      </c>
      <c r="G548" s="28">
        <f>SUMIFS(G549:G1509,K549:K1509,"0",B549:B1509,"5 1 1 1 3 12 31111 6 M78 07000 151 00C 001 11301 015 2111100*")</f>
        <v>0</v>
      </c>
      <c r="H548" s="28">
        <f t="shared" si="13"/>
        <v>413640</v>
      </c>
      <c r="I548" s="28"/>
      <c r="K548" t="s">
        <v>15</v>
      </c>
    </row>
    <row r="549" spans="2:11" ht="22" x14ac:dyDescent="0.15">
      <c r="B549" s="27" t="s">
        <v>810</v>
      </c>
      <c r="C549" s="27" t="s">
        <v>248</v>
      </c>
      <c r="D549" s="28">
        <f>SUMIFS(D550:D1509,K550:K1509,"0",B550:B1509,"5 1 1 1 3 12 31111 6 M78 07000 151 00C 001 11301 015 2111100 2024*")-SUMIFS(E550:E1509,K550:K1509,"0",B550:B1509,"5 1 1 1 3 12 31111 6 M78 07000 151 00C 001 11301 015 2111100 2024*")</f>
        <v>0</v>
      </c>
      <c r="E549" s="29"/>
      <c r="F549" s="28">
        <f>SUMIFS(F550:F1509,K550:K1509,"0",B550:B1509,"5 1 1 1 3 12 31111 6 M78 07000 151 00C 001 11301 015 2111100 2024*")</f>
        <v>413640</v>
      </c>
      <c r="G549" s="28">
        <f>SUMIFS(G550:G1509,K550:K1509,"0",B550:B1509,"5 1 1 1 3 12 31111 6 M78 07000 151 00C 001 11301 015 2111100 2024*")</f>
        <v>0</v>
      </c>
      <c r="H549" s="28">
        <f t="shared" si="13"/>
        <v>413640</v>
      </c>
      <c r="I549" s="28"/>
      <c r="K549" t="s">
        <v>15</v>
      </c>
    </row>
    <row r="550" spans="2:11" ht="22" x14ac:dyDescent="0.15">
      <c r="B550" s="27" t="s">
        <v>811</v>
      </c>
      <c r="C550" s="27" t="s">
        <v>182</v>
      </c>
      <c r="D550" s="28">
        <f>SUMIFS(D551:D1509,K551:K1509,"0",B551:B1509,"5 1 1 1 3 12 31111 6 M78 07000 151 00C 001 11301 015 2111100 2024 00000000*")-SUMIFS(E551:E1509,K551:K1509,"0",B551:B1509,"5 1 1 1 3 12 31111 6 M78 07000 151 00C 001 11301 015 2111100 2024 00000000*")</f>
        <v>0</v>
      </c>
      <c r="E550" s="29"/>
      <c r="F550" s="28">
        <f>SUMIFS(F551:F1509,K551:K1509,"0",B551:B1509,"5 1 1 1 3 12 31111 6 M78 07000 151 00C 001 11301 015 2111100 2024 00000000*")</f>
        <v>413640</v>
      </c>
      <c r="G550" s="28">
        <f>SUMIFS(G551:G1509,K551:K1509,"0",B551:B1509,"5 1 1 1 3 12 31111 6 M78 07000 151 00C 001 11301 015 2111100 2024 00000000*")</f>
        <v>0</v>
      </c>
      <c r="H550" s="28">
        <f t="shared" si="13"/>
        <v>413640</v>
      </c>
      <c r="I550" s="28"/>
      <c r="K550" t="s">
        <v>15</v>
      </c>
    </row>
    <row r="551" spans="2:11" ht="33" x14ac:dyDescent="0.15">
      <c r="B551" s="27" t="s">
        <v>812</v>
      </c>
      <c r="C551" s="27" t="s">
        <v>9</v>
      </c>
      <c r="D551" s="28">
        <f>SUMIFS(D552:D1509,K552:K1509,"0",B552:B1509,"5 1 1 1 3 12 31111 6 M78 07000 151 00C 001 11301 015 2111100 2024 00000000 001*")-SUMIFS(E552:E1509,K552:K1509,"0",B552:B1509,"5 1 1 1 3 12 31111 6 M78 07000 151 00C 001 11301 015 2111100 2024 00000000 001*")</f>
        <v>0</v>
      </c>
      <c r="E551" s="29"/>
      <c r="F551" s="28">
        <f>SUMIFS(F552:F1509,K552:K1509,"0",B552:B1509,"5 1 1 1 3 12 31111 6 M78 07000 151 00C 001 11301 015 2111100 2024 00000000 001*")</f>
        <v>413640</v>
      </c>
      <c r="G551" s="28">
        <f>SUMIFS(G552:G1509,K552:K1509,"0",B552:B1509,"5 1 1 1 3 12 31111 6 M78 07000 151 00C 001 11301 015 2111100 2024 00000000 001*")</f>
        <v>0</v>
      </c>
      <c r="H551" s="28">
        <f t="shared" si="13"/>
        <v>413640</v>
      </c>
      <c r="I551" s="28"/>
      <c r="K551" t="s">
        <v>15</v>
      </c>
    </row>
    <row r="552" spans="2:11" ht="33" x14ac:dyDescent="0.15">
      <c r="B552" s="27" t="s">
        <v>813</v>
      </c>
      <c r="C552" s="27" t="s">
        <v>814</v>
      </c>
      <c r="D552" s="28">
        <f>SUMIFS(D553:D1509,K553:K1509,"0",B553:B1509,"5 1 1 1 3 12 31111 6 M78 07000 151 00C 001 11301 015 2111100 2024 00000000 001 001*")-SUMIFS(E553:E1509,K553:K1509,"0",B553:B1509,"5 1 1 1 3 12 31111 6 M78 07000 151 00C 001 11301 015 2111100 2024 00000000 001 001*")</f>
        <v>0</v>
      </c>
      <c r="E552" s="29"/>
      <c r="F552" s="28">
        <f>SUMIFS(F553:F1509,K553:K1509,"0",B553:B1509,"5 1 1 1 3 12 31111 6 M78 07000 151 00C 001 11301 015 2111100 2024 00000000 001 001*")</f>
        <v>413640</v>
      </c>
      <c r="G552" s="28">
        <f>SUMIFS(G553:G1509,K553:K1509,"0",B553:B1509,"5 1 1 1 3 12 31111 6 M78 07000 151 00C 001 11301 015 2111100 2024 00000000 001 001*")</f>
        <v>0</v>
      </c>
      <c r="H552" s="28">
        <f t="shared" si="13"/>
        <v>413640</v>
      </c>
      <c r="I552" s="28"/>
      <c r="K552" t="s">
        <v>15</v>
      </c>
    </row>
    <row r="553" spans="2:11" ht="33" x14ac:dyDescent="0.15">
      <c r="B553" s="30" t="s">
        <v>815</v>
      </c>
      <c r="C553" s="30" t="s">
        <v>751</v>
      </c>
      <c r="D553" s="31">
        <v>0</v>
      </c>
      <c r="E553" s="31"/>
      <c r="F553" s="31">
        <v>413640</v>
      </c>
      <c r="G553" s="31">
        <v>0</v>
      </c>
      <c r="H553" s="31">
        <f t="shared" si="13"/>
        <v>413640</v>
      </c>
      <c r="I553" s="31"/>
      <c r="K553" t="s">
        <v>38</v>
      </c>
    </row>
    <row r="554" spans="2:11" ht="13" x14ac:dyDescent="0.15">
      <c r="B554" s="27" t="s">
        <v>816</v>
      </c>
      <c r="C554" s="27" t="s">
        <v>817</v>
      </c>
      <c r="D554" s="28">
        <f>SUMIFS(D555:D1509,K555:K1509,"0",B555:B1509,"5 1 1 1 3 12 31111 6 M78 08000*")-SUMIFS(E555:E1509,K555:K1509,"0",B555:B1509,"5 1 1 1 3 12 31111 6 M78 08000*")</f>
        <v>0</v>
      </c>
      <c r="E554" s="29"/>
      <c r="F554" s="28">
        <f>SUMIFS(F555:F1509,K555:K1509,"0",B555:B1509,"5 1 1 1 3 12 31111 6 M78 08000*")</f>
        <v>50000</v>
      </c>
      <c r="G554" s="28">
        <f>SUMIFS(G555:G1509,K555:K1509,"0",B555:B1509,"5 1 1 1 3 12 31111 6 M78 08000*")</f>
        <v>0</v>
      </c>
      <c r="H554" s="28">
        <f t="shared" si="13"/>
        <v>50000</v>
      </c>
      <c r="I554" s="28"/>
      <c r="K554" t="s">
        <v>15</v>
      </c>
    </row>
    <row r="555" spans="2:11" ht="13" x14ac:dyDescent="0.15">
      <c r="B555" s="27" t="s">
        <v>818</v>
      </c>
      <c r="C555" s="27" t="s">
        <v>819</v>
      </c>
      <c r="D555" s="28">
        <f>SUMIFS(D556:D1509,K556:K1509,"0",B556:B1509,"5 1 1 1 3 12 31111 6 M78 08000 134*")-SUMIFS(E556:E1509,K556:K1509,"0",B556:B1509,"5 1 1 1 3 12 31111 6 M78 08000 134*")</f>
        <v>0</v>
      </c>
      <c r="E555" s="29"/>
      <c r="F555" s="28">
        <f>SUMIFS(F556:F1509,K556:K1509,"0",B556:B1509,"5 1 1 1 3 12 31111 6 M78 08000 134*")</f>
        <v>50000</v>
      </c>
      <c r="G555" s="28">
        <f>SUMIFS(G556:G1509,K556:K1509,"0",B556:B1509,"5 1 1 1 3 12 31111 6 M78 08000 134*")</f>
        <v>0</v>
      </c>
      <c r="H555" s="28">
        <f t="shared" si="13"/>
        <v>50000</v>
      </c>
      <c r="I555" s="28"/>
      <c r="K555" t="s">
        <v>15</v>
      </c>
    </row>
    <row r="556" spans="2:11" ht="13" x14ac:dyDescent="0.15">
      <c r="B556" s="27" t="s">
        <v>820</v>
      </c>
      <c r="C556" s="27" t="s">
        <v>170</v>
      </c>
      <c r="D556" s="28">
        <f>SUMIFS(D557:D1509,K557:K1509,"0",B557:B1509,"5 1 1 1 3 12 31111 6 M78 08000 134 00C*")-SUMIFS(E557:E1509,K557:K1509,"0",B557:B1509,"5 1 1 1 3 12 31111 6 M78 08000 134 00C*")</f>
        <v>0</v>
      </c>
      <c r="E556" s="29"/>
      <c r="F556" s="28">
        <f>SUMIFS(F557:F1509,K557:K1509,"0",B557:B1509,"5 1 1 1 3 12 31111 6 M78 08000 134 00C*")</f>
        <v>50000</v>
      </c>
      <c r="G556" s="28">
        <f>SUMIFS(G557:G1509,K557:K1509,"0",B557:B1509,"5 1 1 1 3 12 31111 6 M78 08000 134 00C*")</f>
        <v>0</v>
      </c>
      <c r="H556" s="28">
        <f t="shared" si="13"/>
        <v>50000</v>
      </c>
      <c r="I556" s="28"/>
      <c r="K556" t="s">
        <v>15</v>
      </c>
    </row>
    <row r="557" spans="2:11" ht="22" x14ac:dyDescent="0.15">
      <c r="B557" s="27" t="s">
        <v>821</v>
      </c>
      <c r="C557" s="27" t="s">
        <v>9</v>
      </c>
      <c r="D557" s="28">
        <f>SUMIFS(D558:D1509,K558:K1509,"0",B558:B1509,"5 1 1 1 3 12 31111 6 M78 08000 134 00C 001*")-SUMIFS(E558:E1509,K558:K1509,"0",B558:B1509,"5 1 1 1 3 12 31111 6 M78 08000 134 00C 001*")</f>
        <v>0</v>
      </c>
      <c r="E557" s="29"/>
      <c r="F557" s="28">
        <f>SUMIFS(F558:F1509,K558:K1509,"0",B558:B1509,"5 1 1 1 3 12 31111 6 M78 08000 134 00C 001*")</f>
        <v>50000</v>
      </c>
      <c r="G557" s="28">
        <f>SUMIFS(G558:G1509,K558:K1509,"0",B558:B1509,"5 1 1 1 3 12 31111 6 M78 08000 134 00C 001*")</f>
        <v>0</v>
      </c>
      <c r="H557" s="28">
        <f t="shared" si="13"/>
        <v>50000</v>
      </c>
      <c r="I557" s="28"/>
      <c r="K557" t="s">
        <v>15</v>
      </c>
    </row>
    <row r="558" spans="2:11" ht="22" x14ac:dyDescent="0.15">
      <c r="B558" s="27" t="s">
        <v>822</v>
      </c>
      <c r="C558" s="27" t="s">
        <v>741</v>
      </c>
      <c r="D558" s="28">
        <f>SUMIFS(D559:D1509,K559:K1509,"0",B559:B1509,"5 1 1 1 3 12 31111 6 M78 08000 134 00C 001 11301*")-SUMIFS(E559:E1509,K559:K1509,"0",B559:B1509,"5 1 1 1 3 12 31111 6 M78 08000 134 00C 001 11301*")</f>
        <v>0</v>
      </c>
      <c r="E558" s="29"/>
      <c r="F558" s="28">
        <f>SUMIFS(F559:F1509,K559:K1509,"0",B559:B1509,"5 1 1 1 3 12 31111 6 M78 08000 134 00C 001 11301*")</f>
        <v>50000</v>
      </c>
      <c r="G558" s="28">
        <f>SUMIFS(G559:G1509,K559:K1509,"0",B559:B1509,"5 1 1 1 3 12 31111 6 M78 08000 134 00C 001 11301*")</f>
        <v>0</v>
      </c>
      <c r="H558" s="28">
        <f t="shared" si="13"/>
        <v>50000</v>
      </c>
      <c r="I558" s="28"/>
      <c r="K558" t="s">
        <v>15</v>
      </c>
    </row>
    <row r="559" spans="2:11" ht="22" x14ac:dyDescent="0.15">
      <c r="B559" s="27" t="s">
        <v>823</v>
      </c>
      <c r="C559" s="27" t="s">
        <v>176</v>
      </c>
      <c r="D559" s="28">
        <f>SUMIFS(D560:D1509,K560:K1509,"0",B560:B1509,"5 1 1 1 3 12 31111 6 M78 08000 134 00C 001 11301 015*")-SUMIFS(E560:E1509,K560:K1509,"0",B560:B1509,"5 1 1 1 3 12 31111 6 M78 08000 134 00C 001 11301 015*")</f>
        <v>0</v>
      </c>
      <c r="E559" s="29"/>
      <c r="F559" s="28">
        <f>SUMIFS(F560:F1509,K560:K1509,"0",B560:B1509,"5 1 1 1 3 12 31111 6 M78 08000 134 00C 001 11301 015*")</f>
        <v>50000</v>
      </c>
      <c r="G559" s="28">
        <f>SUMIFS(G560:G1509,K560:K1509,"0",B560:B1509,"5 1 1 1 3 12 31111 6 M78 08000 134 00C 001 11301 015*")</f>
        <v>0</v>
      </c>
      <c r="H559" s="28">
        <f t="shared" si="13"/>
        <v>50000</v>
      </c>
      <c r="I559" s="28"/>
      <c r="K559" t="s">
        <v>15</v>
      </c>
    </row>
    <row r="560" spans="2:11" ht="22" x14ac:dyDescent="0.15">
      <c r="B560" s="27" t="s">
        <v>824</v>
      </c>
      <c r="C560" s="27" t="s">
        <v>744</v>
      </c>
      <c r="D560" s="28">
        <f>SUMIFS(D561:D1509,K561:K1509,"0",B561:B1509,"5 1 1 1 3 12 31111 6 M78 08000 134 00C 001 11301 015 2111100*")-SUMIFS(E561:E1509,K561:K1509,"0",B561:B1509,"5 1 1 1 3 12 31111 6 M78 08000 134 00C 001 11301 015 2111100*")</f>
        <v>0</v>
      </c>
      <c r="E560" s="29"/>
      <c r="F560" s="28">
        <f>SUMIFS(F561:F1509,K561:K1509,"0",B561:B1509,"5 1 1 1 3 12 31111 6 M78 08000 134 00C 001 11301 015 2111100*")</f>
        <v>50000</v>
      </c>
      <c r="G560" s="28">
        <f>SUMIFS(G561:G1509,K561:K1509,"0",B561:B1509,"5 1 1 1 3 12 31111 6 M78 08000 134 00C 001 11301 015 2111100*")</f>
        <v>0</v>
      </c>
      <c r="H560" s="28">
        <f t="shared" si="13"/>
        <v>50000</v>
      </c>
      <c r="I560" s="28"/>
      <c r="K560" t="s">
        <v>15</v>
      </c>
    </row>
    <row r="561" spans="2:11" ht="22" x14ac:dyDescent="0.15">
      <c r="B561" s="27" t="s">
        <v>825</v>
      </c>
      <c r="C561" s="27" t="s">
        <v>248</v>
      </c>
      <c r="D561" s="28">
        <f>SUMIFS(D562:D1509,K562:K1509,"0",B562:B1509,"5 1 1 1 3 12 31111 6 M78 08000 134 00C 001 11301 015 2111100 2024*")-SUMIFS(E562:E1509,K562:K1509,"0",B562:B1509,"5 1 1 1 3 12 31111 6 M78 08000 134 00C 001 11301 015 2111100 2024*")</f>
        <v>0</v>
      </c>
      <c r="E561" s="29"/>
      <c r="F561" s="28">
        <f>SUMIFS(F562:F1509,K562:K1509,"0",B562:B1509,"5 1 1 1 3 12 31111 6 M78 08000 134 00C 001 11301 015 2111100 2024*")</f>
        <v>50000</v>
      </c>
      <c r="G561" s="28">
        <f>SUMIFS(G562:G1509,K562:K1509,"0",B562:B1509,"5 1 1 1 3 12 31111 6 M78 08000 134 00C 001 11301 015 2111100 2024*")</f>
        <v>0</v>
      </c>
      <c r="H561" s="28">
        <f t="shared" si="13"/>
        <v>50000</v>
      </c>
      <c r="I561" s="28"/>
      <c r="K561" t="s">
        <v>15</v>
      </c>
    </row>
    <row r="562" spans="2:11" ht="22" x14ac:dyDescent="0.15">
      <c r="B562" s="27" t="s">
        <v>826</v>
      </c>
      <c r="C562" s="27" t="s">
        <v>182</v>
      </c>
      <c r="D562" s="28">
        <f>SUMIFS(D563:D1509,K563:K1509,"0",B563:B1509,"5 1 1 1 3 12 31111 6 M78 08000 134 00C 001 11301 015 2111100 2024 00000000*")-SUMIFS(E563:E1509,K563:K1509,"0",B563:B1509,"5 1 1 1 3 12 31111 6 M78 08000 134 00C 001 11301 015 2111100 2024 00000000*")</f>
        <v>0</v>
      </c>
      <c r="E562" s="29"/>
      <c r="F562" s="28">
        <f>SUMIFS(F563:F1509,K563:K1509,"0",B563:B1509,"5 1 1 1 3 12 31111 6 M78 08000 134 00C 001 11301 015 2111100 2024 00000000*")</f>
        <v>50000</v>
      </c>
      <c r="G562" s="28">
        <f>SUMIFS(G563:G1509,K563:K1509,"0",B563:B1509,"5 1 1 1 3 12 31111 6 M78 08000 134 00C 001 11301 015 2111100 2024 00000000*")</f>
        <v>0</v>
      </c>
      <c r="H562" s="28">
        <f t="shared" si="13"/>
        <v>50000</v>
      </c>
      <c r="I562" s="28"/>
      <c r="K562" t="s">
        <v>15</v>
      </c>
    </row>
    <row r="563" spans="2:11" ht="33" x14ac:dyDescent="0.15">
      <c r="B563" s="27" t="s">
        <v>827</v>
      </c>
      <c r="C563" s="27" t="s">
        <v>9</v>
      </c>
      <c r="D563" s="28">
        <f>SUMIFS(D564:D1509,K564:K1509,"0",B564:B1509,"5 1 1 1 3 12 31111 6 M78 08000 134 00C 001 11301 015 2111100 2024 00000000 001*")-SUMIFS(E564:E1509,K564:K1509,"0",B564:B1509,"5 1 1 1 3 12 31111 6 M78 08000 134 00C 001 11301 015 2111100 2024 00000000 001*")</f>
        <v>0</v>
      </c>
      <c r="E563" s="29"/>
      <c r="F563" s="28">
        <f>SUMIFS(F564:F1509,K564:K1509,"0",B564:B1509,"5 1 1 1 3 12 31111 6 M78 08000 134 00C 001 11301 015 2111100 2024 00000000 001*")</f>
        <v>50000</v>
      </c>
      <c r="G563" s="28">
        <f>SUMIFS(G564:G1509,K564:K1509,"0",B564:B1509,"5 1 1 1 3 12 31111 6 M78 08000 134 00C 001 11301 015 2111100 2024 00000000 001*")</f>
        <v>0</v>
      </c>
      <c r="H563" s="28">
        <f t="shared" si="13"/>
        <v>50000</v>
      </c>
      <c r="I563" s="28"/>
      <c r="K563" t="s">
        <v>15</v>
      </c>
    </row>
    <row r="564" spans="2:11" ht="33" x14ac:dyDescent="0.15">
      <c r="B564" s="27" t="s">
        <v>828</v>
      </c>
      <c r="C564" s="27" t="s">
        <v>829</v>
      </c>
      <c r="D564" s="28">
        <f>SUMIFS(D565:D1509,K565:K1509,"0",B565:B1509,"5 1 1 1 3 12 31111 6 M78 08000 134 00C 001 11301 015 2111100 2024 00000000 001 001*")-SUMIFS(E565:E1509,K565:K1509,"0",B565:B1509,"5 1 1 1 3 12 31111 6 M78 08000 134 00C 001 11301 015 2111100 2024 00000000 001 001*")</f>
        <v>0</v>
      </c>
      <c r="E564" s="29"/>
      <c r="F564" s="28">
        <f>SUMIFS(F565:F1509,K565:K1509,"0",B565:B1509,"5 1 1 1 3 12 31111 6 M78 08000 134 00C 001 11301 015 2111100 2024 00000000 001 001*")</f>
        <v>50000</v>
      </c>
      <c r="G564" s="28">
        <f>SUMIFS(G565:G1509,K565:K1509,"0",B565:B1509,"5 1 1 1 3 12 31111 6 M78 08000 134 00C 001 11301 015 2111100 2024 00000000 001 001*")</f>
        <v>0</v>
      </c>
      <c r="H564" s="28">
        <f t="shared" si="13"/>
        <v>50000</v>
      </c>
      <c r="I564" s="28"/>
      <c r="K564" t="s">
        <v>15</v>
      </c>
    </row>
    <row r="565" spans="2:11" ht="33" x14ac:dyDescent="0.15">
      <c r="B565" s="30" t="s">
        <v>830</v>
      </c>
      <c r="C565" s="30" t="s">
        <v>751</v>
      </c>
      <c r="D565" s="31">
        <v>0</v>
      </c>
      <c r="E565" s="31"/>
      <c r="F565" s="31">
        <v>50000</v>
      </c>
      <c r="G565" s="31">
        <v>0</v>
      </c>
      <c r="H565" s="31">
        <f t="shared" si="13"/>
        <v>50000</v>
      </c>
      <c r="I565" s="31"/>
      <c r="K565" t="s">
        <v>38</v>
      </c>
    </row>
    <row r="566" spans="2:11" ht="13" x14ac:dyDescent="0.15">
      <c r="B566" s="27" t="s">
        <v>831</v>
      </c>
      <c r="C566" s="27" t="s">
        <v>832</v>
      </c>
      <c r="D566" s="28">
        <f>SUMIFS(D567:D1509,K567:K1509,"0",B567:B1509,"5 1 1 1 3 12 31111 6 M78 09000*")-SUMIFS(E567:E1509,K567:K1509,"0",B567:B1509,"5 1 1 1 3 12 31111 6 M78 09000*")</f>
        <v>0</v>
      </c>
      <c r="E566" s="29"/>
      <c r="F566" s="28">
        <f>SUMIFS(F567:F1509,K567:K1509,"0",B567:B1509,"5 1 1 1 3 12 31111 6 M78 09000*")</f>
        <v>374015</v>
      </c>
      <c r="G566" s="28">
        <f>SUMIFS(G567:G1509,K567:K1509,"0",B567:B1509,"5 1 1 1 3 12 31111 6 M78 09000*")</f>
        <v>0</v>
      </c>
      <c r="H566" s="28">
        <f t="shared" si="13"/>
        <v>374015</v>
      </c>
      <c r="I566" s="28"/>
      <c r="K566" t="s">
        <v>15</v>
      </c>
    </row>
    <row r="567" spans="2:11" ht="13" x14ac:dyDescent="0.15">
      <c r="B567" s="27" t="s">
        <v>833</v>
      </c>
      <c r="C567" s="27" t="s">
        <v>819</v>
      </c>
      <c r="D567" s="28">
        <f>SUMIFS(D568:D1509,K568:K1509,"0",B568:B1509,"5 1 1 1 3 12 31111 6 M78 09000 134*")-SUMIFS(E568:E1509,K568:K1509,"0",B568:B1509,"5 1 1 1 3 12 31111 6 M78 09000 134*")</f>
        <v>0</v>
      </c>
      <c r="E567" s="29"/>
      <c r="F567" s="28">
        <f>SUMIFS(F568:F1509,K568:K1509,"0",B568:B1509,"5 1 1 1 3 12 31111 6 M78 09000 134*")</f>
        <v>374015</v>
      </c>
      <c r="G567" s="28">
        <f>SUMIFS(G568:G1509,K568:K1509,"0",B568:B1509,"5 1 1 1 3 12 31111 6 M78 09000 134*")</f>
        <v>0</v>
      </c>
      <c r="H567" s="28">
        <f t="shared" si="13"/>
        <v>374015</v>
      </c>
      <c r="I567" s="28"/>
      <c r="K567" t="s">
        <v>15</v>
      </c>
    </row>
    <row r="568" spans="2:11" ht="13" x14ac:dyDescent="0.15">
      <c r="B568" s="27" t="s">
        <v>834</v>
      </c>
      <c r="C568" s="27" t="s">
        <v>170</v>
      </c>
      <c r="D568" s="28">
        <f>SUMIFS(D569:D1509,K569:K1509,"0",B569:B1509,"5 1 1 1 3 12 31111 6 M78 09000 134 00C*")-SUMIFS(E569:E1509,K569:K1509,"0",B569:B1509,"5 1 1 1 3 12 31111 6 M78 09000 134 00C*")</f>
        <v>0</v>
      </c>
      <c r="E568" s="29"/>
      <c r="F568" s="28">
        <f>SUMIFS(F569:F1509,K569:K1509,"0",B569:B1509,"5 1 1 1 3 12 31111 6 M78 09000 134 00C*")</f>
        <v>374015</v>
      </c>
      <c r="G568" s="28">
        <f>SUMIFS(G569:G1509,K569:K1509,"0",B569:B1509,"5 1 1 1 3 12 31111 6 M78 09000 134 00C*")</f>
        <v>0</v>
      </c>
      <c r="H568" s="28">
        <f t="shared" si="13"/>
        <v>374015</v>
      </c>
      <c r="I568" s="28"/>
      <c r="K568" t="s">
        <v>15</v>
      </c>
    </row>
    <row r="569" spans="2:11" ht="22" x14ac:dyDescent="0.15">
      <c r="B569" s="27" t="s">
        <v>835</v>
      </c>
      <c r="C569" s="27" t="s">
        <v>9</v>
      </c>
      <c r="D569" s="28">
        <f>SUMIFS(D570:D1509,K570:K1509,"0",B570:B1509,"5 1 1 1 3 12 31111 6 M78 09000 134 00C 001*")-SUMIFS(E570:E1509,K570:K1509,"0",B570:B1509,"5 1 1 1 3 12 31111 6 M78 09000 134 00C 001*")</f>
        <v>0</v>
      </c>
      <c r="E569" s="29"/>
      <c r="F569" s="28">
        <f>SUMIFS(F570:F1509,K570:K1509,"0",B570:B1509,"5 1 1 1 3 12 31111 6 M78 09000 134 00C 001*")</f>
        <v>374015</v>
      </c>
      <c r="G569" s="28">
        <f>SUMIFS(G570:G1509,K570:K1509,"0",B570:B1509,"5 1 1 1 3 12 31111 6 M78 09000 134 00C 001*")</f>
        <v>0</v>
      </c>
      <c r="H569" s="28">
        <f t="shared" si="13"/>
        <v>374015</v>
      </c>
      <c r="I569" s="28"/>
      <c r="K569" t="s">
        <v>15</v>
      </c>
    </row>
    <row r="570" spans="2:11" ht="22" x14ac:dyDescent="0.15">
      <c r="B570" s="27" t="s">
        <v>836</v>
      </c>
      <c r="C570" s="27" t="s">
        <v>741</v>
      </c>
      <c r="D570" s="28">
        <f>SUMIFS(D571:D1509,K571:K1509,"0",B571:B1509,"5 1 1 1 3 12 31111 6 M78 09000 134 00C 001 11301*")-SUMIFS(E571:E1509,K571:K1509,"0",B571:B1509,"5 1 1 1 3 12 31111 6 M78 09000 134 00C 001 11301*")</f>
        <v>0</v>
      </c>
      <c r="E570" s="29"/>
      <c r="F570" s="28">
        <f>SUMIFS(F571:F1509,K571:K1509,"0",B571:B1509,"5 1 1 1 3 12 31111 6 M78 09000 134 00C 001 11301*")</f>
        <v>374015</v>
      </c>
      <c r="G570" s="28">
        <f>SUMIFS(G571:G1509,K571:K1509,"0",B571:B1509,"5 1 1 1 3 12 31111 6 M78 09000 134 00C 001 11301*")</f>
        <v>0</v>
      </c>
      <c r="H570" s="28">
        <f t="shared" si="13"/>
        <v>374015</v>
      </c>
      <c r="I570" s="28"/>
      <c r="K570" t="s">
        <v>15</v>
      </c>
    </row>
    <row r="571" spans="2:11" ht="22" x14ac:dyDescent="0.15">
      <c r="B571" s="27" t="s">
        <v>837</v>
      </c>
      <c r="C571" s="27" t="s">
        <v>176</v>
      </c>
      <c r="D571" s="28">
        <f>SUMIFS(D572:D1509,K572:K1509,"0",B572:B1509,"5 1 1 1 3 12 31111 6 M78 09000 134 00C 001 11301 015*")-SUMIFS(E572:E1509,K572:K1509,"0",B572:B1509,"5 1 1 1 3 12 31111 6 M78 09000 134 00C 001 11301 015*")</f>
        <v>0</v>
      </c>
      <c r="E571" s="29"/>
      <c r="F571" s="28">
        <f>SUMIFS(F572:F1509,K572:K1509,"0",B572:B1509,"5 1 1 1 3 12 31111 6 M78 09000 134 00C 001 11301 015*")</f>
        <v>374015</v>
      </c>
      <c r="G571" s="28">
        <f>SUMIFS(G572:G1509,K572:K1509,"0",B572:B1509,"5 1 1 1 3 12 31111 6 M78 09000 134 00C 001 11301 015*")</f>
        <v>0</v>
      </c>
      <c r="H571" s="28">
        <f t="shared" si="13"/>
        <v>374015</v>
      </c>
      <c r="I571" s="28"/>
      <c r="K571" t="s">
        <v>15</v>
      </c>
    </row>
    <row r="572" spans="2:11" ht="22" x14ac:dyDescent="0.15">
      <c r="B572" s="27" t="s">
        <v>838</v>
      </c>
      <c r="C572" s="27" t="s">
        <v>744</v>
      </c>
      <c r="D572" s="28">
        <f>SUMIFS(D573:D1509,K573:K1509,"0",B573:B1509,"5 1 1 1 3 12 31111 6 M78 09000 134 00C 001 11301 015 2111100*")-SUMIFS(E573:E1509,K573:K1509,"0",B573:B1509,"5 1 1 1 3 12 31111 6 M78 09000 134 00C 001 11301 015 2111100*")</f>
        <v>0</v>
      </c>
      <c r="E572" s="29"/>
      <c r="F572" s="28">
        <f>SUMIFS(F573:F1509,K573:K1509,"0",B573:B1509,"5 1 1 1 3 12 31111 6 M78 09000 134 00C 001 11301 015 2111100*")</f>
        <v>374015</v>
      </c>
      <c r="G572" s="28">
        <f>SUMIFS(G573:G1509,K573:K1509,"0",B573:B1509,"5 1 1 1 3 12 31111 6 M78 09000 134 00C 001 11301 015 2111100*")</f>
        <v>0</v>
      </c>
      <c r="H572" s="28">
        <f t="shared" si="13"/>
        <v>374015</v>
      </c>
      <c r="I572" s="28"/>
      <c r="K572" t="s">
        <v>15</v>
      </c>
    </row>
    <row r="573" spans="2:11" ht="22" x14ac:dyDescent="0.15">
      <c r="B573" s="27" t="s">
        <v>839</v>
      </c>
      <c r="C573" s="27" t="s">
        <v>248</v>
      </c>
      <c r="D573" s="28">
        <f>SUMIFS(D574:D1509,K574:K1509,"0",B574:B1509,"5 1 1 1 3 12 31111 6 M78 09000 134 00C 001 11301 015 2111100 2024*")-SUMIFS(E574:E1509,K574:K1509,"0",B574:B1509,"5 1 1 1 3 12 31111 6 M78 09000 134 00C 001 11301 015 2111100 2024*")</f>
        <v>0</v>
      </c>
      <c r="E573" s="29"/>
      <c r="F573" s="28">
        <f>SUMIFS(F574:F1509,K574:K1509,"0",B574:B1509,"5 1 1 1 3 12 31111 6 M78 09000 134 00C 001 11301 015 2111100 2024*")</f>
        <v>374015</v>
      </c>
      <c r="G573" s="28">
        <f>SUMIFS(G574:G1509,K574:K1509,"0",B574:B1509,"5 1 1 1 3 12 31111 6 M78 09000 134 00C 001 11301 015 2111100 2024*")</f>
        <v>0</v>
      </c>
      <c r="H573" s="28">
        <f t="shared" si="13"/>
        <v>374015</v>
      </c>
      <c r="I573" s="28"/>
      <c r="K573" t="s">
        <v>15</v>
      </c>
    </row>
    <row r="574" spans="2:11" ht="22" x14ac:dyDescent="0.15">
      <c r="B574" s="27" t="s">
        <v>840</v>
      </c>
      <c r="C574" s="27" t="s">
        <v>182</v>
      </c>
      <c r="D574" s="28">
        <f>SUMIFS(D575:D1509,K575:K1509,"0",B575:B1509,"5 1 1 1 3 12 31111 6 M78 09000 134 00C 001 11301 015 2111100 2024 00000000*")-SUMIFS(E575:E1509,K575:K1509,"0",B575:B1509,"5 1 1 1 3 12 31111 6 M78 09000 134 00C 001 11301 015 2111100 2024 00000000*")</f>
        <v>0</v>
      </c>
      <c r="E574" s="29"/>
      <c r="F574" s="28">
        <f>SUMIFS(F575:F1509,K575:K1509,"0",B575:B1509,"5 1 1 1 3 12 31111 6 M78 09000 134 00C 001 11301 015 2111100 2024 00000000*")</f>
        <v>374015</v>
      </c>
      <c r="G574" s="28">
        <f>SUMIFS(G575:G1509,K575:K1509,"0",B575:B1509,"5 1 1 1 3 12 31111 6 M78 09000 134 00C 001 11301 015 2111100 2024 00000000*")</f>
        <v>0</v>
      </c>
      <c r="H574" s="28">
        <f t="shared" si="13"/>
        <v>374015</v>
      </c>
      <c r="I574" s="28"/>
      <c r="K574" t="s">
        <v>15</v>
      </c>
    </row>
    <row r="575" spans="2:11" ht="33" x14ac:dyDescent="0.15">
      <c r="B575" s="27" t="s">
        <v>841</v>
      </c>
      <c r="C575" s="27" t="s">
        <v>9</v>
      </c>
      <c r="D575" s="28">
        <f>SUMIFS(D576:D1509,K576:K1509,"0",B576:B1509,"5 1 1 1 3 12 31111 6 M78 09000 134 00C 001 11301 015 2111100 2024 00000000 001*")-SUMIFS(E576:E1509,K576:K1509,"0",B576:B1509,"5 1 1 1 3 12 31111 6 M78 09000 134 00C 001 11301 015 2111100 2024 00000000 001*")</f>
        <v>0</v>
      </c>
      <c r="E575" s="29"/>
      <c r="F575" s="28">
        <f>SUMIFS(F576:F1509,K576:K1509,"0",B576:B1509,"5 1 1 1 3 12 31111 6 M78 09000 134 00C 001 11301 015 2111100 2024 00000000 001*")</f>
        <v>374015</v>
      </c>
      <c r="G575" s="28">
        <f>SUMIFS(G576:G1509,K576:K1509,"0",B576:B1509,"5 1 1 1 3 12 31111 6 M78 09000 134 00C 001 11301 015 2111100 2024 00000000 001*")</f>
        <v>0</v>
      </c>
      <c r="H575" s="28">
        <f t="shared" si="13"/>
        <v>374015</v>
      </c>
      <c r="I575" s="28"/>
      <c r="K575" t="s">
        <v>15</v>
      </c>
    </row>
    <row r="576" spans="2:11" ht="33" x14ac:dyDescent="0.15">
      <c r="B576" s="27" t="s">
        <v>842</v>
      </c>
      <c r="C576" s="27" t="s">
        <v>843</v>
      </c>
      <c r="D576" s="28">
        <f>SUMIFS(D577:D1509,K577:K1509,"0",B577:B1509,"5 1 1 1 3 12 31111 6 M78 09000 134 00C 001 11301 015 2111100 2024 00000000 001 001*")-SUMIFS(E577:E1509,K577:K1509,"0",B577:B1509,"5 1 1 1 3 12 31111 6 M78 09000 134 00C 001 11301 015 2111100 2024 00000000 001 001*")</f>
        <v>0</v>
      </c>
      <c r="E576" s="29"/>
      <c r="F576" s="28">
        <f>SUMIFS(F577:F1509,K577:K1509,"0",B577:B1509,"5 1 1 1 3 12 31111 6 M78 09000 134 00C 001 11301 015 2111100 2024 00000000 001 001*")</f>
        <v>374015</v>
      </c>
      <c r="G576" s="28">
        <f>SUMIFS(G577:G1509,K577:K1509,"0",B577:B1509,"5 1 1 1 3 12 31111 6 M78 09000 134 00C 001 11301 015 2111100 2024 00000000 001 001*")</f>
        <v>0</v>
      </c>
      <c r="H576" s="28">
        <f t="shared" si="13"/>
        <v>374015</v>
      </c>
      <c r="I576" s="28"/>
      <c r="K576" t="s">
        <v>15</v>
      </c>
    </row>
    <row r="577" spans="2:11" ht="33" x14ac:dyDescent="0.15">
      <c r="B577" s="30" t="s">
        <v>844</v>
      </c>
      <c r="C577" s="30" t="s">
        <v>751</v>
      </c>
      <c r="D577" s="31">
        <v>0</v>
      </c>
      <c r="E577" s="31"/>
      <c r="F577" s="31">
        <v>374015</v>
      </c>
      <c r="G577" s="31">
        <v>0</v>
      </c>
      <c r="H577" s="31">
        <f t="shared" si="13"/>
        <v>374015</v>
      </c>
      <c r="I577" s="31"/>
      <c r="K577" t="s">
        <v>38</v>
      </c>
    </row>
    <row r="578" spans="2:11" ht="13" x14ac:dyDescent="0.15">
      <c r="B578" s="27" t="s">
        <v>845</v>
      </c>
      <c r="C578" s="27" t="s">
        <v>846</v>
      </c>
      <c r="D578" s="28">
        <f>SUMIFS(D579:D1509,K579:K1509,"0",B579:B1509,"5 1 1 1 3 12 31111 6 M78 11000*")-SUMIFS(E579:E1509,K579:K1509,"0",B579:B1509,"5 1 1 1 3 12 31111 6 M78 11000*")</f>
        <v>0</v>
      </c>
      <c r="E578" s="29"/>
      <c r="F578" s="28">
        <f>SUMIFS(F579:F1509,K579:K1509,"0",B579:B1509,"5 1 1 1 3 12 31111 6 M78 11000*")</f>
        <v>170400</v>
      </c>
      <c r="G578" s="28">
        <f>SUMIFS(G579:G1509,K579:K1509,"0",B579:B1509,"5 1 1 1 3 12 31111 6 M78 11000*")</f>
        <v>0</v>
      </c>
      <c r="H578" s="28">
        <f t="shared" si="13"/>
        <v>170400</v>
      </c>
      <c r="I578" s="28"/>
      <c r="K578" t="s">
        <v>15</v>
      </c>
    </row>
    <row r="579" spans="2:11" ht="13" x14ac:dyDescent="0.15">
      <c r="B579" s="27" t="s">
        <v>847</v>
      </c>
      <c r="C579" s="27" t="s">
        <v>848</v>
      </c>
      <c r="D579" s="28">
        <f>SUMIFS(D580:D1509,K580:K1509,"0",B580:B1509,"5 1 1 1 3 12 31111 6 M78 11000 263*")-SUMIFS(E580:E1509,K580:K1509,"0",B580:B1509,"5 1 1 1 3 12 31111 6 M78 11000 263*")</f>
        <v>0</v>
      </c>
      <c r="E579" s="29"/>
      <c r="F579" s="28">
        <f>SUMIFS(F580:F1509,K580:K1509,"0",B580:B1509,"5 1 1 1 3 12 31111 6 M78 11000 263*")</f>
        <v>170400</v>
      </c>
      <c r="G579" s="28">
        <f>SUMIFS(G580:G1509,K580:K1509,"0",B580:B1509,"5 1 1 1 3 12 31111 6 M78 11000 263*")</f>
        <v>0</v>
      </c>
      <c r="H579" s="28">
        <f t="shared" si="13"/>
        <v>170400</v>
      </c>
      <c r="I579" s="28"/>
      <c r="K579" t="s">
        <v>15</v>
      </c>
    </row>
    <row r="580" spans="2:11" ht="13" x14ac:dyDescent="0.15">
      <c r="B580" s="27" t="s">
        <v>849</v>
      </c>
      <c r="C580" s="27" t="s">
        <v>170</v>
      </c>
      <c r="D580" s="28">
        <f>SUMIFS(D581:D1509,K581:K1509,"0",B581:B1509,"5 1 1 1 3 12 31111 6 M78 11000 263 00C*")-SUMIFS(E581:E1509,K581:K1509,"0",B581:B1509,"5 1 1 1 3 12 31111 6 M78 11000 263 00C*")</f>
        <v>0</v>
      </c>
      <c r="E580" s="29"/>
      <c r="F580" s="28">
        <f>SUMIFS(F581:F1509,K581:K1509,"0",B581:B1509,"5 1 1 1 3 12 31111 6 M78 11000 263 00C*")</f>
        <v>170400</v>
      </c>
      <c r="G580" s="28">
        <f>SUMIFS(G581:G1509,K581:K1509,"0",B581:B1509,"5 1 1 1 3 12 31111 6 M78 11000 263 00C*")</f>
        <v>0</v>
      </c>
      <c r="H580" s="28">
        <f t="shared" si="13"/>
        <v>170400</v>
      </c>
      <c r="I580" s="28"/>
      <c r="K580" t="s">
        <v>15</v>
      </c>
    </row>
    <row r="581" spans="2:11" ht="22" x14ac:dyDescent="0.15">
      <c r="B581" s="27" t="s">
        <v>850</v>
      </c>
      <c r="C581" s="27" t="s">
        <v>9</v>
      </c>
      <c r="D581" s="28">
        <f>SUMIFS(D582:D1509,K582:K1509,"0",B582:B1509,"5 1 1 1 3 12 31111 6 M78 11000 263 00C 001*")-SUMIFS(E582:E1509,K582:K1509,"0",B582:B1509,"5 1 1 1 3 12 31111 6 M78 11000 263 00C 001*")</f>
        <v>0</v>
      </c>
      <c r="E581" s="29"/>
      <c r="F581" s="28">
        <f>SUMIFS(F582:F1509,K582:K1509,"0",B582:B1509,"5 1 1 1 3 12 31111 6 M78 11000 263 00C 001*")</f>
        <v>170400</v>
      </c>
      <c r="G581" s="28">
        <f>SUMIFS(G582:G1509,K582:K1509,"0",B582:B1509,"5 1 1 1 3 12 31111 6 M78 11000 263 00C 001*")</f>
        <v>0</v>
      </c>
      <c r="H581" s="28">
        <f t="shared" si="13"/>
        <v>170400</v>
      </c>
      <c r="I581" s="28"/>
      <c r="K581" t="s">
        <v>15</v>
      </c>
    </row>
    <row r="582" spans="2:11" ht="22" x14ac:dyDescent="0.15">
      <c r="B582" s="27" t="s">
        <v>851</v>
      </c>
      <c r="C582" s="27" t="s">
        <v>741</v>
      </c>
      <c r="D582" s="28">
        <f>SUMIFS(D583:D1509,K583:K1509,"0",B583:B1509,"5 1 1 1 3 12 31111 6 M78 11000 263 00C 001 11301*")-SUMIFS(E583:E1509,K583:K1509,"0",B583:B1509,"5 1 1 1 3 12 31111 6 M78 11000 263 00C 001 11301*")</f>
        <v>0</v>
      </c>
      <c r="E582" s="29"/>
      <c r="F582" s="28">
        <f>SUMIFS(F583:F1509,K583:K1509,"0",B583:B1509,"5 1 1 1 3 12 31111 6 M78 11000 263 00C 001 11301*")</f>
        <v>170400</v>
      </c>
      <c r="G582" s="28">
        <f>SUMIFS(G583:G1509,K583:K1509,"0",B583:B1509,"5 1 1 1 3 12 31111 6 M78 11000 263 00C 001 11301*")</f>
        <v>0</v>
      </c>
      <c r="H582" s="28">
        <f t="shared" si="13"/>
        <v>170400</v>
      </c>
      <c r="I582" s="28"/>
      <c r="K582" t="s">
        <v>15</v>
      </c>
    </row>
    <row r="583" spans="2:11" ht="22" x14ac:dyDescent="0.15">
      <c r="B583" s="27" t="s">
        <v>852</v>
      </c>
      <c r="C583" s="27" t="s">
        <v>176</v>
      </c>
      <c r="D583" s="28">
        <f>SUMIFS(D584:D1509,K584:K1509,"0",B584:B1509,"5 1 1 1 3 12 31111 6 M78 11000 263 00C 001 11301 015*")-SUMIFS(E584:E1509,K584:K1509,"0",B584:B1509,"5 1 1 1 3 12 31111 6 M78 11000 263 00C 001 11301 015*")</f>
        <v>0</v>
      </c>
      <c r="E583" s="29"/>
      <c r="F583" s="28">
        <f>SUMIFS(F584:F1509,K584:K1509,"0",B584:B1509,"5 1 1 1 3 12 31111 6 M78 11000 263 00C 001 11301 015*")</f>
        <v>170400</v>
      </c>
      <c r="G583" s="28">
        <f>SUMIFS(G584:G1509,K584:K1509,"0",B584:B1509,"5 1 1 1 3 12 31111 6 M78 11000 263 00C 001 11301 015*")</f>
        <v>0</v>
      </c>
      <c r="H583" s="28">
        <f t="shared" si="13"/>
        <v>170400</v>
      </c>
      <c r="I583" s="28"/>
      <c r="K583" t="s">
        <v>15</v>
      </c>
    </row>
    <row r="584" spans="2:11" ht="22" x14ac:dyDescent="0.15">
      <c r="B584" s="27" t="s">
        <v>853</v>
      </c>
      <c r="C584" s="27" t="s">
        <v>744</v>
      </c>
      <c r="D584" s="28">
        <f>SUMIFS(D585:D1509,K585:K1509,"0",B585:B1509,"5 1 1 1 3 12 31111 6 M78 11000 263 00C 001 11301 015 2111100*")-SUMIFS(E585:E1509,K585:K1509,"0",B585:B1509,"5 1 1 1 3 12 31111 6 M78 11000 263 00C 001 11301 015 2111100*")</f>
        <v>0</v>
      </c>
      <c r="E584" s="29"/>
      <c r="F584" s="28">
        <f>SUMIFS(F585:F1509,K585:K1509,"0",B585:B1509,"5 1 1 1 3 12 31111 6 M78 11000 263 00C 001 11301 015 2111100*")</f>
        <v>170400</v>
      </c>
      <c r="G584" s="28">
        <f>SUMIFS(G585:G1509,K585:K1509,"0",B585:B1509,"5 1 1 1 3 12 31111 6 M78 11000 263 00C 001 11301 015 2111100*")</f>
        <v>0</v>
      </c>
      <c r="H584" s="28">
        <f t="shared" si="13"/>
        <v>170400</v>
      </c>
      <c r="I584" s="28"/>
      <c r="K584" t="s">
        <v>15</v>
      </c>
    </row>
    <row r="585" spans="2:11" ht="22" x14ac:dyDescent="0.15">
      <c r="B585" s="27" t="s">
        <v>854</v>
      </c>
      <c r="C585" s="27" t="s">
        <v>248</v>
      </c>
      <c r="D585" s="28">
        <f>SUMIFS(D586:D1509,K586:K1509,"0",B586:B1509,"5 1 1 1 3 12 31111 6 M78 11000 263 00C 001 11301 015 2111100 2024*")-SUMIFS(E586:E1509,K586:K1509,"0",B586:B1509,"5 1 1 1 3 12 31111 6 M78 11000 263 00C 001 11301 015 2111100 2024*")</f>
        <v>0</v>
      </c>
      <c r="E585" s="29"/>
      <c r="F585" s="28">
        <f>SUMIFS(F586:F1509,K586:K1509,"0",B586:B1509,"5 1 1 1 3 12 31111 6 M78 11000 263 00C 001 11301 015 2111100 2024*")</f>
        <v>170400</v>
      </c>
      <c r="G585" s="28">
        <f>SUMIFS(G586:G1509,K586:K1509,"0",B586:B1509,"5 1 1 1 3 12 31111 6 M78 11000 263 00C 001 11301 015 2111100 2024*")</f>
        <v>0</v>
      </c>
      <c r="H585" s="28">
        <f t="shared" si="13"/>
        <v>170400</v>
      </c>
      <c r="I585" s="28"/>
      <c r="K585" t="s">
        <v>15</v>
      </c>
    </row>
    <row r="586" spans="2:11" ht="22" x14ac:dyDescent="0.15">
      <c r="B586" s="27" t="s">
        <v>855</v>
      </c>
      <c r="C586" s="27" t="s">
        <v>182</v>
      </c>
      <c r="D586" s="28">
        <f>SUMIFS(D587:D1509,K587:K1509,"0",B587:B1509,"5 1 1 1 3 12 31111 6 M78 11000 263 00C 001 11301 015 2111100 2024 00000000*")-SUMIFS(E587:E1509,K587:K1509,"0",B587:B1509,"5 1 1 1 3 12 31111 6 M78 11000 263 00C 001 11301 015 2111100 2024 00000000*")</f>
        <v>0</v>
      </c>
      <c r="E586" s="29"/>
      <c r="F586" s="28">
        <f>SUMIFS(F587:F1509,K587:K1509,"0",B587:B1509,"5 1 1 1 3 12 31111 6 M78 11000 263 00C 001 11301 015 2111100 2024 00000000*")</f>
        <v>170400</v>
      </c>
      <c r="G586" s="28">
        <f>SUMIFS(G587:G1509,K587:K1509,"0",B587:B1509,"5 1 1 1 3 12 31111 6 M78 11000 263 00C 001 11301 015 2111100 2024 00000000*")</f>
        <v>0</v>
      </c>
      <c r="H586" s="28">
        <f t="shared" si="13"/>
        <v>170400</v>
      </c>
      <c r="I586" s="28"/>
      <c r="K586" t="s">
        <v>15</v>
      </c>
    </row>
    <row r="587" spans="2:11" ht="33" x14ac:dyDescent="0.15">
      <c r="B587" s="27" t="s">
        <v>856</v>
      </c>
      <c r="C587" s="27" t="s">
        <v>9</v>
      </c>
      <c r="D587" s="28">
        <f>SUMIFS(D588:D1509,K588:K1509,"0",B588:B1509,"5 1 1 1 3 12 31111 6 M78 11000 263 00C 001 11301 015 2111100 2024 00000000 001*")-SUMIFS(E588:E1509,K588:K1509,"0",B588:B1509,"5 1 1 1 3 12 31111 6 M78 11000 263 00C 001 11301 015 2111100 2024 00000000 001*")</f>
        <v>0</v>
      </c>
      <c r="E587" s="29"/>
      <c r="F587" s="28">
        <f>SUMIFS(F588:F1509,K588:K1509,"0",B588:B1509,"5 1 1 1 3 12 31111 6 M78 11000 263 00C 001 11301 015 2111100 2024 00000000 001*")</f>
        <v>170400</v>
      </c>
      <c r="G587" s="28">
        <f>SUMIFS(G588:G1509,K588:K1509,"0",B588:B1509,"5 1 1 1 3 12 31111 6 M78 11000 263 00C 001 11301 015 2111100 2024 00000000 001*")</f>
        <v>0</v>
      </c>
      <c r="H587" s="28">
        <f t="shared" si="13"/>
        <v>170400</v>
      </c>
      <c r="I587" s="28"/>
      <c r="K587" t="s">
        <v>15</v>
      </c>
    </row>
    <row r="588" spans="2:11" ht="33" x14ac:dyDescent="0.15">
      <c r="B588" s="27" t="s">
        <v>857</v>
      </c>
      <c r="C588" s="27" t="s">
        <v>858</v>
      </c>
      <c r="D588" s="28">
        <f>SUMIFS(D589:D1509,K589:K1509,"0",B589:B1509,"5 1 1 1 3 12 31111 6 M78 11000 263 00C 001 11301 015 2111100 2024 00000000 001 001*")-SUMIFS(E589:E1509,K589:K1509,"0",B589:B1509,"5 1 1 1 3 12 31111 6 M78 11000 263 00C 001 11301 015 2111100 2024 00000000 001 001*")</f>
        <v>0</v>
      </c>
      <c r="E588" s="29"/>
      <c r="F588" s="28">
        <f>SUMIFS(F589:F1509,K589:K1509,"0",B589:B1509,"5 1 1 1 3 12 31111 6 M78 11000 263 00C 001 11301 015 2111100 2024 00000000 001 001*")</f>
        <v>170400</v>
      </c>
      <c r="G588" s="28">
        <f>SUMIFS(G589:G1509,K589:K1509,"0",B589:B1509,"5 1 1 1 3 12 31111 6 M78 11000 263 00C 001 11301 015 2111100 2024 00000000 001 001*")</f>
        <v>0</v>
      </c>
      <c r="H588" s="28">
        <f t="shared" si="13"/>
        <v>170400</v>
      </c>
      <c r="I588" s="28"/>
      <c r="K588" t="s">
        <v>15</v>
      </c>
    </row>
    <row r="589" spans="2:11" ht="33" x14ac:dyDescent="0.15">
      <c r="B589" s="30" t="s">
        <v>859</v>
      </c>
      <c r="C589" s="30" t="s">
        <v>751</v>
      </c>
      <c r="D589" s="31">
        <v>0</v>
      </c>
      <c r="E589" s="31"/>
      <c r="F589" s="31">
        <v>170400</v>
      </c>
      <c r="G589" s="31">
        <v>0</v>
      </c>
      <c r="H589" s="31">
        <f t="shared" si="13"/>
        <v>170400</v>
      </c>
      <c r="I589" s="31"/>
      <c r="K589" t="s">
        <v>38</v>
      </c>
    </row>
    <row r="590" spans="2:11" ht="13" x14ac:dyDescent="0.15">
      <c r="B590" s="27" t="s">
        <v>860</v>
      </c>
      <c r="C590" s="27" t="s">
        <v>861</v>
      </c>
      <c r="D590" s="28">
        <f>SUMIFS(D591:D1509,K591:K1509,"0",B591:B1509,"5 1 1 1 3 12 31111 6 M78 12000*")-SUMIFS(E591:E1509,K591:K1509,"0",B591:B1509,"5 1 1 1 3 12 31111 6 M78 12000*")</f>
        <v>0</v>
      </c>
      <c r="E590" s="29"/>
      <c r="F590" s="28">
        <f>SUMIFS(F591:F1509,K591:K1509,"0",B591:B1509,"5 1 1 1 3 12 31111 6 M78 12000*")</f>
        <v>542129.92000000004</v>
      </c>
      <c r="G590" s="28">
        <f>SUMIFS(G591:G1509,K591:K1509,"0",B591:B1509,"5 1 1 1 3 12 31111 6 M78 12000*")</f>
        <v>0</v>
      </c>
      <c r="H590" s="28">
        <f t="shared" si="13"/>
        <v>542129.92000000004</v>
      </c>
      <c r="I590" s="28"/>
      <c r="K590" t="s">
        <v>15</v>
      </c>
    </row>
    <row r="591" spans="2:11" ht="13" x14ac:dyDescent="0.15">
      <c r="B591" s="27" t="s">
        <v>862</v>
      </c>
      <c r="C591" s="27" t="s">
        <v>863</v>
      </c>
      <c r="D591" s="28">
        <f>SUMIFS(D592:D1509,K592:K1509,"0",B592:B1509,"5 1 1 1 3 12 31111 6 M78 12000 265*")-SUMIFS(E592:E1509,K592:K1509,"0",B592:B1509,"5 1 1 1 3 12 31111 6 M78 12000 265*")</f>
        <v>0</v>
      </c>
      <c r="E591" s="29"/>
      <c r="F591" s="28">
        <f>SUMIFS(F592:F1509,K592:K1509,"0",B592:B1509,"5 1 1 1 3 12 31111 6 M78 12000 265*")</f>
        <v>542129.92000000004</v>
      </c>
      <c r="G591" s="28">
        <f>SUMIFS(G592:G1509,K592:K1509,"0",B592:B1509,"5 1 1 1 3 12 31111 6 M78 12000 265*")</f>
        <v>0</v>
      </c>
      <c r="H591" s="28">
        <f t="shared" si="13"/>
        <v>542129.92000000004</v>
      </c>
      <c r="I591" s="28"/>
      <c r="K591" t="s">
        <v>15</v>
      </c>
    </row>
    <row r="592" spans="2:11" ht="13" x14ac:dyDescent="0.15">
      <c r="B592" s="27" t="s">
        <v>864</v>
      </c>
      <c r="C592" s="27" t="s">
        <v>170</v>
      </c>
      <c r="D592" s="28">
        <f>SUMIFS(D593:D1509,K593:K1509,"0",B593:B1509,"5 1 1 1 3 12 31111 6 M78 12000 265 00C*")-SUMIFS(E593:E1509,K593:K1509,"0",B593:B1509,"5 1 1 1 3 12 31111 6 M78 12000 265 00C*")</f>
        <v>0</v>
      </c>
      <c r="E592" s="29"/>
      <c r="F592" s="28">
        <f>SUMIFS(F593:F1509,K593:K1509,"0",B593:B1509,"5 1 1 1 3 12 31111 6 M78 12000 265 00C*")</f>
        <v>542129.92000000004</v>
      </c>
      <c r="G592" s="28">
        <f>SUMIFS(G593:G1509,K593:K1509,"0",B593:B1509,"5 1 1 1 3 12 31111 6 M78 12000 265 00C*")</f>
        <v>0</v>
      </c>
      <c r="H592" s="28">
        <f t="shared" si="13"/>
        <v>542129.92000000004</v>
      </c>
      <c r="I592" s="28"/>
      <c r="K592" t="s">
        <v>15</v>
      </c>
    </row>
    <row r="593" spans="2:11" ht="22" x14ac:dyDescent="0.15">
      <c r="B593" s="27" t="s">
        <v>865</v>
      </c>
      <c r="C593" s="27" t="s">
        <v>9</v>
      </c>
      <c r="D593" s="28">
        <f>SUMIFS(D594:D1509,K594:K1509,"0",B594:B1509,"5 1 1 1 3 12 31111 6 M78 12000 265 00C 001*")-SUMIFS(E594:E1509,K594:K1509,"0",B594:B1509,"5 1 1 1 3 12 31111 6 M78 12000 265 00C 001*")</f>
        <v>0</v>
      </c>
      <c r="E593" s="29"/>
      <c r="F593" s="28">
        <f>SUMIFS(F594:F1509,K594:K1509,"0",B594:B1509,"5 1 1 1 3 12 31111 6 M78 12000 265 00C 001*")</f>
        <v>542129.92000000004</v>
      </c>
      <c r="G593" s="28">
        <f>SUMIFS(G594:G1509,K594:K1509,"0",B594:B1509,"5 1 1 1 3 12 31111 6 M78 12000 265 00C 001*")</f>
        <v>0</v>
      </c>
      <c r="H593" s="28">
        <f t="shared" si="13"/>
        <v>542129.92000000004</v>
      </c>
      <c r="I593" s="28"/>
      <c r="K593" t="s">
        <v>15</v>
      </c>
    </row>
    <row r="594" spans="2:11" ht="22" x14ac:dyDescent="0.15">
      <c r="B594" s="27" t="s">
        <v>866</v>
      </c>
      <c r="C594" s="27" t="s">
        <v>741</v>
      </c>
      <c r="D594" s="28">
        <f>SUMIFS(D595:D1509,K595:K1509,"0",B595:B1509,"5 1 1 1 3 12 31111 6 M78 12000 265 00C 001 11301*")-SUMIFS(E595:E1509,K595:K1509,"0",B595:B1509,"5 1 1 1 3 12 31111 6 M78 12000 265 00C 001 11301*")</f>
        <v>0</v>
      </c>
      <c r="E594" s="29"/>
      <c r="F594" s="28">
        <f>SUMIFS(F595:F1509,K595:K1509,"0",B595:B1509,"5 1 1 1 3 12 31111 6 M78 12000 265 00C 001 11301*")</f>
        <v>542129.92000000004</v>
      </c>
      <c r="G594" s="28">
        <f>SUMIFS(G595:G1509,K595:K1509,"0",B595:B1509,"5 1 1 1 3 12 31111 6 M78 12000 265 00C 001 11301*")</f>
        <v>0</v>
      </c>
      <c r="H594" s="28">
        <f t="shared" si="13"/>
        <v>542129.92000000004</v>
      </c>
      <c r="I594" s="28"/>
      <c r="K594" t="s">
        <v>15</v>
      </c>
    </row>
    <row r="595" spans="2:11" ht="22" x14ac:dyDescent="0.15">
      <c r="B595" s="27" t="s">
        <v>867</v>
      </c>
      <c r="C595" s="27" t="s">
        <v>176</v>
      </c>
      <c r="D595" s="28">
        <f>SUMIFS(D596:D1509,K596:K1509,"0",B596:B1509,"5 1 1 1 3 12 31111 6 M78 12000 265 00C 001 11301 015*")-SUMIFS(E596:E1509,K596:K1509,"0",B596:B1509,"5 1 1 1 3 12 31111 6 M78 12000 265 00C 001 11301 015*")</f>
        <v>0</v>
      </c>
      <c r="E595" s="29"/>
      <c r="F595" s="28">
        <f>SUMIFS(F596:F1509,K596:K1509,"0",B596:B1509,"5 1 1 1 3 12 31111 6 M78 12000 265 00C 001 11301 015*")</f>
        <v>542129.92000000004</v>
      </c>
      <c r="G595" s="28">
        <f>SUMIFS(G596:G1509,K596:K1509,"0",B596:B1509,"5 1 1 1 3 12 31111 6 M78 12000 265 00C 001 11301 015*")</f>
        <v>0</v>
      </c>
      <c r="H595" s="28">
        <f t="shared" si="13"/>
        <v>542129.92000000004</v>
      </c>
      <c r="I595" s="28"/>
      <c r="K595" t="s">
        <v>15</v>
      </c>
    </row>
    <row r="596" spans="2:11" ht="22" x14ac:dyDescent="0.15">
      <c r="B596" s="27" t="s">
        <v>868</v>
      </c>
      <c r="C596" s="27" t="s">
        <v>744</v>
      </c>
      <c r="D596" s="28">
        <f>SUMIFS(D597:D1509,K597:K1509,"0",B597:B1509,"5 1 1 1 3 12 31111 6 M78 12000 265 00C 001 11301 015 2111100*")-SUMIFS(E597:E1509,K597:K1509,"0",B597:B1509,"5 1 1 1 3 12 31111 6 M78 12000 265 00C 001 11301 015 2111100*")</f>
        <v>0</v>
      </c>
      <c r="E596" s="29"/>
      <c r="F596" s="28">
        <f>SUMIFS(F597:F1509,K597:K1509,"0",B597:B1509,"5 1 1 1 3 12 31111 6 M78 12000 265 00C 001 11301 015 2111100*")</f>
        <v>542129.92000000004</v>
      </c>
      <c r="G596" s="28">
        <f>SUMIFS(G597:G1509,K597:K1509,"0",B597:B1509,"5 1 1 1 3 12 31111 6 M78 12000 265 00C 001 11301 015 2111100*")</f>
        <v>0</v>
      </c>
      <c r="H596" s="28">
        <f t="shared" si="13"/>
        <v>542129.92000000004</v>
      </c>
      <c r="I596" s="28"/>
      <c r="K596" t="s">
        <v>15</v>
      </c>
    </row>
    <row r="597" spans="2:11" ht="22" x14ac:dyDescent="0.15">
      <c r="B597" s="27" t="s">
        <v>869</v>
      </c>
      <c r="C597" s="27" t="s">
        <v>248</v>
      </c>
      <c r="D597" s="28">
        <f>SUMIFS(D598:D1509,K598:K1509,"0",B598:B1509,"5 1 1 1 3 12 31111 6 M78 12000 265 00C 001 11301 015 2111100 2024*")-SUMIFS(E598:E1509,K598:K1509,"0",B598:B1509,"5 1 1 1 3 12 31111 6 M78 12000 265 00C 001 11301 015 2111100 2024*")</f>
        <v>0</v>
      </c>
      <c r="E597" s="29"/>
      <c r="F597" s="28">
        <f>SUMIFS(F598:F1509,K598:K1509,"0",B598:B1509,"5 1 1 1 3 12 31111 6 M78 12000 265 00C 001 11301 015 2111100 2024*")</f>
        <v>542129.92000000004</v>
      </c>
      <c r="G597" s="28">
        <f>SUMIFS(G598:G1509,K598:K1509,"0",B598:B1509,"5 1 1 1 3 12 31111 6 M78 12000 265 00C 001 11301 015 2111100 2024*")</f>
        <v>0</v>
      </c>
      <c r="H597" s="28">
        <f t="shared" si="13"/>
        <v>542129.92000000004</v>
      </c>
      <c r="I597" s="28"/>
      <c r="K597" t="s">
        <v>15</v>
      </c>
    </row>
    <row r="598" spans="2:11" ht="22" x14ac:dyDescent="0.15">
      <c r="B598" s="27" t="s">
        <v>870</v>
      </c>
      <c r="C598" s="27" t="s">
        <v>182</v>
      </c>
      <c r="D598" s="28">
        <f>SUMIFS(D599:D1509,K599:K1509,"0",B599:B1509,"5 1 1 1 3 12 31111 6 M78 12000 265 00C 001 11301 015 2111100 2024 00000000*")-SUMIFS(E599:E1509,K599:K1509,"0",B599:B1509,"5 1 1 1 3 12 31111 6 M78 12000 265 00C 001 11301 015 2111100 2024 00000000*")</f>
        <v>0</v>
      </c>
      <c r="E598" s="29"/>
      <c r="F598" s="28">
        <f>SUMIFS(F599:F1509,K599:K1509,"0",B599:B1509,"5 1 1 1 3 12 31111 6 M78 12000 265 00C 001 11301 015 2111100 2024 00000000*")</f>
        <v>542129.92000000004</v>
      </c>
      <c r="G598" s="28">
        <f>SUMIFS(G599:G1509,K599:K1509,"0",B599:B1509,"5 1 1 1 3 12 31111 6 M78 12000 265 00C 001 11301 015 2111100 2024 00000000*")</f>
        <v>0</v>
      </c>
      <c r="H598" s="28">
        <f t="shared" si="13"/>
        <v>542129.92000000004</v>
      </c>
      <c r="I598" s="28"/>
      <c r="K598" t="s">
        <v>15</v>
      </c>
    </row>
    <row r="599" spans="2:11" ht="33" x14ac:dyDescent="0.15">
      <c r="B599" s="27" t="s">
        <v>871</v>
      </c>
      <c r="C599" s="27" t="s">
        <v>9</v>
      </c>
      <c r="D599" s="28">
        <f>SUMIFS(D600:D1509,K600:K1509,"0",B600:B1509,"5 1 1 1 3 12 31111 6 M78 12000 265 00C 001 11301 015 2111100 2024 00000000 001*")-SUMIFS(E600:E1509,K600:K1509,"0",B600:B1509,"5 1 1 1 3 12 31111 6 M78 12000 265 00C 001 11301 015 2111100 2024 00000000 001*")</f>
        <v>0</v>
      </c>
      <c r="E599" s="29"/>
      <c r="F599" s="28">
        <f>SUMIFS(F600:F1509,K600:K1509,"0",B600:B1509,"5 1 1 1 3 12 31111 6 M78 12000 265 00C 001 11301 015 2111100 2024 00000000 001*")</f>
        <v>542129.92000000004</v>
      </c>
      <c r="G599" s="28">
        <f>SUMIFS(G600:G1509,K600:K1509,"0",B600:B1509,"5 1 1 1 3 12 31111 6 M78 12000 265 00C 001 11301 015 2111100 2024 00000000 001*")</f>
        <v>0</v>
      </c>
      <c r="H599" s="28">
        <f t="shared" si="13"/>
        <v>542129.92000000004</v>
      </c>
      <c r="I599" s="28"/>
      <c r="K599" t="s">
        <v>15</v>
      </c>
    </row>
    <row r="600" spans="2:11" ht="33" x14ac:dyDescent="0.15">
      <c r="B600" s="27" t="s">
        <v>872</v>
      </c>
      <c r="C600" s="27" t="s">
        <v>873</v>
      </c>
      <c r="D600" s="28">
        <f>SUMIFS(D601:D1509,K601:K1509,"0",B601:B1509,"5 1 1 1 3 12 31111 6 M78 12000 265 00C 001 11301 015 2111100 2024 00000000 001 001*")-SUMIFS(E601:E1509,K601:K1509,"0",B601:B1509,"5 1 1 1 3 12 31111 6 M78 12000 265 00C 001 11301 015 2111100 2024 00000000 001 001*")</f>
        <v>0</v>
      </c>
      <c r="E600" s="29"/>
      <c r="F600" s="28">
        <f>SUMIFS(F601:F1509,K601:K1509,"0",B601:B1509,"5 1 1 1 3 12 31111 6 M78 12000 265 00C 001 11301 015 2111100 2024 00000000 001 001*")</f>
        <v>542129.92000000004</v>
      </c>
      <c r="G600" s="28">
        <f>SUMIFS(G601:G1509,K601:K1509,"0",B601:B1509,"5 1 1 1 3 12 31111 6 M78 12000 265 00C 001 11301 015 2111100 2024 00000000 001 001*")</f>
        <v>0</v>
      </c>
      <c r="H600" s="28">
        <f t="shared" si="13"/>
        <v>542129.92000000004</v>
      </c>
      <c r="I600" s="28"/>
      <c r="K600" t="s">
        <v>15</v>
      </c>
    </row>
    <row r="601" spans="2:11" ht="33" x14ac:dyDescent="0.15">
      <c r="B601" s="30" t="s">
        <v>874</v>
      </c>
      <c r="C601" s="30" t="s">
        <v>751</v>
      </c>
      <c r="D601" s="31">
        <v>0</v>
      </c>
      <c r="E601" s="31"/>
      <c r="F601" s="31">
        <v>542129.92000000004</v>
      </c>
      <c r="G601" s="31">
        <v>0</v>
      </c>
      <c r="H601" s="31">
        <f t="shared" si="13"/>
        <v>542129.92000000004</v>
      </c>
      <c r="I601" s="31"/>
      <c r="K601" t="s">
        <v>38</v>
      </c>
    </row>
    <row r="602" spans="2:11" ht="13" x14ac:dyDescent="0.15">
      <c r="B602" s="27" t="s">
        <v>875</v>
      </c>
      <c r="C602" s="27" t="s">
        <v>876</v>
      </c>
      <c r="D602" s="28">
        <f>SUMIFS(D603:D1509,K603:K1509,"0",B603:B1509,"5 1 1 1 3 12 31111 6 M78 13000*")-SUMIFS(E603:E1509,K603:K1509,"0",B603:B1509,"5 1 1 1 3 12 31111 6 M78 13000*")</f>
        <v>0</v>
      </c>
      <c r="E602" s="29"/>
      <c r="F602" s="28">
        <f>SUMIFS(F603:F1509,K603:K1509,"0",B603:B1509,"5 1 1 1 3 12 31111 6 M78 13000*")</f>
        <v>96600</v>
      </c>
      <c r="G602" s="28">
        <f>SUMIFS(G603:G1509,K603:K1509,"0",B603:B1509,"5 1 1 1 3 12 31111 6 M78 13000*")</f>
        <v>0</v>
      </c>
      <c r="H602" s="28">
        <f t="shared" si="13"/>
        <v>96600</v>
      </c>
      <c r="I602" s="28"/>
      <c r="K602" t="s">
        <v>15</v>
      </c>
    </row>
    <row r="603" spans="2:11" ht="13" x14ac:dyDescent="0.15">
      <c r="B603" s="27" t="s">
        <v>877</v>
      </c>
      <c r="C603" s="27" t="s">
        <v>168</v>
      </c>
      <c r="D603" s="28">
        <f>SUMIFS(D604:D1509,K604:K1509,"0",B604:B1509,"5 1 1 1 3 12 31111 6 M78 13000 151*")-SUMIFS(E604:E1509,K604:K1509,"0",B604:B1509,"5 1 1 1 3 12 31111 6 M78 13000 151*")</f>
        <v>0</v>
      </c>
      <c r="E603" s="29"/>
      <c r="F603" s="28">
        <f>SUMIFS(F604:F1509,K604:K1509,"0",B604:B1509,"5 1 1 1 3 12 31111 6 M78 13000 151*")</f>
        <v>96600</v>
      </c>
      <c r="G603" s="28">
        <f>SUMIFS(G604:G1509,K604:K1509,"0",B604:B1509,"5 1 1 1 3 12 31111 6 M78 13000 151*")</f>
        <v>0</v>
      </c>
      <c r="H603" s="28">
        <f t="shared" si="13"/>
        <v>96600</v>
      </c>
      <c r="I603" s="28"/>
      <c r="K603" t="s">
        <v>15</v>
      </c>
    </row>
    <row r="604" spans="2:11" ht="13" x14ac:dyDescent="0.15">
      <c r="B604" s="27" t="s">
        <v>878</v>
      </c>
      <c r="C604" s="27" t="s">
        <v>170</v>
      </c>
      <c r="D604" s="28">
        <f>SUMIFS(D605:D1509,K605:K1509,"0",B605:B1509,"5 1 1 1 3 12 31111 6 M78 13000 151 00C*")-SUMIFS(E605:E1509,K605:K1509,"0",B605:B1509,"5 1 1 1 3 12 31111 6 M78 13000 151 00C*")</f>
        <v>0</v>
      </c>
      <c r="E604" s="29"/>
      <c r="F604" s="28">
        <f>SUMIFS(F605:F1509,K605:K1509,"0",B605:B1509,"5 1 1 1 3 12 31111 6 M78 13000 151 00C*")</f>
        <v>96600</v>
      </c>
      <c r="G604" s="28">
        <f>SUMIFS(G605:G1509,K605:K1509,"0",B605:B1509,"5 1 1 1 3 12 31111 6 M78 13000 151 00C*")</f>
        <v>0</v>
      </c>
      <c r="H604" s="28">
        <f t="shared" si="13"/>
        <v>96600</v>
      </c>
      <c r="I604" s="28"/>
      <c r="K604" t="s">
        <v>15</v>
      </c>
    </row>
    <row r="605" spans="2:11" ht="22" x14ac:dyDescent="0.15">
      <c r="B605" s="27" t="s">
        <v>879</v>
      </c>
      <c r="C605" s="27" t="s">
        <v>9</v>
      </c>
      <c r="D605" s="28">
        <f>SUMIFS(D606:D1509,K606:K1509,"0",B606:B1509,"5 1 1 1 3 12 31111 6 M78 13000 151 00C 001*")-SUMIFS(E606:E1509,K606:K1509,"0",B606:B1509,"5 1 1 1 3 12 31111 6 M78 13000 151 00C 001*")</f>
        <v>0</v>
      </c>
      <c r="E605" s="29"/>
      <c r="F605" s="28">
        <f>SUMIFS(F606:F1509,K606:K1509,"0",B606:B1509,"5 1 1 1 3 12 31111 6 M78 13000 151 00C 001*")</f>
        <v>96600</v>
      </c>
      <c r="G605" s="28">
        <f>SUMIFS(G606:G1509,K606:K1509,"0",B606:B1509,"5 1 1 1 3 12 31111 6 M78 13000 151 00C 001*")</f>
        <v>0</v>
      </c>
      <c r="H605" s="28">
        <f t="shared" si="13"/>
        <v>96600</v>
      </c>
      <c r="I605" s="28"/>
      <c r="K605" t="s">
        <v>15</v>
      </c>
    </row>
    <row r="606" spans="2:11" ht="22" x14ac:dyDescent="0.15">
      <c r="B606" s="27" t="s">
        <v>880</v>
      </c>
      <c r="C606" s="27" t="s">
        <v>741</v>
      </c>
      <c r="D606" s="28">
        <f>SUMIFS(D607:D1509,K607:K1509,"0",B607:B1509,"5 1 1 1 3 12 31111 6 M78 13000 151 00C 001 11301*")-SUMIFS(E607:E1509,K607:K1509,"0",B607:B1509,"5 1 1 1 3 12 31111 6 M78 13000 151 00C 001 11301*")</f>
        <v>0</v>
      </c>
      <c r="E606" s="29"/>
      <c r="F606" s="28">
        <f>SUMIFS(F607:F1509,K607:K1509,"0",B607:B1509,"5 1 1 1 3 12 31111 6 M78 13000 151 00C 001 11301*")</f>
        <v>96600</v>
      </c>
      <c r="G606" s="28">
        <f>SUMIFS(G607:G1509,K607:K1509,"0",B607:B1509,"5 1 1 1 3 12 31111 6 M78 13000 151 00C 001 11301*")</f>
        <v>0</v>
      </c>
      <c r="H606" s="28">
        <f t="shared" si="13"/>
        <v>96600</v>
      </c>
      <c r="I606" s="28"/>
      <c r="K606" t="s">
        <v>15</v>
      </c>
    </row>
    <row r="607" spans="2:11" ht="22" x14ac:dyDescent="0.15">
      <c r="B607" s="27" t="s">
        <v>881</v>
      </c>
      <c r="C607" s="27" t="s">
        <v>176</v>
      </c>
      <c r="D607" s="28">
        <f>SUMIFS(D608:D1509,K608:K1509,"0",B608:B1509,"5 1 1 1 3 12 31111 6 M78 13000 151 00C 001 11301 015*")-SUMIFS(E608:E1509,K608:K1509,"0",B608:B1509,"5 1 1 1 3 12 31111 6 M78 13000 151 00C 001 11301 015*")</f>
        <v>0</v>
      </c>
      <c r="E607" s="29"/>
      <c r="F607" s="28">
        <f>SUMIFS(F608:F1509,K608:K1509,"0",B608:B1509,"5 1 1 1 3 12 31111 6 M78 13000 151 00C 001 11301 015*")</f>
        <v>96600</v>
      </c>
      <c r="G607" s="28">
        <f>SUMIFS(G608:G1509,K608:K1509,"0",B608:B1509,"5 1 1 1 3 12 31111 6 M78 13000 151 00C 001 11301 015*")</f>
        <v>0</v>
      </c>
      <c r="H607" s="28">
        <f t="shared" si="13"/>
        <v>96600</v>
      </c>
      <c r="I607" s="28"/>
      <c r="K607" t="s">
        <v>15</v>
      </c>
    </row>
    <row r="608" spans="2:11" ht="22" x14ac:dyDescent="0.15">
      <c r="B608" s="27" t="s">
        <v>882</v>
      </c>
      <c r="C608" s="27" t="s">
        <v>744</v>
      </c>
      <c r="D608" s="28">
        <f>SUMIFS(D609:D1509,K609:K1509,"0",B609:B1509,"5 1 1 1 3 12 31111 6 M78 13000 151 00C 001 11301 015 2111100*")-SUMIFS(E609:E1509,K609:K1509,"0",B609:B1509,"5 1 1 1 3 12 31111 6 M78 13000 151 00C 001 11301 015 2111100*")</f>
        <v>0</v>
      </c>
      <c r="E608" s="29"/>
      <c r="F608" s="28">
        <f>SUMIFS(F609:F1509,K609:K1509,"0",B609:B1509,"5 1 1 1 3 12 31111 6 M78 13000 151 00C 001 11301 015 2111100*")</f>
        <v>96600</v>
      </c>
      <c r="G608" s="28">
        <f>SUMIFS(G609:G1509,K609:K1509,"0",B609:B1509,"5 1 1 1 3 12 31111 6 M78 13000 151 00C 001 11301 015 2111100*")</f>
        <v>0</v>
      </c>
      <c r="H608" s="28">
        <f t="shared" ref="H608:H671" si="14">D608 + F608 - G608</f>
        <v>96600</v>
      </c>
      <c r="I608" s="28"/>
      <c r="K608" t="s">
        <v>15</v>
      </c>
    </row>
    <row r="609" spans="2:11" ht="22" x14ac:dyDescent="0.15">
      <c r="B609" s="27" t="s">
        <v>883</v>
      </c>
      <c r="C609" s="27" t="s">
        <v>248</v>
      </c>
      <c r="D609" s="28">
        <f>SUMIFS(D610:D1509,K610:K1509,"0",B610:B1509,"5 1 1 1 3 12 31111 6 M78 13000 151 00C 001 11301 015 2111100 2024*")-SUMIFS(E610:E1509,K610:K1509,"0",B610:B1509,"5 1 1 1 3 12 31111 6 M78 13000 151 00C 001 11301 015 2111100 2024*")</f>
        <v>0</v>
      </c>
      <c r="E609" s="29"/>
      <c r="F609" s="28">
        <f>SUMIFS(F610:F1509,K610:K1509,"0",B610:B1509,"5 1 1 1 3 12 31111 6 M78 13000 151 00C 001 11301 015 2111100 2024*")</f>
        <v>96600</v>
      </c>
      <c r="G609" s="28">
        <f>SUMIFS(G610:G1509,K610:K1509,"0",B610:B1509,"5 1 1 1 3 12 31111 6 M78 13000 151 00C 001 11301 015 2111100 2024*")</f>
        <v>0</v>
      </c>
      <c r="H609" s="28">
        <f t="shared" si="14"/>
        <v>96600</v>
      </c>
      <c r="I609" s="28"/>
      <c r="K609" t="s">
        <v>15</v>
      </c>
    </row>
    <row r="610" spans="2:11" ht="22" x14ac:dyDescent="0.15">
      <c r="B610" s="27" t="s">
        <v>884</v>
      </c>
      <c r="C610" s="27" t="s">
        <v>182</v>
      </c>
      <c r="D610" s="28">
        <f>SUMIFS(D611:D1509,K611:K1509,"0",B611:B1509,"5 1 1 1 3 12 31111 6 M78 13000 151 00C 001 11301 015 2111100 2024 00000000*")-SUMIFS(E611:E1509,K611:K1509,"0",B611:B1509,"5 1 1 1 3 12 31111 6 M78 13000 151 00C 001 11301 015 2111100 2024 00000000*")</f>
        <v>0</v>
      </c>
      <c r="E610" s="29"/>
      <c r="F610" s="28">
        <f>SUMIFS(F611:F1509,K611:K1509,"0",B611:B1509,"5 1 1 1 3 12 31111 6 M78 13000 151 00C 001 11301 015 2111100 2024 00000000*")</f>
        <v>96600</v>
      </c>
      <c r="G610" s="28">
        <f>SUMIFS(G611:G1509,K611:K1509,"0",B611:B1509,"5 1 1 1 3 12 31111 6 M78 13000 151 00C 001 11301 015 2111100 2024 00000000*")</f>
        <v>0</v>
      </c>
      <c r="H610" s="28">
        <f t="shared" si="14"/>
        <v>96600</v>
      </c>
      <c r="I610" s="28"/>
      <c r="K610" t="s">
        <v>15</v>
      </c>
    </row>
    <row r="611" spans="2:11" ht="33" x14ac:dyDescent="0.15">
      <c r="B611" s="27" t="s">
        <v>885</v>
      </c>
      <c r="C611" s="27" t="s">
        <v>9</v>
      </c>
      <c r="D611" s="28">
        <f>SUMIFS(D612:D1509,K612:K1509,"0",B612:B1509,"5 1 1 1 3 12 31111 6 M78 13000 151 00C 001 11301 015 2111100 2024 00000000 001*")-SUMIFS(E612:E1509,K612:K1509,"0",B612:B1509,"5 1 1 1 3 12 31111 6 M78 13000 151 00C 001 11301 015 2111100 2024 00000000 001*")</f>
        <v>0</v>
      </c>
      <c r="E611" s="29"/>
      <c r="F611" s="28">
        <f>SUMIFS(F612:F1509,K612:K1509,"0",B612:B1509,"5 1 1 1 3 12 31111 6 M78 13000 151 00C 001 11301 015 2111100 2024 00000000 001*")</f>
        <v>96600</v>
      </c>
      <c r="G611" s="28">
        <f>SUMIFS(G612:G1509,K612:K1509,"0",B612:B1509,"5 1 1 1 3 12 31111 6 M78 13000 151 00C 001 11301 015 2111100 2024 00000000 001*")</f>
        <v>0</v>
      </c>
      <c r="H611" s="28">
        <f t="shared" si="14"/>
        <v>96600</v>
      </c>
      <c r="I611" s="28"/>
      <c r="K611" t="s">
        <v>15</v>
      </c>
    </row>
    <row r="612" spans="2:11" ht="33" x14ac:dyDescent="0.15">
      <c r="B612" s="27" t="s">
        <v>886</v>
      </c>
      <c r="C612" s="27" t="s">
        <v>887</v>
      </c>
      <c r="D612" s="28">
        <f>SUMIFS(D613:D1509,K613:K1509,"0",B613:B1509,"5 1 1 1 3 12 31111 6 M78 13000 151 00C 001 11301 015 2111100 2024 00000000 001 001*")-SUMIFS(E613:E1509,K613:K1509,"0",B613:B1509,"5 1 1 1 3 12 31111 6 M78 13000 151 00C 001 11301 015 2111100 2024 00000000 001 001*")</f>
        <v>0</v>
      </c>
      <c r="E612" s="29"/>
      <c r="F612" s="28">
        <f>SUMIFS(F613:F1509,K613:K1509,"0",B613:B1509,"5 1 1 1 3 12 31111 6 M78 13000 151 00C 001 11301 015 2111100 2024 00000000 001 001*")</f>
        <v>96600</v>
      </c>
      <c r="G612" s="28">
        <f>SUMIFS(G613:G1509,K613:K1509,"0",B613:B1509,"5 1 1 1 3 12 31111 6 M78 13000 151 00C 001 11301 015 2111100 2024 00000000 001 001*")</f>
        <v>0</v>
      </c>
      <c r="H612" s="28">
        <f t="shared" si="14"/>
        <v>96600</v>
      </c>
      <c r="I612" s="28"/>
      <c r="K612" t="s">
        <v>15</v>
      </c>
    </row>
    <row r="613" spans="2:11" ht="33" x14ac:dyDescent="0.15">
      <c r="B613" s="30" t="s">
        <v>888</v>
      </c>
      <c r="C613" s="30" t="s">
        <v>751</v>
      </c>
      <c r="D613" s="31">
        <v>0</v>
      </c>
      <c r="E613" s="31"/>
      <c r="F613" s="31">
        <v>96600</v>
      </c>
      <c r="G613" s="31">
        <v>0</v>
      </c>
      <c r="H613" s="31">
        <f t="shared" si="14"/>
        <v>96600</v>
      </c>
      <c r="I613" s="31"/>
      <c r="K613" t="s">
        <v>38</v>
      </c>
    </row>
    <row r="614" spans="2:11" ht="13" x14ac:dyDescent="0.15">
      <c r="B614" s="27" t="s">
        <v>889</v>
      </c>
      <c r="C614" s="27" t="s">
        <v>890</v>
      </c>
      <c r="D614" s="28">
        <f>SUMIFS(D615:D1509,K615:K1509,"0",B615:B1509,"5 1 1 1 3 12 31111 6 M78 14000*")-SUMIFS(E615:E1509,K615:K1509,"0",B615:B1509,"5 1 1 1 3 12 31111 6 M78 14000*")</f>
        <v>0</v>
      </c>
      <c r="E614" s="29"/>
      <c r="F614" s="28">
        <f>SUMIFS(F615:F1509,K615:K1509,"0",B615:B1509,"5 1 1 1 3 12 31111 6 M78 14000*")</f>
        <v>291502.21999999997</v>
      </c>
      <c r="G614" s="28">
        <f>SUMIFS(G615:G1509,K615:K1509,"0",B615:B1509,"5 1 1 1 3 12 31111 6 M78 14000*")</f>
        <v>0</v>
      </c>
      <c r="H614" s="28">
        <f t="shared" si="14"/>
        <v>291502.21999999997</v>
      </c>
      <c r="I614" s="28"/>
      <c r="K614" t="s">
        <v>15</v>
      </c>
    </row>
    <row r="615" spans="2:11" ht="13" x14ac:dyDescent="0.15">
      <c r="B615" s="27" t="s">
        <v>891</v>
      </c>
      <c r="C615" s="27" t="s">
        <v>892</v>
      </c>
      <c r="D615" s="28">
        <f>SUMIFS(D616:D1509,K616:K1509,"0",B616:B1509,"5 1 1 1 3 12 31111 6 M78 14000 211*")-SUMIFS(E616:E1509,K616:K1509,"0",B616:B1509,"5 1 1 1 3 12 31111 6 M78 14000 211*")</f>
        <v>0</v>
      </c>
      <c r="E615" s="29"/>
      <c r="F615" s="28">
        <f>SUMIFS(F616:F1509,K616:K1509,"0",B616:B1509,"5 1 1 1 3 12 31111 6 M78 14000 211*")</f>
        <v>291502.21999999997</v>
      </c>
      <c r="G615" s="28">
        <f>SUMIFS(G616:G1509,K616:K1509,"0",B616:B1509,"5 1 1 1 3 12 31111 6 M78 14000 211*")</f>
        <v>0</v>
      </c>
      <c r="H615" s="28">
        <f t="shared" si="14"/>
        <v>291502.21999999997</v>
      </c>
      <c r="I615" s="28"/>
      <c r="K615" t="s">
        <v>15</v>
      </c>
    </row>
    <row r="616" spans="2:11" ht="13" x14ac:dyDescent="0.15">
      <c r="B616" s="27" t="s">
        <v>893</v>
      </c>
      <c r="C616" s="27" t="s">
        <v>170</v>
      </c>
      <c r="D616" s="28">
        <f>SUMIFS(D617:D1509,K617:K1509,"0",B617:B1509,"5 1 1 1 3 12 31111 6 M78 14000 211 00C*")-SUMIFS(E617:E1509,K617:K1509,"0",B617:B1509,"5 1 1 1 3 12 31111 6 M78 14000 211 00C*")</f>
        <v>0</v>
      </c>
      <c r="E616" s="29"/>
      <c r="F616" s="28">
        <f>SUMIFS(F617:F1509,K617:K1509,"0",B617:B1509,"5 1 1 1 3 12 31111 6 M78 14000 211 00C*")</f>
        <v>291502.21999999997</v>
      </c>
      <c r="G616" s="28">
        <f>SUMIFS(G617:G1509,K617:K1509,"0",B617:B1509,"5 1 1 1 3 12 31111 6 M78 14000 211 00C*")</f>
        <v>0</v>
      </c>
      <c r="H616" s="28">
        <f t="shared" si="14"/>
        <v>291502.21999999997</v>
      </c>
      <c r="I616" s="28"/>
      <c r="K616" t="s">
        <v>15</v>
      </c>
    </row>
    <row r="617" spans="2:11" ht="22" x14ac:dyDescent="0.15">
      <c r="B617" s="27" t="s">
        <v>894</v>
      </c>
      <c r="C617" s="27" t="s">
        <v>9</v>
      </c>
      <c r="D617" s="28">
        <f>SUMIFS(D618:D1509,K618:K1509,"0",B618:B1509,"5 1 1 1 3 12 31111 6 M78 14000 211 00C 001*")-SUMIFS(E618:E1509,K618:K1509,"0",B618:B1509,"5 1 1 1 3 12 31111 6 M78 14000 211 00C 001*")</f>
        <v>0</v>
      </c>
      <c r="E617" s="29"/>
      <c r="F617" s="28">
        <f>SUMIFS(F618:F1509,K618:K1509,"0",B618:B1509,"5 1 1 1 3 12 31111 6 M78 14000 211 00C 001*")</f>
        <v>291502.21999999997</v>
      </c>
      <c r="G617" s="28">
        <f>SUMIFS(G618:G1509,K618:K1509,"0",B618:B1509,"5 1 1 1 3 12 31111 6 M78 14000 211 00C 001*")</f>
        <v>0</v>
      </c>
      <c r="H617" s="28">
        <f t="shared" si="14"/>
        <v>291502.21999999997</v>
      </c>
      <c r="I617" s="28"/>
      <c r="K617" t="s">
        <v>15</v>
      </c>
    </row>
    <row r="618" spans="2:11" ht="22" x14ac:dyDescent="0.15">
      <c r="B618" s="27" t="s">
        <v>895</v>
      </c>
      <c r="C618" s="27" t="s">
        <v>741</v>
      </c>
      <c r="D618" s="28">
        <f>SUMIFS(D619:D1509,K619:K1509,"0",B619:B1509,"5 1 1 1 3 12 31111 6 M78 14000 211 00C 001 11301*")-SUMIFS(E619:E1509,K619:K1509,"0",B619:B1509,"5 1 1 1 3 12 31111 6 M78 14000 211 00C 001 11301*")</f>
        <v>0</v>
      </c>
      <c r="E618" s="29"/>
      <c r="F618" s="28">
        <f>SUMIFS(F619:F1509,K619:K1509,"0",B619:B1509,"5 1 1 1 3 12 31111 6 M78 14000 211 00C 001 11301*")</f>
        <v>291502.21999999997</v>
      </c>
      <c r="G618" s="28">
        <f>SUMIFS(G619:G1509,K619:K1509,"0",B619:B1509,"5 1 1 1 3 12 31111 6 M78 14000 211 00C 001 11301*")</f>
        <v>0</v>
      </c>
      <c r="H618" s="28">
        <f t="shared" si="14"/>
        <v>291502.21999999997</v>
      </c>
      <c r="I618" s="28"/>
      <c r="K618" t="s">
        <v>15</v>
      </c>
    </row>
    <row r="619" spans="2:11" ht="22" x14ac:dyDescent="0.15">
      <c r="B619" s="27" t="s">
        <v>896</v>
      </c>
      <c r="C619" s="27" t="s">
        <v>176</v>
      </c>
      <c r="D619" s="28">
        <f>SUMIFS(D620:D1509,K620:K1509,"0",B620:B1509,"5 1 1 1 3 12 31111 6 M78 14000 211 00C 001 11301 015*")-SUMIFS(E620:E1509,K620:K1509,"0",B620:B1509,"5 1 1 1 3 12 31111 6 M78 14000 211 00C 001 11301 015*")</f>
        <v>0</v>
      </c>
      <c r="E619" s="29"/>
      <c r="F619" s="28">
        <f>SUMIFS(F620:F1509,K620:K1509,"0",B620:B1509,"5 1 1 1 3 12 31111 6 M78 14000 211 00C 001 11301 015*")</f>
        <v>291502.21999999997</v>
      </c>
      <c r="G619" s="28">
        <f>SUMIFS(G620:G1509,K620:K1509,"0",B620:B1509,"5 1 1 1 3 12 31111 6 M78 14000 211 00C 001 11301 015*")</f>
        <v>0</v>
      </c>
      <c r="H619" s="28">
        <f t="shared" si="14"/>
        <v>291502.21999999997</v>
      </c>
      <c r="I619" s="28"/>
      <c r="K619" t="s">
        <v>15</v>
      </c>
    </row>
    <row r="620" spans="2:11" ht="22" x14ac:dyDescent="0.15">
      <c r="B620" s="27" t="s">
        <v>897</v>
      </c>
      <c r="C620" s="27" t="s">
        <v>744</v>
      </c>
      <c r="D620" s="28">
        <f>SUMIFS(D621:D1509,K621:K1509,"0",B621:B1509,"5 1 1 1 3 12 31111 6 M78 14000 211 00C 001 11301 015 2111100*")-SUMIFS(E621:E1509,K621:K1509,"0",B621:B1509,"5 1 1 1 3 12 31111 6 M78 14000 211 00C 001 11301 015 2111100*")</f>
        <v>0</v>
      </c>
      <c r="E620" s="29"/>
      <c r="F620" s="28">
        <f>SUMIFS(F621:F1509,K621:K1509,"0",B621:B1509,"5 1 1 1 3 12 31111 6 M78 14000 211 00C 001 11301 015 2111100*")</f>
        <v>291502.21999999997</v>
      </c>
      <c r="G620" s="28">
        <f>SUMIFS(G621:G1509,K621:K1509,"0",B621:B1509,"5 1 1 1 3 12 31111 6 M78 14000 211 00C 001 11301 015 2111100*")</f>
        <v>0</v>
      </c>
      <c r="H620" s="28">
        <f t="shared" si="14"/>
        <v>291502.21999999997</v>
      </c>
      <c r="I620" s="28"/>
      <c r="K620" t="s">
        <v>15</v>
      </c>
    </row>
    <row r="621" spans="2:11" ht="22" x14ac:dyDescent="0.15">
      <c r="B621" s="27" t="s">
        <v>898</v>
      </c>
      <c r="C621" s="27" t="s">
        <v>248</v>
      </c>
      <c r="D621" s="28">
        <f>SUMIFS(D622:D1509,K622:K1509,"0",B622:B1509,"5 1 1 1 3 12 31111 6 M78 14000 211 00C 001 11301 015 2111100 2024*")-SUMIFS(E622:E1509,K622:K1509,"0",B622:B1509,"5 1 1 1 3 12 31111 6 M78 14000 211 00C 001 11301 015 2111100 2024*")</f>
        <v>0</v>
      </c>
      <c r="E621" s="29"/>
      <c r="F621" s="28">
        <f>SUMIFS(F622:F1509,K622:K1509,"0",B622:B1509,"5 1 1 1 3 12 31111 6 M78 14000 211 00C 001 11301 015 2111100 2024*")</f>
        <v>291502.21999999997</v>
      </c>
      <c r="G621" s="28">
        <f>SUMIFS(G622:G1509,K622:K1509,"0",B622:B1509,"5 1 1 1 3 12 31111 6 M78 14000 211 00C 001 11301 015 2111100 2024*")</f>
        <v>0</v>
      </c>
      <c r="H621" s="28">
        <f t="shared" si="14"/>
        <v>291502.21999999997</v>
      </c>
      <c r="I621" s="28"/>
      <c r="K621" t="s">
        <v>15</v>
      </c>
    </row>
    <row r="622" spans="2:11" ht="22" x14ac:dyDescent="0.15">
      <c r="B622" s="27" t="s">
        <v>899</v>
      </c>
      <c r="C622" s="27" t="s">
        <v>182</v>
      </c>
      <c r="D622" s="28">
        <f>SUMIFS(D623:D1509,K623:K1509,"0",B623:B1509,"5 1 1 1 3 12 31111 6 M78 14000 211 00C 001 11301 015 2111100 2024 00000000*")-SUMIFS(E623:E1509,K623:K1509,"0",B623:B1509,"5 1 1 1 3 12 31111 6 M78 14000 211 00C 001 11301 015 2111100 2024 00000000*")</f>
        <v>0</v>
      </c>
      <c r="E622" s="29"/>
      <c r="F622" s="28">
        <f>SUMIFS(F623:F1509,K623:K1509,"0",B623:B1509,"5 1 1 1 3 12 31111 6 M78 14000 211 00C 001 11301 015 2111100 2024 00000000*")</f>
        <v>291502.21999999997</v>
      </c>
      <c r="G622" s="28">
        <f>SUMIFS(G623:G1509,K623:K1509,"0",B623:B1509,"5 1 1 1 3 12 31111 6 M78 14000 211 00C 001 11301 015 2111100 2024 00000000*")</f>
        <v>0</v>
      </c>
      <c r="H622" s="28">
        <f t="shared" si="14"/>
        <v>291502.21999999997</v>
      </c>
      <c r="I622" s="28"/>
      <c r="K622" t="s">
        <v>15</v>
      </c>
    </row>
    <row r="623" spans="2:11" ht="33" x14ac:dyDescent="0.15">
      <c r="B623" s="27" t="s">
        <v>900</v>
      </c>
      <c r="C623" s="27" t="s">
        <v>9</v>
      </c>
      <c r="D623" s="28">
        <f>SUMIFS(D624:D1509,K624:K1509,"0",B624:B1509,"5 1 1 1 3 12 31111 6 M78 14000 211 00C 001 11301 015 2111100 2024 00000000 001*")-SUMIFS(E624:E1509,K624:K1509,"0",B624:B1509,"5 1 1 1 3 12 31111 6 M78 14000 211 00C 001 11301 015 2111100 2024 00000000 001*")</f>
        <v>0</v>
      </c>
      <c r="E623" s="29"/>
      <c r="F623" s="28">
        <f>SUMIFS(F624:F1509,K624:K1509,"0",B624:B1509,"5 1 1 1 3 12 31111 6 M78 14000 211 00C 001 11301 015 2111100 2024 00000000 001*")</f>
        <v>291502.21999999997</v>
      </c>
      <c r="G623" s="28">
        <f>SUMIFS(G624:G1509,K624:K1509,"0",B624:B1509,"5 1 1 1 3 12 31111 6 M78 14000 211 00C 001 11301 015 2111100 2024 00000000 001*")</f>
        <v>0</v>
      </c>
      <c r="H623" s="28">
        <f t="shared" si="14"/>
        <v>291502.21999999997</v>
      </c>
      <c r="I623" s="28"/>
      <c r="K623" t="s">
        <v>15</v>
      </c>
    </row>
    <row r="624" spans="2:11" ht="33" x14ac:dyDescent="0.15">
      <c r="B624" s="27" t="s">
        <v>901</v>
      </c>
      <c r="C624" s="27" t="s">
        <v>902</v>
      </c>
      <c r="D624" s="28">
        <f>SUMIFS(D625:D1509,K625:K1509,"0",B625:B1509,"5 1 1 1 3 12 31111 6 M78 14000 211 00C 001 11301 015 2111100 2024 00000000 001 001*")-SUMIFS(E625:E1509,K625:K1509,"0",B625:B1509,"5 1 1 1 3 12 31111 6 M78 14000 211 00C 001 11301 015 2111100 2024 00000000 001 001*")</f>
        <v>0</v>
      </c>
      <c r="E624" s="29"/>
      <c r="F624" s="28">
        <f>SUMIFS(F625:F1509,K625:K1509,"0",B625:B1509,"5 1 1 1 3 12 31111 6 M78 14000 211 00C 001 11301 015 2111100 2024 00000000 001 001*")</f>
        <v>291502.21999999997</v>
      </c>
      <c r="G624" s="28">
        <f>SUMIFS(G625:G1509,K625:K1509,"0",B625:B1509,"5 1 1 1 3 12 31111 6 M78 14000 211 00C 001 11301 015 2111100 2024 00000000 001 001*")</f>
        <v>0</v>
      </c>
      <c r="H624" s="28">
        <f t="shared" si="14"/>
        <v>291502.21999999997</v>
      </c>
      <c r="I624" s="28"/>
      <c r="K624" t="s">
        <v>15</v>
      </c>
    </row>
    <row r="625" spans="2:11" ht="33" x14ac:dyDescent="0.15">
      <c r="B625" s="30" t="s">
        <v>903</v>
      </c>
      <c r="C625" s="30" t="s">
        <v>751</v>
      </c>
      <c r="D625" s="31">
        <v>0</v>
      </c>
      <c r="E625" s="31"/>
      <c r="F625" s="31">
        <v>291502.21999999997</v>
      </c>
      <c r="G625" s="31">
        <v>0</v>
      </c>
      <c r="H625" s="31">
        <f t="shared" si="14"/>
        <v>291502.21999999997</v>
      </c>
      <c r="I625" s="31"/>
      <c r="K625" t="s">
        <v>38</v>
      </c>
    </row>
    <row r="626" spans="2:11" ht="13" x14ac:dyDescent="0.15">
      <c r="B626" s="27" t="s">
        <v>904</v>
      </c>
      <c r="C626" s="27" t="s">
        <v>299</v>
      </c>
      <c r="D626" s="28">
        <f>SUMIFS(D627:D1509,K627:K1509,"0",B627:B1509,"5 1 1 1 3 12 31111 6 M78 19000*")-SUMIFS(E627:E1509,K627:K1509,"0",B627:B1509,"5 1 1 1 3 12 31111 6 M78 19000*")</f>
        <v>0</v>
      </c>
      <c r="E626" s="29"/>
      <c r="F626" s="28">
        <f>SUMIFS(F627:F1509,K627:K1509,"0",B627:B1509,"5 1 1 1 3 12 31111 6 M78 19000*")</f>
        <v>149380.01999999999</v>
      </c>
      <c r="G626" s="28">
        <f>SUMIFS(G627:G1509,K627:K1509,"0",B627:B1509,"5 1 1 1 3 12 31111 6 M78 19000*")</f>
        <v>0</v>
      </c>
      <c r="H626" s="28">
        <f t="shared" si="14"/>
        <v>149380.01999999999</v>
      </c>
      <c r="I626" s="28"/>
      <c r="K626" t="s">
        <v>15</v>
      </c>
    </row>
    <row r="627" spans="2:11" ht="13" x14ac:dyDescent="0.15">
      <c r="B627" s="27" t="s">
        <v>905</v>
      </c>
      <c r="C627" s="27" t="s">
        <v>906</v>
      </c>
      <c r="D627" s="28">
        <f>SUMIFS(D628:D1509,K628:K1509,"0",B628:B1509,"5 1 1 1 3 12 31111 6 M78 19000 321*")-SUMIFS(E628:E1509,K628:K1509,"0",B628:B1509,"5 1 1 1 3 12 31111 6 M78 19000 321*")</f>
        <v>0</v>
      </c>
      <c r="E627" s="29"/>
      <c r="F627" s="28">
        <f>SUMIFS(F628:F1509,K628:K1509,"0",B628:B1509,"5 1 1 1 3 12 31111 6 M78 19000 321*")</f>
        <v>149380.01999999999</v>
      </c>
      <c r="G627" s="28">
        <f>SUMIFS(G628:G1509,K628:K1509,"0",B628:B1509,"5 1 1 1 3 12 31111 6 M78 19000 321*")</f>
        <v>0</v>
      </c>
      <c r="H627" s="28">
        <f t="shared" si="14"/>
        <v>149380.01999999999</v>
      </c>
      <c r="I627" s="28"/>
      <c r="K627" t="s">
        <v>15</v>
      </c>
    </row>
    <row r="628" spans="2:11" ht="13" x14ac:dyDescent="0.15">
      <c r="B628" s="27" t="s">
        <v>907</v>
      </c>
      <c r="C628" s="27" t="s">
        <v>170</v>
      </c>
      <c r="D628" s="28">
        <f>SUMIFS(D629:D1509,K629:K1509,"0",B629:B1509,"5 1 1 1 3 12 31111 6 M78 19000 321 00C*")-SUMIFS(E629:E1509,K629:K1509,"0",B629:B1509,"5 1 1 1 3 12 31111 6 M78 19000 321 00C*")</f>
        <v>0</v>
      </c>
      <c r="E628" s="29"/>
      <c r="F628" s="28">
        <f>SUMIFS(F629:F1509,K629:K1509,"0",B629:B1509,"5 1 1 1 3 12 31111 6 M78 19000 321 00C*")</f>
        <v>149380.01999999999</v>
      </c>
      <c r="G628" s="28">
        <f>SUMIFS(G629:G1509,K629:K1509,"0",B629:B1509,"5 1 1 1 3 12 31111 6 M78 19000 321 00C*")</f>
        <v>0</v>
      </c>
      <c r="H628" s="28">
        <f t="shared" si="14"/>
        <v>149380.01999999999</v>
      </c>
      <c r="I628" s="28"/>
      <c r="K628" t="s">
        <v>15</v>
      </c>
    </row>
    <row r="629" spans="2:11" ht="22" x14ac:dyDescent="0.15">
      <c r="B629" s="27" t="s">
        <v>908</v>
      </c>
      <c r="C629" s="27" t="s">
        <v>9</v>
      </c>
      <c r="D629" s="28">
        <f>SUMIFS(D630:D1509,K630:K1509,"0",B630:B1509,"5 1 1 1 3 12 31111 6 M78 19000 321 00C 001*")-SUMIFS(E630:E1509,K630:K1509,"0",B630:B1509,"5 1 1 1 3 12 31111 6 M78 19000 321 00C 001*")</f>
        <v>0</v>
      </c>
      <c r="E629" s="29"/>
      <c r="F629" s="28">
        <f>SUMIFS(F630:F1509,K630:K1509,"0",B630:B1509,"5 1 1 1 3 12 31111 6 M78 19000 321 00C 001*")</f>
        <v>149380.01999999999</v>
      </c>
      <c r="G629" s="28">
        <f>SUMIFS(G630:G1509,K630:K1509,"0",B630:B1509,"5 1 1 1 3 12 31111 6 M78 19000 321 00C 001*")</f>
        <v>0</v>
      </c>
      <c r="H629" s="28">
        <f t="shared" si="14"/>
        <v>149380.01999999999</v>
      </c>
      <c r="I629" s="28"/>
      <c r="K629" t="s">
        <v>15</v>
      </c>
    </row>
    <row r="630" spans="2:11" ht="22" x14ac:dyDescent="0.15">
      <c r="B630" s="27" t="s">
        <v>909</v>
      </c>
      <c r="C630" s="27" t="s">
        <v>741</v>
      </c>
      <c r="D630" s="28">
        <f>SUMIFS(D631:D1509,K631:K1509,"0",B631:B1509,"5 1 1 1 3 12 31111 6 M78 19000 321 00C 001 11301*")-SUMIFS(E631:E1509,K631:K1509,"0",B631:B1509,"5 1 1 1 3 12 31111 6 M78 19000 321 00C 001 11301*")</f>
        <v>0</v>
      </c>
      <c r="E630" s="29"/>
      <c r="F630" s="28">
        <f>SUMIFS(F631:F1509,K631:K1509,"0",B631:B1509,"5 1 1 1 3 12 31111 6 M78 19000 321 00C 001 11301*")</f>
        <v>149380.01999999999</v>
      </c>
      <c r="G630" s="28">
        <f>SUMIFS(G631:G1509,K631:K1509,"0",B631:B1509,"5 1 1 1 3 12 31111 6 M78 19000 321 00C 001 11301*")</f>
        <v>0</v>
      </c>
      <c r="H630" s="28">
        <f t="shared" si="14"/>
        <v>149380.01999999999</v>
      </c>
      <c r="I630" s="28"/>
      <c r="K630" t="s">
        <v>15</v>
      </c>
    </row>
    <row r="631" spans="2:11" ht="22" x14ac:dyDescent="0.15">
      <c r="B631" s="27" t="s">
        <v>910</v>
      </c>
      <c r="C631" s="27" t="s">
        <v>176</v>
      </c>
      <c r="D631" s="28">
        <f>SUMIFS(D632:D1509,K632:K1509,"0",B632:B1509,"5 1 1 1 3 12 31111 6 M78 19000 321 00C 001 11301 015*")-SUMIFS(E632:E1509,K632:K1509,"0",B632:B1509,"5 1 1 1 3 12 31111 6 M78 19000 321 00C 001 11301 015*")</f>
        <v>0</v>
      </c>
      <c r="E631" s="29"/>
      <c r="F631" s="28">
        <f>SUMIFS(F632:F1509,K632:K1509,"0",B632:B1509,"5 1 1 1 3 12 31111 6 M78 19000 321 00C 001 11301 015*")</f>
        <v>149380.01999999999</v>
      </c>
      <c r="G631" s="28">
        <f>SUMIFS(G632:G1509,K632:K1509,"0",B632:B1509,"5 1 1 1 3 12 31111 6 M78 19000 321 00C 001 11301 015*")</f>
        <v>0</v>
      </c>
      <c r="H631" s="28">
        <f t="shared" si="14"/>
        <v>149380.01999999999</v>
      </c>
      <c r="I631" s="28"/>
      <c r="K631" t="s">
        <v>15</v>
      </c>
    </row>
    <row r="632" spans="2:11" ht="22" x14ac:dyDescent="0.15">
      <c r="B632" s="27" t="s">
        <v>911</v>
      </c>
      <c r="C632" s="27" t="s">
        <v>744</v>
      </c>
      <c r="D632" s="28">
        <f>SUMIFS(D633:D1509,K633:K1509,"0",B633:B1509,"5 1 1 1 3 12 31111 6 M78 19000 321 00C 001 11301 015 2111100*")-SUMIFS(E633:E1509,K633:K1509,"0",B633:B1509,"5 1 1 1 3 12 31111 6 M78 19000 321 00C 001 11301 015 2111100*")</f>
        <v>0</v>
      </c>
      <c r="E632" s="29"/>
      <c r="F632" s="28">
        <f>SUMIFS(F633:F1509,K633:K1509,"0",B633:B1509,"5 1 1 1 3 12 31111 6 M78 19000 321 00C 001 11301 015 2111100*")</f>
        <v>149380.01999999999</v>
      </c>
      <c r="G632" s="28">
        <f>SUMIFS(G633:G1509,K633:K1509,"0",B633:B1509,"5 1 1 1 3 12 31111 6 M78 19000 321 00C 001 11301 015 2111100*")</f>
        <v>0</v>
      </c>
      <c r="H632" s="28">
        <f t="shared" si="14"/>
        <v>149380.01999999999</v>
      </c>
      <c r="I632" s="28"/>
      <c r="K632" t="s">
        <v>15</v>
      </c>
    </row>
    <row r="633" spans="2:11" ht="22" x14ac:dyDescent="0.15">
      <c r="B633" s="27" t="s">
        <v>912</v>
      </c>
      <c r="C633" s="27" t="s">
        <v>248</v>
      </c>
      <c r="D633" s="28">
        <f>SUMIFS(D634:D1509,K634:K1509,"0",B634:B1509,"5 1 1 1 3 12 31111 6 M78 19000 321 00C 001 11301 015 2111100 2024*")-SUMIFS(E634:E1509,K634:K1509,"0",B634:B1509,"5 1 1 1 3 12 31111 6 M78 19000 321 00C 001 11301 015 2111100 2024*")</f>
        <v>0</v>
      </c>
      <c r="E633" s="29"/>
      <c r="F633" s="28">
        <f>SUMIFS(F634:F1509,K634:K1509,"0",B634:B1509,"5 1 1 1 3 12 31111 6 M78 19000 321 00C 001 11301 015 2111100 2024*")</f>
        <v>149380.01999999999</v>
      </c>
      <c r="G633" s="28">
        <f>SUMIFS(G634:G1509,K634:K1509,"0",B634:B1509,"5 1 1 1 3 12 31111 6 M78 19000 321 00C 001 11301 015 2111100 2024*")</f>
        <v>0</v>
      </c>
      <c r="H633" s="28">
        <f t="shared" si="14"/>
        <v>149380.01999999999</v>
      </c>
      <c r="I633" s="28"/>
      <c r="K633" t="s">
        <v>15</v>
      </c>
    </row>
    <row r="634" spans="2:11" ht="22" x14ac:dyDescent="0.15">
      <c r="B634" s="27" t="s">
        <v>913</v>
      </c>
      <c r="C634" s="27" t="s">
        <v>182</v>
      </c>
      <c r="D634" s="28">
        <f>SUMIFS(D635:D1509,K635:K1509,"0",B635:B1509,"5 1 1 1 3 12 31111 6 M78 19000 321 00C 001 11301 015 2111100 2024 00000000*")-SUMIFS(E635:E1509,K635:K1509,"0",B635:B1509,"5 1 1 1 3 12 31111 6 M78 19000 321 00C 001 11301 015 2111100 2024 00000000*")</f>
        <v>0</v>
      </c>
      <c r="E634" s="29"/>
      <c r="F634" s="28">
        <f>SUMIFS(F635:F1509,K635:K1509,"0",B635:B1509,"5 1 1 1 3 12 31111 6 M78 19000 321 00C 001 11301 015 2111100 2024 00000000*")</f>
        <v>149380.01999999999</v>
      </c>
      <c r="G634" s="28">
        <f>SUMIFS(G635:G1509,K635:K1509,"0",B635:B1509,"5 1 1 1 3 12 31111 6 M78 19000 321 00C 001 11301 015 2111100 2024 00000000*")</f>
        <v>0</v>
      </c>
      <c r="H634" s="28">
        <f t="shared" si="14"/>
        <v>149380.01999999999</v>
      </c>
      <c r="I634" s="28"/>
      <c r="K634" t="s">
        <v>15</v>
      </c>
    </row>
    <row r="635" spans="2:11" ht="33" x14ac:dyDescent="0.15">
      <c r="B635" s="27" t="s">
        <v>914</v>
      </c>
      <c r="C635" s="27" t="s">
        <v>9</v>
      </c>
      <c r="D635" s="28">
        <f>SUMIFS(D636:D1509,K636:K1509,"0",B636:B1509,"5 1 1 1 3 12 31111 6 M78 19000 321 00C 001 11301 015 2111100 2024 00000000 001*")-SUMIFS(E636:E1509,K636:K1509,"0",B636:B1509,"5 1 1 1 3 12 31111 6 M78 19000 321 00C 001 11301 015 2111100 2024 00000000 001*")</f>
        <v>0</v>
      </c>
      <c r="E635" s="29"/>
      <c r="F635" s="28">
        <f>SUMIFS(F636:F1509,K636:K1509,"0",B636:B1509,"5 1 1 1 3 12 31111 6 M78 19000 321 00C 001 11301 015 2111100 2024 00000000 001*")</f>
        <v>149380.01999999999</v>
      </c>
      <c r="G635" s="28">
        <f>SUMIFS(G636:G1509,K636:K1509,"0",B636:B1509,"5 1 1 1 3 12 31111 6 M78 19000 321 00C 001 11301 015 2111100 2024 00000000 001*")</f>
        <v>0</v>
      </c>
      <c r="H635" s="28">
        <f t="shared" si="14"/>
        <v>149380.01999999999</v>
      </c>
      <c r="I635" s="28"/>
      <c r="K635" t="s">
        <v>15</v>
      </c>
    </row>
    <row r="636" spans="2:11" ht="33" x14ac:dyDescent="0.15">
      <c r="B636" s="27" t="s">
        <v>915</v>
      </c>
      <c r="C636" s="27" t="s">
        <v>916</v>
      </c>
      <c r="D636" s="28">
        <f>SUMIFS(D637:D1509,K637:K1509,"0",B637:B1509,"5 1 1 1 3 12 31111 6 M78 19000 321 00C 001 11301 015 2111100 2024 00000000 001 001*")-SUMIFS(E637:E1509,K637:K1509,"0",B637:B1509,"5 1 1 1 3 12 31111 6 M78 19000 321 00C 001 11301 015 2111100 2024 00000000 001 001*")</f>
        <v>0</v>
      </c>
      <c r="E636" s="29"/>
      <c r="F636" s="28">
        <f>SUMIFS(F637:F1509,K637:K1509,"0",B637:B1509,"5 1 1 1 3 12 31111 6 M78 19000 321 00C 001 11301 015 2111100 2024 00000000 001 001*")</f>
        <v>149380.01999999999</v>
      </c>
      <c r="G636" s="28">
        <f>SUMIFS(G637:G1509,K637:K1509,"0",B637:B1509,"5 1 1 1 3 12 31111 6 M78 19000 321 00C 001 11301 015 2111100 2024 00000000 001 001*")</f>
        <v>0</v>
      </c>
      <c r="H636" s="28">
        <f t="shared" si="14"/>
        <v>149380.01999999999</v>
      </c>
      <c r="I636" s="28"/>
      <c r="K636" t="s">
        <v>15</v>
      </c>
    </row>
    <row r="637" spans="2:11" ht="33" x14ac:dyDescent="0.15">
      <c r="B637" s="30" t="s">
        <v>917</v>
      </c>
      <c r="C637" s="30" t="s">
        <v>751</v>
      </c>
      <c r="D637" s="31">
        <v>0</v>
      </c>
      <c r="E637" s="31"/>
      <c r="F637" s="31">
        <v>149380.01999999999</v>
      </c>
      <c r="G637" s="31">
        <v>0</v>
      </c>
      <c r="H637" s="31">
        <f t="shared" si="14"/>
        <v>149380.01999999999</v>
      </c>
      <c r="I637" s="31"/>
      <c r="K637" t="s">
        <v>38</v>
      </c>
    </row>
    <row r="638" spans="2:11" ht="13" x14ac:dyDescent="0.15">
      <c r="B638" s="27" t="s">
        <v>918</v>
      </c>
      <c r="C638" s="27" t="s">
        <v>919</v>
      </c>
      <c r="D638" s="28">
        <f>SUMIFS(D639:D1509,K639:K1509,"0",B639:B1509,"5 1 1 1 3 12 31111 6 M78 20000*")-SUMIFS(E639:E1509,K639:K1509,"0",B639:B1509,"5 1 1 1 3 12 31111 6 M78 20000*")</f>
        <v>0</v>
      </c>
      <c r="E638" s="29"/>
      <c r="F638" s="28">
        <f>SUMIFS(F639:F1509,K639:K1509,"0",B639:B1509,"5 1 1 1 3 12 31111 6 M78 20000*")</f>
        <v>104880</v>
      </c>
      <c r="G638" s="28">
        <f>SUMIFS(G639:G1509,K639:K1509,"0",B639:B1509,"5 1 1 1 3 12 31111 6 M78 20000*")</f>
        <v>0</v>
      </c>
      <c r="H638" s="28">
        <f t="shared" si="14"/>
        <v>104880</v>
      </c>
      <c r="I638" s="28"/>
      <c r="K638" t="s">
        <v>15</v>
      </c>
    </row>
    <row r="639" spans="2:11" ht="13" x14ac:dyDescent="0.15">
      <c r="B639" s="27" t="s">
        <v>920</v>
      </c>
      <c r="C639" s="27" t="s">
        <v>921</v>
      </c>
      <c r="D639" s="28">
        <f>SUMIFS(D640:D1509,K640:K1509,"0",B640:B1509,"5 1 1 1 3 12 31111 6 M78 20000 181*")-SUMIFS(E640:E1509,K640:K1509,"0",B640:B1509,"5 1 1 1 3 12 31111 6 M78 20000 181*")</f>
        <v>0</v>
      </c>
      <c r="E639" s="29"/>
      <c r="F639" s="28">
        <f>SUMIFS(F640:F1509,K640:K1509,"0",B640:B1509,"5 1 1 1 3 12 31111 6 M78 20000 181*")</f>
        <v>104880</v>
      </c>
      <c r="G639" s="28">
        <f>SUMIFS(G640:G1509,K640:K1509,"0",B640:B1509,"5 1 1 1 3 12 31111 6 M78 20000 181*")</f>
        <v>0</v>
      </c>
      <c r="H639" s="28">
        <f t="shared" si="14"/>
        <v>104880</v>
      </c>
      <c r="I639" s="28"/>
      <c r="K639" t="s">
        <v>15</v>
      </c>
    </row>
    <row r="640" spans="2:11" ht="13" x14ac:dyDescent="0.15">
      <c r="B640" s="27" t="s">
        <v>922</v>
      </c>
      <c r="C640" s="27" t="s">
        <v>170</v>
      </c>
      <c r="D640" s="28">
        <f>SUMIFS(D641:D1509,K641:K1509,"0",B641:B1509,"5 1 1 1 3 12 31111 6 M78 20000 181 00C*")-SUMIFS(E641:E1509,K641:K1509,"0",B641:B1509,"5 1 1 1 3 12 31111 6 M78 20000 181 00C*")</f>
        <v>0</v>
      </c>
      <c r="E640" s="29"/>
      <c r="F640" s="28">
        <f>SUMIFS(F641:F1509,K641:K1509,"0",B641:B1509,"5 1 1 1 3 12 31111 6 M78 20000 181 00C*")</f>
        <v>104880</v>
      </c>
      <c r="G640" s="28">
        <f>SUMIFS(G641:G1509,K641:K1509,"0",B641:B1509,"5 1 1 1 3 12 31111 6 M78 20000 181 00C*")</f>
        <v>0</v>
      </c>
      <c r="H640" s="28">
        <f t="shared" si="14"/>
        <v>104880</v>
      </c>
      <c r="I640" s="28"/>
      <c r="K640" t="s">
        <v>15</v>
      </c>
    </row>
    <row r="641" spans="2:11" ht="22" x14ac:dyDescent="0.15">
      <c r="B641" s="27" t="s">
        <v>923</v>
      </c>
      <c r="C641" s="27" t="s">
        <v>9</v>
      </c>
      <c r="D641" s="28">
        <f>SUMIFS(D642:D1509,K642:K1509,"0",B642:B1509,"5 1 1 1 3 12 31111 6 M78 20000 181 00C 001*")-SUMIFS(E642:E1509,K642:K1509,"0",B642:B1509,"5 1 1 1 3 12 31111 6 M78 20000 181 00C 001*")</f>
        <v>0</v>
      </c>
      <c r="E641" s="29"/>
      <c r="F641" s="28">
        <f>SUMIFS(F642:F1509,K642:K1509,"0",B642:B1509,"5 1 1 1 3 12 31111 6 M78 20000 181 00C 001*")</f>
        <v>104880</v>
      </c>
      <c r="G641" s="28">
        <f>SUMIFS(G642:G1509,K642:K1509,"0",B642:B1509,"5 1 1 1 3 12 31111 6 M78 20000 181 00C 001*")</f>
        <v>0</v>
      </c>
      <c r="H641" s="28">
        <f t="shared" si="14"/>
        <v>104880</v>
      </c>
      <c r="I641" s="28"/>
      <c r="K641" t="s">
        <v>15</v>
      </c>
    </row>
    <row r="642" spans="2:11" ht="22" x14ac:dyDescent="0.15">
      <c r="B642" s="27" t="s">
        <v>924</v>
      </c>
      <c r="C642" s="27" t="s">
        <v>741</v>
      </c>
      <c r="D642" s="28">
        <f>SUMIFS(D643:D1509,K643:K1509,"0",B643:B1509,"5 1 1 1 3 12 31111 6 M78 20000 181 00C 001 11301*")-SUMIFS(E643:E1509,K643:K1509,"0",B643:B1509,"5 1 1 1 3 12 31111 6 M78 20000 181 00C 001 11301*")</f>
        <v>0</v>
      </c>
      <c r="E642" s="29"/>
      <c r="F642" s="28">
        <f>SUMIFS(F643:F1509,K643:K1509,"0",B643:B1509,"5 1 1 1 3 12 31111 6 M78 20000 181 00C 001 11301*")</f>
        <v>104880</v>
      </c>
      <c r="G642" s="28">
        <f>SUMIFS(G643:G1509,K643:K1509,"0",B643:B1509,"5 1 1 1 3 12 31111 6 M78 20000 181 00C 001 11301*")</f>
        <v>0</v>
      </c>
      <c r="H642" s="28">
        <f t="shared" si="14"/>
        <v>104880</v>
      </c>
      <c r="I642" s="28"/>
      <c r="K642" t="s">
        <v>15</v>
      </c>
    </row>
    <row r="643" spans="2:11" ht="22" x14ac:dyDescent="0.15">
      <c r="B643" s="27" t="s">
        <v>925</v>
      </c>
      <c r="C643" s="27" t="s">
        <v>176</v>
      </c>
      <c r="D643" s="28">
        <f>SUMIFS(D644:D1509,K644:K1509,"0",B644:B1509,"5 1 1 1 3 12 31111 6 M78 20000 181 00C 001 11301 015*")-SUMIFS(E644:E1509,K644:K1509,"0",B644:B1509,"5 1 1 1 3 12 31111 6 M78 20000 181 00C 001 11301 015*")</f>
        <v>0</v>
      </c>
      <c r="E643" s="29"/>
      <c r="F643" s="28">
        <f>SUMIFS(F644:F1509,K644:K1509,"0",B644:B1509,"5 1 1 1 3 12 31111 6 M78 20000 181 00C 001 11301 015*")</f>
        <v>104880</v>
      </c>
      <c r="G643" s="28">
        <f>SUMIFS(G644:G1509,K644:K1509,"0",B644:B1509,"5 1 1 1 3 12 31111 6 M78 20000 181 00C 001 11301 015*")</f>
        <v>0</v>
      </c>
      <c r="H643" s="28">
        <f t="shared" si="14"/>
        <v>104880</v>
      </c>
      <c r="I643" s="28"/>
      <c r="K643" t="s">
        <v>15</v>
      </c>
    </row>
    <row r="644" spans="2:11" ht="22" x14ac:dyDescent="0.15">
      <c r="B644" s="27" t="s">
        <v>926</v>
      </c>
      <c r="C644" s="27" t="s">
        <v>744</v>
      </c>
      <c r="D644" s="28">
        <f>SUMIFS(D645:D1509,K645:K1509,"0",B645:B1509,"5 1 1 1 3 12 31111 6 M78 20000 181 00C 001 11301 015 2111100*")-SUMIFS(E645:E1509,K645:K1509,"0",B645:B1509,"5 1 1 1 3 12 31111 6 M78 20000 181 00C 001 11301 015 2111100*")</f>
        <v>0</v>
      </c>
      <c r="E644" s="29"/>
      <c r="F644" s="28">
        <f>SUMIFS(F645:F1509,K645:K1509,"0",B645:B1509,"5 1 1 1 3 12 31111 6 M78 20000 181 00C 001 11301 015 2111100*")</f>
        <v>104880</v>
      </c>
      <c r="G644" s="28">
        <f>SUMIFS(G645:G1509,K645:K1509,"0",B645:B1509,"5 1 1 1 3 12 31111 6 M78 20000 181 00C 001 11301 015 2111100*")</f>
        <v>0</v>
      </c>
      <c r="H644" s="28">
        <f t="shared" si="14"/>
        <v>104880</v>
      </c>
      <c r="I644" s="28"/>
      <c r="K644" t="s">
        <v>15</v>
      </c>
    </row>
    <row r="645" spans="2:11" ht="22" x14ac:dyDescent="0.15">
      <c r="B645" s="27" t="s">
        <v>927</v>
      </c>
      <c r="C645" s="27" t="s">
        <v>248</v>
      </c>
      <c r="D645" s="28">
        <f>SUMIFS(D646:D1509,K646:K1509,"0",B646:B1509,"5 1 1 1 3 12 31111 6 M78 20000 181 00C 001 11301 015 2111100 2024*")-SUMIFS(E646:E1509,K646:K1509,"0",B646:B1509,"5 1 1 1 3 12 31111 6 M78 20000 181 00C 001 11301 015 2111100 2024*")</f>
        <v>0</v>
      </c>
      <c r="E645" s="29"/>
      <c r="F645" s="28">
        <f>SUMIFS(F646:F1509,K646:K1509,"0",B646:B1509,"5 1 1 1 3 12 31111 6 M78 20000 181 00C 001 11301 015 2111100 2024*")</f>
        <v>104880</v>
      </c>
      <c r="G645" s="28">
        <f>SUMIFS(G646:G1509,K646:K1509,"0",B646:B1509,"5 1 1 1 3 12 31111 6 M78 20000 181 00C 001 11301 015 2111100 2024*")</f>
        <v>0</v>
      </c>
      <c r="H645" s="28">
        <f t="shared" si="14"/>
        <v>104880</v>
      </c>
      <c r="I645" s="28"/>
      <c r="K645" t="s">
        <v>15</v>
      </c>
    </row>
    <row r="646" spans="2:11" ht="22" x14ac:dyDescent="0.15">
      <c r="B646" s="27" t="s">
        <v>928</v>
      </c>
      <c r="C646" s="27" t="s">
        <v>182</v>
      </c>
      <c r="D646" s="28">
        <f>SUMIFS(D647:D1509,K647:K1509,"0",B647:B1509,"5 1 1 1 3 12 31111 6 M78 20000 181 00C 001 11301 015 2111100 2024 00000000*")-SUMIFS(E647:E1509,K647:K1509,"0",B647:B1509,"5 1 1 1 3 12 31111 6 M78 20000 181 00C 001 11301 015 2111100 2024 00000000*")</f>
        <v>0</v>
      </c>
      <c r="E646" s="29"/>
      <c r="F646" s="28">
        <f>SUMIFS(F647:F1509,K647:K1509,"0",B647:B1509,"5 1 1 1 3 12 31111 6 M78 20000 181 00C 001 11301 015 2111100 2024 00000000*")</f>
        <v>104880</v>
      </c>
      <c r="G646" s="28">
        <f>SUMIFS(G647:G1509,K647:K1509,"0",B647:B1509,"5 1 1 1 3 12 31111 6 M78 20000 181 00C 001 11301 015 2111100 2024 00000000*")</f>
        <v>0</v>
      </c>
      <c r="H646" s="28">
        <f t="shared" si="14"/>
        <v>104880</v>
      </c>
      <c r="I646" s="28"/>
      <c r="K646" t="s">
        <v>15</v>
      </c>
    </row>
    <row r="647" spans="2:11" ht="33" x14ac:dyDescent="0.15">
      <c r="B647" s="27" t="s">
        <v>929</v>
      </c>
      <c r="C647" s="27" t="s">
        <v>9</v>
      </c>
      <c r="D647" s="28">
        <f>SUMIFS(D648:D1509,K648:K1509,"0",B648:B1509,"5 1 1 1 3 12 31111 6 M78 20000 181 00C 001 11301 015 2111100 2024 00000000 001*")-SUMIFS(E648:E1509,K648:K1509,"0",B648:B1509,"5 1 1 1 3 12 31111 6 M78 20000 181 00C 001 11301 015 2111100 2024 00000000 001*")</f>
        <v>0</v>
      </c>
      <c r="E647" s="29"/>
      <c r="F647" s="28">
        <f>SUMIFS(F648:F1509,K648:K1509,"0",B648:B1509,"5 1 1 1 3 12 31111 6 M78 20000 181 00C 001 11301 015 2111100 2024 00000000 001*")</f>
        <v>104880</v>
      </c>
      <c r="G647" s="28">
        <f>SUMIFS(G648:G1509,K648:K1509,"0",B648:B1509,"5 1 1 1 3 12 31111 6 M78 20000 181 00C 001 11301 015 2111100 2024 00000000 001*")</f>
        <v>0</v>
      </c>
      <c r="H647" s="28">
        <f t="shared" si="14"/>
        <v>104880</v>
      </c>
      <c r="I647" s="28"/>
      <c r="K647" t="s">
        <v>15</v>
      </c>
    </row>
    <row r="648" spans="2:11" ht="33" x14ac:dyDescent="0.15">
      <c r="B648" s="27" t="s">
        <v>930</v>
      </c>
      <c r="C648" s="27" t="s">
        <v>931</v>
      </c>
      <c r="D648" s="28">
        <f>SUMIFS(D649:D1509,K649:K1509,"0",B649:B1509,"5 1 1 1 3 12 31111 6 M78 20000 181 00C 001 11301 015 2111100 2024 00000000 001 001*")-SUMIFS(E649:E1509,K649:K1509,"0",B649:B1509,"5 1 1 1 3 12 31111 6 M78 20000 181 00C 001 11301 015 2111100 2024 00000000 001 001*")</f>
        <v>0</v>
      </c>
      <c r="E648" s="29"/>
      <c r="F648" s="28">
        <f>SUMIFS(F649:F1509,K649:K1509,"0",B649:B1509,"5 1 1 1 3 12 31111 6 M78 20000 181 00C 001 11301 015 2111100 2024 00000000 001 001*")</f>
        <v>104880</v>
      </c>
      <c r="G648" s="28">
        <f>SUMIFS(G649:G1509,K649:K1509,"0",B649:B1509,"5 1 1 1 3 12 31111 6 M78 20000 181 00C 001 11301 015 2111100 2024 00000000 001 001*")</f>
        <v>0</v>
      </c>
      <c r="H648" s="28">
        <f t="shared" si="14"/>
        <v>104880</v>
      </c>
      <c r="I648" s="28"/>
      <c r="K648" t="s">
        <v>15</v>
      </c>
    </row>
    <row r="649" spans="2:11" ht="33" x14ac:dyDescent="0.15">
      <c r="B649" s="30" t="s">
        <v>932</v>
      </c>
      <c r="C649" s="30" t="s">
        <v>751</v>
      </c>
      <c r="D649" s="31">
        <v>0</v>
      </c>
      <c r="E649" s="31"/>
      <c r="F649" s="31">
        <v>104880</v>
      </c>
      <c r="G649" s="31">
        <v>0</v>
      </c>
      <c r="H649" s="31">
        <f t="shared" si="14"/>
        <v>104880</v>
      </c>
      <c r="I649" s="31"/>
      <c r="K649" t="s">
        <v>38</v>
      </c>
    </row>
    <row r="650" spans="2:11" ht="13" x14ac:dyDescent="0.15">
      <c r="B650" s="27" t="s">
        <v>933</v>
      </c>
      <c r="C650" s="27" t="s">
        <v>934</v>
      </c>
      <c r="D650" s="28">
        <f>SUMIFS(D651:D1509,K651:K1509,"0",B651:B1509,"5 1 1 1 3 12 31111 6 M78 21000*")-SUMIFS(E651:E1509,K651:K1509,"0",B651:B1509,"5 1 1 1 3 12 31111 6 M78 21000*")</f>
        <v>0</v>
      </c>
      <c r="E650" s="29"/>
      <c r="F650" s="28">
        <f>SUMIFS(F651:F1509,K651:K1509,"0",B651:B1509,"5 1 1 1 3 12 31111 6 M78 21000*")</f>
        <v>70013.45</v>
      </c>
      <c r="G650" s="28">
        <f>SUMIFS(G651:G1509,K651:K1509,"0",B651:B1509,"5 1 1 1 3 12 31111 6 M78 21000*")</f>
        <v>0</v>
      </c>
      <c r="H650" s="28">
        <f t="shared" si="14"/>
        <v>70013.45</v>
      </c>
      <c r="I650" s="28"/>
      <c r="K650" t="s">
        <v>15</v>
      </c>
    </row>
    <row r="651" spans="2:11" ht="13" x14ac:dyDescent="0.15">
      <c r="B651" s="27" t="s">
        <v>935</v>
      </c>
      <c r="C651" s="27" t="s">
        <v>936</v>
      </c>
      <c r="D651" s="28">
        <f>SUMIFS(D652:D1509,K652:K1509,"0",B652:B1509,"5 1 1 1 3 12 31111 6 M78 21000 242*")-SUMIFS(E652:E1509,K652:K1509,"0",B652:B1509,"5 1 1 1 3 12 31111 6 M78 21000 242*")</f>
        <v>0</v>
      </c>
      <c r="E651" s="29"/>
      <c r="F651" s="28">
        <f>SUMIFS(F652:F1509,K652:K1509,"0",B652:B1509,"5 1 1 1 3 12 31111 6 M78 21000 242*")</f>
        <v>70013.45</v>
      </c>
      <c r="G651" s="28">
        <f>SUMIFS(G652:G1509,K652:K1509,"0",B652:B1509,"5 1 1 1 3 12 31111 6 M78 21000 242*")</f>
        <v>0</v>
      </c>
      <c r="H651" s="28">
        <f t="shared" si="14"/>
        <v>70013.45</v>
      </c>
      <c r="I651" s="28"/>
      <c r="K651" t="s">
        <v>15</v>
      </c>
    </row>
    <row r="652" spans="2:11" ht="13" x14ac:dyDescent="0.15">
      <c r="B652" s="27" t="s">
        <v>937</v>
      </c>
      <c r="C652" s="27" t="s">
        <v>170</v>
      </c>
      <c r="D652" s="28">
        <f>SUMIFS(D653:D1509,K653:K1509,"0",B653:B1509,"5 1 1 1 3 12 31111 6 M78 21000 242 00C*")-SUMIFS(E653:E1509,K653:K1509,"0",B653:B1509,"5 1 1 1 3 12 31111 6 M78 21000 242 00C*")</f>
        <v>0</v>
      </c>
      <c r="E652" s="29"/>
      <c r="F652" s="28">
        <f>SUMIFS(F653:F1509,K653:K1509,"0",B653:B1509,"5 1 1 1 3 12 31111 6 M78 21000 242 00C*")</f>
        <v>70013.45</v>
      </c>
      <c r="G652" s="28">
        <f>SUMIFS(G653:G1509,K653:K1509,"0",B653:B1509,"5 1 1 1 3 12 31111 6 M78 21000 242 00C*")</f>
        <v>0</v>
      </c>
      <c r="H652" s="28">
        <f t="shared" si="14"/>
        <v>70013.45</v>
      </c>
      <c r="I652" s="28"/>
      <c r="K652" t="s">
        <v>15</v>
      </c>
    </row>
    <row r="653" spans="2:11" ht="22" x14ac:dyDescent="0.15">
      <c r="B653" s="27" t="s">
        <v>938</v>
      </c>
      <c r="C653" s="27" t="s">
        <v>9</v>
      </c>
      <c r="D653" s="28">
        <f>SUMIFS(D654:D1509,K654:K1509,"0",B654:B1509,"5 1 1 1 3 12 31111 6 M78 21000 242 00C 001*")-SUMIFS(E654:E1509,K654:K1509,"0",B654:B1509,"5 1 1 1 3 12 31111 6 M78 21000 242 00C 001*")</f>
        <v>0</v>
      </c>
      <c r="E653" s="29"/>
      <c r="F653" s="28">
        <f>SUMIFS(F654:F1509,K654:K1509,"0",B654:B1509,"5 1 1 1 3 12 31111 6 M78 21000 242 00C 001*")</f>
        <v>70013.45</v>
      </c>
      <c r="G653" s="28">
        <f>SUMIFS(G654:G1509,K654:K1509,"0",B654:B1509,"5 1 1 1 3 12 31111 6 M78 21000 242 00C 001*")</f>
        <v>0</v>
      </c>
      <c r="H653" s="28">
        <f t="shared" si="14"/>
        <v>70013.45</v>
      </c>
      <c r="I653" s="28"/>
      <c r="K653" t="s">
        <v>15</v>
      </c>
    </row>
    <row r="654" spans="2:11" ht="22" x14ac:dyDescent="0.15">
      <c r="B654" s="27" t="s">
        <v>939</v>
      </c>
      <c r="C654" s="27" t="s">
        <v>741</v>
      </c>
      <c r="D654" s="28">
        <f>SUMIFS(D655:D1509,K655:K1509,"0",B655:B1509,"5 1 1 1 3 12 31111 6 M78 21000 242 00C 001 11301*")-SUMIFS(E655:E1509,K655:K1509,"0",B655:B1509,"5 1 1 1 3 12 31111 6 M78 21000 242 00C 001 11301*")</f>
        <v>0</v>
      </c>
      <c r="E654" s="29"/>
      <c r="F654" s="28">
        <f>SUMIFS(F655:F1509,K655:K1509,"0",B655:B1509,"5 1 1 1 3 12 31111 6 M78 21000 242 00C 001 11301*")</f>
        <v>70013.45</v>
      </c>
      <c r="G654" s="28">
        <f>SUMIFS(G655:G1509,K655:K1509,"0",B655:B1509,"5 1 1 1 3 12 31111 6 M78 21000 242 00C 001 11301*")</f>
        <v>0</v>
      </c>
      <c r="H654" s="28">
        <f t="shared" si="14"/>
        <v>70013.45</v>
      </c>
      <c r="I654" s="28"/>
      <c r="K654" t="s">
        <v>15</v>
      </c>
    </row>
    <row r="655" spans="2:11" ht="22" x14ac:dyDescent="0.15">
      <c r="B655" s="27" t="s">
        <v>940</v>
      </c>
      <c r="C655" s="27" t="s">
        <v>176</v>
      </c>
      <c r="D655" s="28">
        <f>SUMIFS(D656:D1509,K656:K1509,"0",B656:B1509,"5 1 1 1 3 12 31111 6 M78 21000 242 00C 001 11301 015*")-SUMIFS(E656:E1509,K656:K1509,"0",B656:B1509,"5 1 1 1 3 12 31111 6 M78 21000 242 00C 001 11301 015*")</f>
        <v>0</v>
      </c>
      <c r="E655" s="29"/>
      <c r="F655" s="28">
        <f>SUMIFS(F656:F1509,K656:K1509,"0",B656:B1509,"5 1 1 1 3 12 31111 6 M78 21000 242 00C 001 11301 015*")</f>
        <v>70013.45</v>
      </c>
      <c r="G655" s="28">
        <f>SUMIFS(G656:G1509,K656:K1509,"0",B656:B1509,"5 1 1 1 3 12 31111 6 M78 21000 242 00C 001 11301 015*")</f>
        <v>0</v>
      </c>
      <c r="H655" s="28">
        <f t="shared" si="14"/>
        <v>70013.45</v>
      </c>
      <c r="I655" s="28"/>
      <c r="K655" t="s">
        <v>15</v>
      </c>
    </row>
    <row r="656" spans="2:11" ht="22" x14ac:dyDescent="0.15">
      <c r="B656" s="27" t="s">
        <v>941</v>
      </c>
      <c r="C656" s="27" t="s">
        <v>744</v>
      </c>
      <c r="D656" s="28">
        <f>SUMIFS(D657:D1509,K657:K1509,"0",B657:B1509,"5 1 1 1 3 12 31111 6 M78 21000 242 00C 001 11301 015 2111100*")-SUMIFS(E657:E1509,K657:K1509,"0",B657:B1509,"5 1 1 1 3 12 31111 6 M78 21000 242 00C 001 11301 015 2111100*")</f>
        <v>0</v>
      </c>
      <c r="E656" s="29"/>
      <c r="F656" s="28">
        <f>SUMIFS(F657:F1509,K657:K1509,"0",B657:B1509,"5 1 1 1 3 12 31111 6 M78 21000 242 00C 001 11301 015 2111100*")</f>
        <v>70013.45</v>
      </c>
      <c r="G656" s="28">
        <f>SUMIFS(G657:G1509,K657:K1509,"0",B657:B1509,"5 1 1 1 3 12 31111 6 M78 21000 242 00C 001 11301 015 2111100*")</f>
        <v>0</v>
      </c>
      <c r="H656" s="28">
        <f t="shared" si="14"/>
        <v>70013.45</v>
      </c>
      <c r="I656" s="28"/>
      <c r="K656" t="s">
        <v>15</v>
      </c>
    </row>
    <row r="657" spans="2:11" ht="22" x14ac:dyDescent="0.15">
      <c r="B657" s="27" t="s">
        <v>942</v>
      </c>
      <c r="C657" s="27" t="s">
        <v>248</v>
      </c>
      <c r="D657" s="28">
        <f>SUMIFS(D658:D1509,K658:K1509,"0",B658:B1509,"5 1 1 1 3 12 31111 6 M78 21000 242 00C 001 11301 015 2111100 2024*")-SUMIFS(E658:E1509,K658:K1509,"0",B658:B1509,"5 1 1 1 3 12 31111 6 M78 21000 242 00C 001 11301 015 2111100 2024*")</f>
        <v>0</v>
      </c>
      <c r="E657" s="29"/>
      <c r="F657" s="28">
        <f>SUMIFS(F658:F1509,K658:K1509,"0",B658:B1509,"5 1 1 1 3 12 31111 6 M78 21000 242 00C 001 11301 015 2111100 2024*")</f>
        <v>70013.45</v>
      </c>
      <c r="G657" s="28">
        <f>SUMIFS(G658:G1509,K658:K1509,"0",B658:B1509,"5 1 1 1 3 12 31111 6 M78 21000 242 00C 001 11301 015 2111100 2024*")</f>
        <v>0</v>
      </c>
      <c r="H657" s="28">
        <f t="shared" si="14"/>
        <v>70013.45</v>
      </c>
      <c r="I657" s="28"/>
      <c r="K657" t="s">
        <v>15</v>
      </c>
    </row>
    <row r="658" spans="2:11" ht="22" x14ac:dyDescent="0.15">
      <c r="B658" s="27" t="s">
        <v>943</v>
      </c>
      <c r="C658" s="27" t="s">
        <v>182</v>
      </c>
      <c r="D658" s="28">
        <f>SUMIFS(D659:D1509,K659:K1509,"0",B659:B1509,"5 1 1 1 3 12 31111 6 M78 21000 242 00C 001 11301 015 2111100 2024 00000000*")-SUMIFS(E659:E1509,K659:K1509,"0",B659:B1509,"5 1 1 1 3 12 31111 6 M78 21000 242 00C 001 11301 015 2111100 2024 00000000*")</f>
        <v>0</v>
      </c>
      <c r="E658" s="29"/>
      <c r="F658" s="28">
        <f>SUMIFS(F659:F1509,K659:K1509,"0",B659:B1509,"5 1 1 1 3 12 31111 6 M78 21000 242 00C 001 11301 015 2111100 2024 00000000*")</f>
        <v>70013.45</v>
      </c>
      <c r="G658" s="28">
        <f>SUMIFS(G659:G1509,K659:K1509,"0",B659:B1509,"5 1 1 1 3 12 31111 6 M78 21000 242 00C 001 11301 015 2111100 2024 00000000*")</f>
        <v>0</v>
      </c>
      <c r="H658" s="28">
        <f t="shared" si="14"/>
        <v>70013.45</v>
      </c>
      <c r="I658" s="28"/>
      <c r="K658" t="s">
        <v>15</v>
      </c>
    </row>
    <row r="659" spans="2:11" ht="33" x14ac:dyDescent="0.15">
      <c r="B659" s="27" t="s">
        <v>944</v>
      </c>
      <c r="C659" s="27" t="s">
        <v>945</v>
      </c>
      <c r="D659" s="28">
        <f>SUMIFS(D660:D1509,K660:K1509,"0",B660:B1509,"5 1 1 1 3 12 31111 6 M78 21000 242 00C 001 11301 015 2111100 2024 00000000 001*")-SUMIFS(E660:E1509,K660:K1509,"0",B660:B1509,"5 1 1 1 3 12 31111 6 M78 21000 242 00C 001 11301 015 2111100 2024 00000000 001*")</f>
        <v>0</v>
      </c>
      <c r="E659" s="29"/>
      <c r="F659" s="28">
        <f>SUMIFS(F660:F1509,K660:K1509,"0",B660:B1509,"5 1 1 1 3 12 31111 6 M78 21000 242 00C 001 11301 015 2111100 2024 00000000 001*")</f>
        <v>70013.45</v>
      </c>
      <c r="G659" s="28">
        <f>SUMIFS(G660:G1509,K660:K1509,"0",B660:B1509,"5 1 1 1 3 12 31111 6 M78 21000 242 00C 001 11301 015 2111100 2024 00000000 001*")</f>
        <v>0</v>
      </c>
      <c r="H659" s="28">
        <f t="shared" si="14"/>
        <v>70013.45</v>
      </c>
      <c r="I659" s="28"/>
      <c r="K659" t="s">
        <v>15</v>
      </c>
    </row>
    <row r="660" spans="2:11" ht="33" x14ac:dyDescent="0.15">
      <c r="B660" s="27" t="s">
        <v>946</v>
      </c>
      <c r="C660" s="27" t="s">
        <v>947</v>
      </c>
      <c r="D660" s="28">
        <f>SUMIFS(D661:D1509,K661:K1509,"0",B661:B1509,"5 1 1 1 3 12 31111 6 M78 21000 242 00C 001 11301 015 2111100 2024 00000000 001 001*")-SUMIFS(E661:E1509,K661:K1509,"0",B661:B1509,"5 1 1 1 3 12 31111 6 M78 21000 242 00C 001 11301 015 2111100 2024 00000000 001 001*")</f>
        <v>0</v>
      </c>
      <c r="E660" s="29"/>
      <c r="F660" s="28">
        <f>SUMIFS(F661:F1509,K661:K1509,"0",B661:B1509,"5 1 1 1 3 12 31111 6 M78 21000 242 00C 001 11301 015 2111100 2024 00000000 001 001*")</f>
        <v>70013.45</v>
      </c>
      <c r="G660" s="28">
        <f>SUMIFS(G661:G1509,K661:K1509,"0",B661:B1509,"5 1 1 1 3 12 31111 6 M78 21000 242 00C 001 11301 015 2111100 2024 00000000 001 001*")</f>
        <v>0</v>
      </c>
      <c r="H660" s="28">
        <f t="shared" si="14"/>
        <v>70013.45</v>
      </c>
      <c r="I660" s="28"/>
      <c r="K660" t="s">
        <v>15</v>
      </c>
    </row>
    <row r="661" spans="2:11" ht="33" x14ac:dyDescent="0.15">
      <c r="B661" s="30" t="s">
        <v>948</v>
      </c>
      <c r="C661" s="30" t="s">
        <v>751</v>
      </c>
      <c r="D661" s="31">
        <v>0</v>
      </c>
      <c r="E661" s="31"/>
      <c r="F661" s="31">
        <v>70013.45</v>
      </c>
      <c r="G661" s="31">
        <v>0</v>
      </c>
      <c r="H661" s="31">
        <f t="shared" si="14"/>
        <v>70013.45</v>
      </c>
      <c r="I661" s="31"/>
      <c r="K661" t="s">
        <v>38</v>
      </c>
    </row>
    <row r="662" spans="2:11" ht="13" x14ac:dyDescent="0.15">
      <c r="B662" s="27" t="s">
        <v>949</v>
      </c>
      <c r="C662" s="27" t="s">
        <v>950</v>
      </c>
      <c r="D662" s="28">
        <f>SUMIFS(D663:D1509,K663:K1509,"0",B663:B1509,"5 1 1 1 3 12 31111 6 M78 22000*")-SUMIFS(E663:E1509,K663:K1509,"0",B663:B1509,"5 1 1 1 3 12 31111 6 M78 22000*")</f>
        <v>0</v>
      </c>
      <c r="E662" s="29"/>
      <c r="F662" s="28">
        <f>SUMIFS(F663:F1509,K663:K1509,"0",B663:B1509,"5 1 1 1 3 12 31111 6 M78 22000*")</f>
        <v>83250</v>
      </c>
      <c r="G662" s="28">
        <f>SUMIFS(G663:G1509,K663:K1509,"0",B663:B1509,"5 1 1 1 3 12 31111 6 M78 22000*")</f>
        <v>0</v>
      </c>
      <c r="H662" s="28">
        <f t="shared" si="14"/>
        <v>83250</v>
      </c>
      <c r="I662" s="28"/>
      <c r="K662" t="s">
        <v>15</v>
      </c>
    </row>
    <row r="663" spans="2:11" ht="13" x14ac:dyDescent="0.15">
      <c r="B663" s="27" t="s">
        <v>951</v>
      </c>
      <c r="C663" s="27" t="s">
        <v>952</v>
      </c>
      <c r="D663" s="28">
        <f>SUMIFS(D664:D1509,K664:K1509,"0",B664:B1509,"5 1 1 1 3 12 31111 6 M78 22000 271*")-SUMIFS(E664:E1509,K664:K1509,"0",B664:B1509,"5 1 1 1 3 12 31111 6 M78 22000 271*")</f>
        <v>0</v>
      </c>
      <c r="E663" s="29"/>
      <c r="F663" s="28">
        <f>SUMIFS(F664:F1509,K664:K1509,"0",B664:B1509,"5 1 1 1 3 12 31111 6 M78 22000 271*")</f>
        <v>83250</v>
      </c>
      <c r="G663" s="28">
        <f>SUMIFS(G664:G1509,K664:K1509,"0",B664:B1509,"5 1 1 1 3 12 31111 6 M78 22000 271*")</f>
        <v>0</v>
      </c>
      <c r="H663" s="28">
        <f t="shared" si="14"/>
        <v>83250</v>
      </c>
      <c r="I663" s="28"/>
      <c r="K663" t="s">
        <v>15</v>
      </c>
    </row>
    <row r="664" spans="2:11" ht="13" x14ac:dyDescent="0.15">
      <c r="B664" s="27" t="s">
        <v>953</v>
      </c>
      <c r="C664" s="27" t="s">
        <v>170</v>
      </c>
      <c r="D664" s="28">
        <f>SUMIFS(D665:D1509,K665:K1509,"0",B665:B1509,"5 1 1 1 3 12 31111 6 M78 22000 271 00C*")-SUMIFS(E665:E1509,K665:K1509,"0",B665:B1509,"5 1 1 1 3 12 31111 6 M78 22000 271 00C*")</f>
        <v>0</v>
      </c>
      <c r="E664" s="29"/>
      <c r="F664" s="28">
        <f>SUMIFS(F665:F1509,K665:K1509,"0",B665:B1509,"5 1 1 1 3 12 31111 6 M78 22000 271 00C*")</f>
        <v>83250</v>
      </c>
      <c r="G664" s="28">
        <f>SUMIFS(G665:G1509,K665:K1509,"0",B665:B1509,"5 1 1 1 3 12 31111 6 M78 22000 271 00C*")</f>
        <v>0</v>
      </c>
      <c r="H664" s="28">
        <f t="shared" si="14"/>
        <v>83250</v>
      </c>
      <c r="I664" s="28"/>
      <c r="K664" t="s">
        <v>15</v>
      </c>
    </row>
    <row r="665" spans="2:11" ht="22" x14ac:dyDescent="0.15">
      <c r="B665" s="27" t="s">
        <v>954</v>
      </c>
      <c r="C665" s="27" t="s">
        <v>9</v>
      </c>
      <c r="D665" s="28">
        <f>SUMIFS(D666:D1509,K666:K1509,"0",B666:B1509,"5 1 1 1 3 12 31111 6 M78 22000 271 00C 001*")-SUMIFS(E666:E1509,K666:K1509,"0",B666:B1509,"5 1 1 1 3 12 31111 6 M78 22000 271 00C 001*")</f>
        <v>0</v>
      </c>
      <c r="E665" s="29"/>
      <c r="F665" s="28">
        <f>SUMIFS(F666:F1509,K666:K1509,"0",B666:B1509,"5 1 1 1 3 12 31111 6 M78 22000 271 00C 001*")</f>
        <v>83250</v>
      </c>
      <c r="G665" s="28">
        <f>SUMIFS(G666:G1509,K666:K1509,"0",B666:B1509,"5 1 1 1 3 12 31111 6 M78 22000 271 00C 001*")</f>
        <v>0</v>
      </c>
      <c r="H665" s="28">
        <f t="shared" si="14"/>
        <v>83250</v>
      </c>
      <c r="I665" s="28"/>
      <c r="K665" t="s">
        <v>15</v>
      </c>
    </row>
    <row r="666" spans="2:11" ht="22" x14ac:dyDescent="0.15">
      <c r="B666" s="27" t="s">
        <v>955</v>
      </c>
      <c r="C666" s="27" t="s">
        <v>741</v>
      </c>
      <c r="D666" s="28">
        <f>SUMIFS(D667:D1509,K667:K1509,"0",B667:B1509,"5 1 1 1 3 12 31111 6 M78 22000 271 00C 001 11301*")-SUMIFS(E667:E1509,K667:K1509,"0",B667:B1509,"5 1 1 1 3 12 31111 6 M78 22000 271 00C 001 11301*")</f>
        <v>0</v>
      </c>
      <c r="E666" s="29"/>
      <c r="F666" s="28">
        <f>SUMIFS(F667:F1509,K667:K1509,"0",B667:B1509,"5 1 1 1 3 12 31111 6 M78 22000 271 00C 001 11301*")</f>
        <v>83250</v>
      </c>
      <c r="G666" s="28">
        <f>SUMIFS(G667:G1509,K667:K1509,"0",B667:B1509,"5 1 1 1 3 12 31111 6 M78 22000 271 00C 001 11301*")</f>
        <v>0</v>
      </c>
      <c r="H666" s="28">
        <f t="shared" si="14"/>
        <v>83250</v>
      </c>
      <c r="I666" s="28"/>
      <c r="K666" t="s">
        <v>15</v>
      </c>
    </row>
    <row r="667" spans="2:11" ht="22" x14ac:dyDescent="0.15">
      <c r="B667" s="27" t="s">
        <v>956</v>
      </c>
      <c r="C667" s="27" t="s">
        <v>176</v>
      </c>
      <c r="D667" s="28">
        <f>SUMIFS(D668:D1509,K668:K1509,"0",B668:B1509,"5 1 1 1 3 12 31111 6 M78 22000 271 00C 001 11301 015*")-SUMIFS(E668:E1509,K668:K1509,"0",B668:B1509,"5 1 1 1 3 12 31111 6 M78 22000 271 00C 001 11301 015*")</f>
        <v>0</v>
      </c>
      <c r="E667" s="29"/>
      <c r="F667" s="28">
        <f>SUMIFS(F668:F1509,K668:K1509,"0",B668:B1509,"5 1 1 1 3 12 31111 6 M78 22000 271 00C 001 11301 015*")</f>
        <v>83250</v>
      </c>
      <c r="G667" s="28">
        <f>SUMIFS(G668:G1509,K668:K1509,"0",B668:B1509,"5 1 1 1 3 12 31111 6 M78 22000 271 00C 001 11301 015*")</f>
        <v>0</v>
      </c>
      <c r="H667" s="28">
        <f t="shared" si="14"/>
        <v>83250</v>
      </c>
      <c r="I667" s="28"/>
      <c r="K667" t="s">
        <v>15</v>
      </c>
    </row>
    <row r="668" spans="2:11" ht="22" x14ac:dyDescent="0.15">
      <c r="B668" s="27" t="s">
        <v>957</v>
      </c>
      <c r="C668" s="27" t="s">
        <v>744</v>
      </c>
      <c r="D668" s="28">
        <f>SUMIFS(D669:D1509,K669:K1509,"0",B669:B1509,"5 1 1 1 3 12 31111 6 M78 22000 271 00C 001 11301 015 2111100*")-SUMIFS(E669:E1509,K669:K1509,"0",B669:B1509,"5 1 1 1 3 12 31111 6 M78 22000 271 00C 001 11301 015 2111100*")</f>
        <v>0</v>
      </c>
      <c r="E668" s="29"/>
      <c r="F668" s="28">
        <f>SUMIFS(F669:F1509,K669:K1509,"0",B669:B1509,"5 1 1 1 3 12 31111 6 M78 22000 271 00C 001 11301 015 2111100*")</f>
        <v>83250</v>
      </c>
      <c r="G668" s="28">
        <f>SUMIFS(G669:G1509,K669:K1509,"0",B669:B1509,"5 1 1 1 3 12 31111 6 M78 22000 271 00C 001 11301 015 2111100*")</f>
        <v>0</v>
      </c>
      <c r="H668" s="28">
        <f t="shared" si="14"/>
        <v>83250</v>
      </c>
      <c r="I668" s="28"/>
      <c r="K668" t="s">
        <v>15</v>
      </c>
    </row>
    <row r="669" spans="2:11" ht="22" x14ac:dyDescent="0.15">
      <c r="B669" s="27" t="s">
        <v>958</v>
      </c>
      <c r="C669" s="27" t="s">
        <v>248</v>
      </c>
      <c r="D669" s="28">
        <f>SUMIFS(D670:D1509,K670:K1509,"0",B670:B1509,"5 1 1 1 3 12 31111 6 M78 22000 271 00C 001 11301 015 2111100 2024*")-SUMIFS(E670:E1509,K670:K1509,"0",B670:B1509,"5 1 1 1 3 12 31111 6 M78 22000 271 00C 001 11301 015 2111100 2024*")</f>
        <v>0</v>
      </c>
      <c r="E669" s="29"/>
      <c r="F669" s="28">
        <f>SUMIFS(F670:F1509,K670:K1509,"0",B670:B1509,"5 1 1 1 3 12 31111 6 M78 22000 271 00C 001 11301 015 2111100 2024*")</f>
        <v>83250</v>
      </c>
      <c r="G669" s="28">
        <f>SUMIFS(G670:G1509,K670:K1509,"0",B670:B1509,"5 1 1 1 3 12 31111 6 M78 22000 271 00C 001 11301 015 2111100 2024*")</f>
        <v>0</v>
      </c>
      <c r="H669" s="28">
        <f t="shared" si="14"/>
        <v>83250</v>
      </c>
      <c r="I669" s="28"/>
      <c r="K669" t="s">
        <v>15</v>
      </c>
    </row>
    <row r="670" spans="2:11" ht="22" x14ac:dyDescent="0.15">
      <c r="B670" s="27" t="s">
        <v>959</v>
      </c>
      <c r="C670" s="27" t="s">
        <v>182</v>
      </c>
      <c r="D670" s="28">
        <f>SUMIFS(D671:D1509,K671:K1509,"0",B671:B1509,"5 1 1 1 3 12 31111 6 M78 22000 271 00C 001 11301 015 2111100 2024 00000000*")-SUMIFS(E671:E1509,K671:K1509,"0",B671:B1509,"5 1 1 1 3 12 31111 6 M78 22000 271 00C 001 11301 015 2111100 2024 00000000*")</f>
        <v>0</v>
      </c>
      <c r="E670" s="29"/>
      <c r="F670" s="28">
        <f>SUMIFS(F671:F1509,K671:K1509,"0",B671:B1509,"5 1 1 1 3 12 31111 6 M78 22000 271 00C 001 11301 015 2111100 2024 00000000*")</f>
        <v>83250</v>
      </c>
      <c r="G670" s="28">
        <f>SUMIFS(G671:G1509,K671:K1509,"0",B671:B1509,"5 1 1 1 3 12 31111 6 M78 22000 271 00C 001 11301 015 2111100 2024 00000000*")</f>
        <v>0</v>
      </c>
      <c r="H670" s="28">
        <f t="shared" si="14"/>
        <v>83250</v>
      </c>
      <c r="I670" s="28"/>
      <c r="K670" t="s">
        <v>15</v>
      </c>
    </row>
    <row r="671" spans="2:11" ht="33" x14ac:dyDescent="0.15">
      <c r="B671" s="27" t="s">
        <v>960</v>
      </c>
      <c r="C671" s="27" t="s">
        <v>945</v>
      </c>
      <c r="D671" s="28">
        <f>SUMIFS(D672:D1509,K672:K1509,"0",B672:B1509,"5 1 1 1 3 12 31111 6 M78 22000 271 00C 001 11301 015 2111100 2024 00000000 001*")-SUMIFS(E672:E1509,K672:K1509,"0",B672:B1509,"5 1 1 1 3 12 31111 6 M78 22000 271 00C 001 11301 015 2111100 2024 00000000 001*")</f>
        <v>0</v>
      </c>
      <c r="E671" s="29"/>
      <c r="F671" s="28">
        <f>SUMIFS(F672:F1509,K672:K1509,"0",B672:B1509,"5 1 1 1 3 12 31111 6 M78 22000 271 00C 001 11301 015 2111100 2024 00000000 001*")</f>
        <v>83250</v>
      </c>
      <c r="G671" s="28">
        <f>SUMIFS(G672:G1509,K672:K1509,"0",B672:B1509,"5 1 1 1 3 12 31111 6 M78 22000 271 00C 001 11301 015 2111100 2024 00000000 001*")</f>
        <v>0</v>
      </c>
      <c r="H671" s="28">
        <f t="shared" si="14"/>
        <v>83250</v>
      </c>
      <c r="I671" s="28"/>
      <c r="K671" t="s">
        <v>15</v>
      </c>
    </row>
    <row r="672" spans="2:11" ht="33" x14ac:dyDescent="0.15">
      <c r="B672" s="27" t="s">
        <v>961</v>
      </c>
      <c r="C672" s="27" t="s">
        <v>962</v>
      </c>
      <c r="D672" s="28">
        <f>SUMIFS(D673:D1509,K673:K1509,"0",B673:B1509,"5 1 1 1 3 12 31111 6 M78 22000 271 00C 001 11301 015 2111100 2024 00000000 001 001*")-SUMIFS(E673:E1509,K673:K1509,"0",B673:B1509,"5 1 1 1 3 12 31111 6 M78 22000 271 00C 001 11301 015 2111100 2024 00000000 001 001*")</f>
        <v>0</v>
      </c>
      <c r="E672" s="29"/>
      <c r="F672" s="28">
        <f>SUMIFS(F673:F1509,K673:K1509,"0",B673:B1509,"5 1 1 1 3 12 31111 6 M78 22000 271 00C 001 11301 015 2111100 2024 00000000 001 001*")</f>
        <v>83250</v>
      </c>
      <c r="G672" s="28">
        <f>SUMIFS(G673:G1509,K673:K1509,"0",B673:B1509,"5 1 1 1 3 12 31111 6 M78 22000 271 00C 001 11301 015 2111100 2024 00000000 001 001*")</f>
        <v>0</v>
      </c>
      <c r="H672" s="28">
        <f t="shared" ref="H672:H735" si="15">D672 + F672 - G672</f>
        <v>83250</v>
      </c>
      <c r="I672" s="28"/>
      <c r="K672" t="s">
        <v>15</v>
      </c>
    </row>
    <row r="673" spans="2:11" ht="33" x14ac:dyDescent="0.15">
      <c r="B673" s="30" t="s">
        <v>963</v>
      </c>
      <c r="C673" s="30" t="s">
        <v>751</v>
      </c>
      <c r="D673" s="31">
        <v>0</v>
      </c>
      <c r="E673" s="31"/>
      <c r="F673" s="31">
        <v>83250</v>
      </c>
      <c r="G673" s="31">
        <v>0</v>
      </c>
      <c r="H673" s="31">
        <f t="shared" si="15"/>
        <v>83250</v>
      </c>
      <c r="I673" s="31"/>
      <c r="K673" t="s">
        <v>38</v>
      </c>
    </row>
    <row r="674" spans="2:11" ht="13" x14ac:dyDescent="0.15">
      <c r="B674" s="27" t="s">
        <v>964</v>
      </c>
      <c r="C674" s="27" t="s">
        <v>965</v>
      </c>
      <c r="D674" s="28">
        <f>SUMIFS(D675:D1509,K675:K1509,"0",B675:B1509,"5 1 1 1 3 12 31111 6 M78 26000*")-SUMIFS(E675:E1509,K675:K1509,"0",B675:B1509,"5 1 1 1 3 12 31111 6 M78 26000*")</f>
        <v>0</v>
      </c>
      <c r="E674" s="29"/>
      <c r="F674" s="28">
        <f>SUMIFS(F675:F1509,K675:K1509,"0",B675:B1509,"5 1 1 1 3 12 31111 6 M78 26000*")</f>
        <v>78960</v>
      </c>
      <c r="G674" s="28">
        <f>SUMIFS(G675:G1509,K675:K1509,"0",B675:B1509,"5 1 1 1 3 12 31111 6 M78 26000*")</f>
        <v>0</v>
      </c>
      <c r="H674" s="28">
        <f t="shared" si="15"/>
        <v>78960</v>
      </c>
      <c r="I674" s="28"/>
      <c r="K674" t="s">
        <v>15</v>
      </c>
    </row>
    <row r="675" spans="2:11" ht="13" x14ac:dyDescent="0.15">
      <c r="B675" s="27" t="s">
        <v>966</v>
      </c>
      <c r="C675" s="27" t="s">
        <v>967</v>
      </c>
      <c r="D675" s="28">
        <f>SUMIFS(D676:D1509,K676:K1509,"0",B676:B1509,"5 1 1 1 3 12 31111 6 M78 26000 183*")-SUMIFS(E676:E1509,K676:K1509,"0",B676:B1509,"5 1 1 1 3 12 31111 6 M78 26000 183*")</f>
        <v>0</v>
      </c>
      <c r="E675" s="29"/>
      <c r="F675" s="28">
        <f>SUMIFS(F676:F1509,K676:K1509,"0",B676:B1509,"5 1 1 1 3 12 31111 6 M78 26000 183*")</f>
        <v>78960</v>
      </c>
      <c r="G675" s="28">
        <f>SUMIFS(G676:G1509,K676:K1509,"0",B676:B1509,"5 1 1 1 3 12 31111 6 M78 26000 183*")</f>
        <v>0</v>
      </c>
      <c r="H675" s="28">
        <f t="shared" si="15"/>
        <v>78960</v>
      </c>
      <c r="I675" s="28"/>
      <c r="K675" t="s">
        <v>15</v>
      </c>
    </row>
    <row r="676" spans="2:11" ht="13" x14ac:dyDescent="0.15">
      <c r="B676" s="27" t="s">
        <v>968</v>
      </c>
      <c r="C676" s="27" t="s">
        <v>170</v>
      </c>
      <c r="D676" s="28">
        <f>SUMIFS(D677:D1509,K677:K1509,"0",B677:B1509,"5 1 1 1 3 12 31111 6 M78 26000 183 00C*")-SUMIFS(E677:E1509,K677:K1509,"0",B677:B1509,"5 1 1 1 3 12 31111 6 M78 26000 183 00C*")</f>
        <v>0</v>
      </c>
      <c r="E676" s="29"/>
      <c r="F676" s="28">
        <f>SUMIFS(F677:F1509,K677:K1509,"0",B677:B1509,"5 1 1 1 3 12 31111 6 M78 26000 183 00C*")</f>
        <v>78960</v>
      </c>
      <c r="G676" s="28">
        <f>SUMIFS(G677:G1509,K677:K1509,"0",B677:B1509,"5 1 1 1 3 12 31111 6 M78 26000 183 00C*")</f>
        <v>0</v>
      </c>
      <c r="H676" s="28">
        <f t="shared" si="15"/>
        <v>78960</v>
      </c>
      <c r="I676" s="28"/>
      <c r="K676" t="s">
        <v>15</v>
      </c>
    </row>
    <row r="677" spans="2:11" ht="22" x14ac:dyDescent="0.15">
      <c r="B677" s="27" t="s">
        <v>969</v>
      </c>
      <c r="C677" s="27" t="s">
        <v>9</v>
      </c>
      <c r="D677" s="28">
        <f>SUMIFS(D678:D1509,K678:K1509,"0",B678:B1509,"5 1 1 1 3 12 31111 6 M78 26000 183 00C 001*")-SUMIFS(E678:E1509,K678:K1509,"0",B678:B1509,"5 1 1 1 3 12 31111 6 M78 26000 183 00C 001*")</f>
        <v>0</v>
      </c>
      <c r="E677" s="29"/>
      <c r="F677" s="28">
        <f>SUMIFS(F678:F1509,K678:K1509,"0",B678:B1509,"5 1 1 1 3 12 31111 6 M78 26000 183 00C 001*")</f>
        <v>78960</v>
      </c>
      <c r="G677" s="28">
        <f>SUMIFS(G678:G1509,K678:K1509,"0",B678:B1509,"5 1 1 1 3 12 31111 6 M78 26000 183 00C 001*")</f>
        <v>0</v>
      </c>
      <c r="H677" s="28">
        <f t="shared" si="15"/>
        <v>78960</v>
      </c>
      <c r="I677" s="28"/>
      <c r="K677" t="s">
        <v>15</v>
      </c>
    </row>
    <row r="678" spans="2:11" ht="22" x14ac:dyDescent="0.15">
      <c r="B678" s="27" t="s">
        <v>970</v>
      </c>
      <c r="C678" s="27" t="s">
        <v>741</v>
      </c>
      <c r="D678" s="28">
        <f>SUMIFS(D679:D1509,K679:K1509,"0",B679:B1509,"5 1 1 1 3 12 31111 6 M78 26000 183 00C 001 11301*")-SUMIFS(E679:E1509,K679:K1509,"0",B679:B1509,"5 1 1 1 3 12 31111 6 M78 26000 183 00C 001 11301*")</f>
        <v>0</v>
      </c>
      <c r="E678" s="29"/>
      <c r="F678" s="28">
        <f>SUMIFS(F679:F1509,K679:K1509,"0",B679:B1509,"5 1 1 1 3 12 31111 6 M78 26000 183 00C 001 11301*")</f>
        <v>78960</v>
      </c>
      <c r="G678" s="28">
        <f>SUMIFS(G679:G1509,K679:K1509,"0",B679:B1509,"5 1 1 1 3 12 31111 6 M78 26000 183 00C 001 11301*")</f>
        <v>0</v>
      </c>
      <c r="H678" s="28">
        <f t="shared" si="15"/>
        <v>78960</v>
      </c>
      <c r="I678" s="28"/>
      <c r="K678" t="s">
        <v>15</v>
      </c>
    </row>
    <row r="679" spans="2:11" ht="22" x14ac:dyDescent="0.15">
      <c r="B679" s="27" t="s">
        <v>971</v>
      </c>
      <c r="C679" s="27" t="s">
        <v>176</v>
      </c>
      <c r="D679" s="28">
        <f>SUMIFS(D680:D1509,K680:K1509,"0",B680:B1509,"5 1 1 1 3 12 31111 6 M78 26000 183 00C 001 11301 015*")-SUMIFS(E680:E1509,K680:K1509,"0",B680:B1509,"5 1 1 1 3 12 31111 6 M78 26000 183 00C 001 11301 015*")</f>
        <v>0</v>
      </c>
      <c r="E679" s="29"/>
      <c r="F679" s="28">
        <f>SUMIFS(F680:F1509,K680:K1509,"0",B680:B1509,"5 1 1 1 3 12 31111 6 M78 26000 183 00C 001 11301 015*")</f>
        <v>78960</v>
      </c>
      <c r="G679" s="28">
        <f>SUMIFS(G680:G1509,K680:K1509,"0",B680:B1509,"5 1 1 1 3 12 31111 6 M78 26000 183 00C 001 11301 015*")</f>
        <v>0</v>
      </c>
      <c r="H679" s="28">
        <f t="shared" si="15"/>
        <v>78960</v>
      </c>
      <c r="I679" s="28"/>
      <c r="K679" t="s">
        <v>15</v>
      </c>
    </row>
    <row r="680" spans="2:11" ht="22" x14ac:dyDescent="0.15">
      <c r="B680" s="27" t="s">
        <v>972</v>
      </c>
      <c r="C680" s="27" t="s">
        <v>744</v>
      </c>
      <c r="D680" s="28">
        <f>SUMIFS(D681:D1509,K681:K1509,"0",B681:B1509,"5 1 1 1 3 12 31111 6 M78 26000 183 00C 001 11301 015 2111100*")-SUMIFS(E681:E1509,K681:K1509,"0",B681:B1509,"5 1 1 1 3 12 31111 6 M78 26000 183 00C 001 11301 015 2111100*")</f>
        <v>0</v>
      </c>
      <c r="E680" s="29"/>
      <c r="F680" s="28">
        <f>SUMIFS(F681:F1509,K681:K1509,"0",B681:B1509,"5 1 1 1 3 12 31111 6 M78 26000 183 00C 001 11301 015 2111100*")</f>
        <v>78960</v>
      </c>
      <c r="G680" s="28">
        <f>SUMIFS(G681:G1509,K681:K1509,"0",B681:B1509,"5 1 1 1 3 12 31111 6 M78 26000 183 00C 001 11301 015 2111100*")</f>
        <v>0</v>
      </c>
      <c r="H680" s="28">
        <f t="shared" si="15"/>
        <v>78960</v>
      </c>
      <c r="I680" s="28"/>
      <c r="K680" t="s">
        <v>15</v>
      </c>
    </row>
    <row r="681" spans="2:11" ht="22" x14ac:dyDescent="0.15">
      <c r="B681" s="27" t="s">
        <v>973</v>
      </c>
      <c r="C681" s="27" t="s">
        <v>248</v>
      </c>
      <c r="D681" s="28">
        <f>SUMIFS(D682:D1509,K682:K1509,"0",B682:B1509,"5 1 1 1 3 12 31111 6 M78 26000 183 00C 001 11301 015 2111100 2024*")-SUMIFS(E682:E1509,K682:K1509,"0",B682:B1509,"5 1 1 1 3 12 31111 6 M78 26000 183 00C 001 11301 015 2111100 2024*")</f>
        <v>0</v>
      </c>
      <c r="E681" s="29"/>
      <c r="F681" s="28">
        <f>SUMIFS(F682:F1509,K682:K1509,"0",B682:B1509,"5 1 1 1 3 12 31111 6 M78 26000 183 00C 001 11301 015 2111100 2024*")</f>
        <v>78960</v>
      </c>
      <c r="G681" s="28">
        <f>SUMIFS(G682:G1509,K682:K1509,"0",B682:B1509,"5 1 1 1 3 12 31111 6 M78 26000 183 00C 001 11301 015 2111100 2024*")</f>
        <v>0</v>
      </c>
      <c r="H681" s="28">
        <f t="shared" si="15"/>
        <v>78960</v>
      </c>
      <c r="I681" s="28"/>
      <c r="K681" t="s">
        <v>15</v>
      </c>
    </row>
    <row r="682" spans="2:11" ht="22" x14ac:dyDescent="0.15">
      <c r="B682" s="27" t="s">
        <v>974</v>
      </c>
      <c r="C682" s="27" t="s">
        <v>182</v>
      </c>
      <c r="D682" s="28">
        <f>SUMIFS(D683:D1509,K683:K1509,"0",B683:B1509,"5 1 1 1 3 12 31111 6 M78 26000 183 00C 001 11301 015 2111100 2024 00000000*")-SUMIFS(E683:E1509,K683:K1509,"0",B683:B1509,"5 1 1 1 3 12 31111 6 M78 26000 183 00C 001 11301 015 2111100 2024 00000000*")</f>
        <v>0</v>
      </c>
      <c r="E682" s="29"/>
      <c r="F682" s="28">
        <f>SUMIFS(F683:F1509,K683:K1509,"0",B683:B1509,"5 1 1 1 3 12 31111 6 M78 26000 183 00C 001 11301 015 2111100 2024 00000000*")</f>
        <v>78960</v>
      </c>
      <c r="G682" s="28">
        <f>SUMIFS(G683:G1509,K683:K1509,"0",B683:B1509,"5 1 1 1 3 12 31111 6 M78 26000 183 00C 001 11301 015 2111100 2024 00000000*")</f>
        <v>0</v>
      </c>
      <c r="H682" s="28">
        <f t="shared" si="15"/>
        <v>78960</v>
      </c>
      <c r="I682" s="28"/>
      <c r="K682" t="s">
        <v>15</v>
      </c>
    </row>
    <row r="683" spans="2:11" ht="33" x14ac:dyDescent="0.15">
      <c r="B683" s="27" t="s">
        <v>975</v>
      </c>
      <c r="C683" s="27" t="s">
        <v>9</v>
      </c>
      <c r="D683" s="28">
        <f>SUMIFS(D684:D1509,K684:K1509,"0",B684:B1509,"5 1 1 1 3 12 31111 6 M78 26000 183 00C 001 11301 015 2111100 2024 00000000 001*")-SUMIFS(E684:E1509,K684:K1509,"0",B684:B1509,"5 1 1 1 3 12 31111 6 M78 26000 183 00C 001 11301 015 2111100 2024 00000000 001*")</f>
        <v>0</v>
      </c>
      <c r="E683" s="29"/>
      <c r="F683" s="28">
        <f>SUMIFS(F684:F1509,K684:K1509,"0",B684:B1509,"5 1 1 1 3 12 31111 6 M78 26000 183 00C 001 11301 015 2111100 2024 00000000 001*")</f>
        <v>78960</v>
      </c>
      <c r="G683" s="28">
        <f>SUMIFS(G684:G1509,K684:K1509,"0",B684:B1509,"5 1 1 1 3 12 31111 6 M78 26000 183 00C 001 11301 015 2111100 2024 00000000 001*")</f>
        <v>0</v>
      </c>
      <c r="H683" s="28">
        <f t="shared" si="15"/>
        <v>78960</v>
      </c>
      <c r="I683" s="28"/>
      <c r="K683" t="s">
        <v>15</v>
      </c>
    </row>
    <row r="684" spans="2:11" ht="33" x14ac:dyDescent="0.15">
      <c r="B684" s="27" t="s">
        <v>976</v>
      </c>
      <c r="C684" s="27" t="s">
        <v>977</v>
      </c>
      <c r="D684" s="28">
        <f>SUMIFS(D685:D1509,K685:K1509,"0",B685:B1509,"5 1 1 1 3 12 31111 6 M78 26000 183 00C 001 11301 015 2111100 2024 00000000 001 001*")-SUMIFS(E685:E1509,K685:K1509,"0",B685:B1509,"5 1 1 1 3 12 31111 6 M78 26000 183 00C 001 11301 015 2111100 2024 00000000 001 001*")</f>
        <v>0</v>
      </c>
      <c r="E684" s="29"/>
      <c r="F684" s="28">
        <f>SUMIFS(F685:F1509,K685:K1509,"0",B685:B1509,"5 1 1 1 3 12 31111 6 M78 26000 183 00C 001 11301 015 2111100 2024 00000000 001 001*")</f>
        <v>78960</v>
      </c>
      <c r="G684" s="28">
        <f>SUMIFS(G685:G1509,K685:K1509,"0",B685:B1509,"5 1 1 1 3 12 31111 6 M78 26000 183 00C 001 11301 015 2111100 2024 00000000 001 001*")</f>
        <v>0</v>
      </c>
      <c r="H684" s="28">
        <f t="shared" si="15"/>
        <v>78960</v>
      </c>
      <c r="I684" s="28"/>
      <c r="K684" t="s">
        <v>15</v>
      </c>
    </row>
    <row r="685" spans="2:11" ht="33" x14ac:dyDescent="0.15">
      <c r="B685" s="30" t="s">
        <v>978</v>
      </c>
      <c r="C685" s="30" t="s">
        <v>751</v>
      </c>
      <c r="D685" s="31">
        <v>0</v>
      </c>
      <c r="E685" s="31"/>
      <c r="F685" s="31">
        <v>78960</v>
      </c>
      <c r="G685" s="31">
        <v>0</v>
      </c>
      <c r="H685" s="31">
        <f t="shared" si="15"/>
        <v>78960</v>
      </c>
      <c r="I685" s="31"/>
      <c r="K685" t="s">
        <v>38</v>
      </c>
    </row>
    <row r="686" spans="2:11" ht="13" x14ac:dyDescent="0.15">
      <c r="B686" s="27" t="s">
        <v>979</v>
      </c>
      <c r="C686" s="27" t="s">
        <v>980</v>
      </c>
      <c r="D686" s="28">
        <f>SUMIFS(D687:D1509,K687:K1509,"0",B687:B1509,"5 1 1 1 3 12 31111 6 M78 27000*")-SUMIFS(E687:E1509,K687:K1509,"0",B687:B1509,"5 1 1 1 3 12 31111 6 M78 27000*")</f>
        <v>0</v>
      </c>
      <c r="E686" s="29"/>
      <c r="F686" s="28">
        <f>SUMIFS(F687:F1509,K687:K1509,"0",B687:B1509,"5 1 1 1 3 12 31111 6 M78 27000*")</f>
        <v>168000</v>
      </c>
      <c r="G686" s="28">
        <f>SUMIFS(G687:G1509,K687:K1509,"0",B687:B1509,"5 1 1 1 3 12 31111 6 M78 27000*")</f>
        <v>0</v>
      </c>
      <c r="H686" s="28">
        <f t="shared" si="15"/>
        <v>168000</v>
      </c>
      <c r="I686" s="28"/>
      <c r="K686" t="s">
        <v>15</v>
      </c>
    </row>
    <row r="687" spans="2:11" ht="13" x14ac:dyDescent="0.15">
      <c r="B687" s="27" t="s">
        <v>981</v>
      </c>
      <c r="C687" s="27" t="s">
        <v>982</v>
      </c>
      <c r="D687" s="28">
        <f>SUMIFS(D688:D1509,K688:K1509,"0",B688:B1509,"5 1 1 1 3 12 31111 6 M78 27000 184*")-SUMIFS(E688:E1509,K688:K1509,"0",B688:B1509,"5 1 1 1 3 12 31111 6 M78 27000 184*")</f>
        <v>0</v>
      </c>
      <c r="E687" s="29"/>
      <c r="F687" s="28">
        <f>SUMIFS(F688:F1509,K688:K1509,"0",B688:B1509,"5 1 1 1 3 12 31111 6 M78 27000 184*")</f>
        <v>168000</v>
      </c>
      <c r="G687" s="28">
        <f>SUMIFS(G688:G1509,K688:K1509,"0",B688:B1509,"5 1 1 1 3 12 31111 6 M78 27000 184*")</f>
        <v>0</v>
      </c>
      <c r="H687" s="28">
        <f t="shared" si="15"/>
        <v>168000</v>
      </c>
      <c r="I687" s="28"/>
      <c r="K687" t="s">
        <v>15</v>
      </c>
    </row>
    <row r="688" spans="2:11" ht="13" x14ac:dyDescent="0.15">
      <c r="B688" s="27" t="s">
        <v>983</v>
      </c>
      <c r="C688" s="27" t="s">
        <v>170</v>
      </c>
      <c r="D688" s="28">
        <f>SUMIFS(D689:D1509,K689:K1509,"0",B689:B1509,"5 1 1 1 3 12 31111 6 M78 27000 184 00C*")-SUMIFS(E689:E1509,K689:K1509,"0",B689:B1509,"5 1 1 1 3 12 31111 6 M78 27000 184 00C*")</f>
        <v>0</v>
      </c>
      <c r="E688" s="29"/>
      <c r="F688" s="28">
        <f>SUMIFS(F689:F1509,K689:K1509,"0",B689:B1509,"5 1 1 1 3 12 31111 6 M78 27000 184 00C*")</f>
        <v>168000</v>
      </c>
      <c r="G688" s="28">
        <f>SUMIFS(G689:G1509,K689:K1509,"0",B689:B1509,"5 1 1 1 3 12 31111 6 M78 27000 184 00C*")</f>
        <v>0</v>
      </c>
      <c r="H688" s="28">
        <f t="shared" si="15"/>
        <v>168000</v>
      </c>
      <c r="I688" s="28"/>
      <c r="K688" t="s">
        <v>15</v>
      </c>
    </row>
    <row r="689" spans="2:11" ht="22" x14ac:dyDescent="0.15">
      <c r="B689" s="27" t="s">
        <v>984</v>
      </c>
      <c r="C689" s="27" t="s">
        <v>9</v>
      </c>
      <c r="D689" s="28">
        <f>SUMIFS(D690:D1509,K690:K1509,"0",B690:B1509,"5 1 1 1 3 12 31111 6 M78 27000 184 00C 001*")-SUMIFS(E690:E1509,K690:K1509,"0",B690:B1509,"5 1 1 1 3 12 31111 6 M78 27000 184 00C 001*")</f>
        <v>0</v>
      </c>
      <c r="E689" s="29"/>
      <c r="F689" s="28">
        <f>SUMIFS(F690:F1509,K690:K1509,"0",B690:B1509,"5 1 1 1 3 12 31111 6 M78 27000 184 00C 001*")</f>
        <v>168000</v>
      </c>
      <c r="G689" s="28">
        <f>SUMIFS(G690:G1509,K690:K1509,"0",B690:B1509,"5 1 1 1 3 12 31111 6 M78 27000 184 00C 001*")</f>
        <v>0</v>
      </c>
      <c r="H689" s="28">
        <f t="shared" si="15"/>
        <v>168000</v>
      </c>
      <c r="I689" s="28"/>
      <c r="K689" t="s">
        <v>15</v>
      </c>
    </row>
    <row r="690" spans="2:11" ht="22" x14ac:dyDescent="0.15">
      <c r="B690" s="27" t="s">
        <v>985</v>
      </c>
      <c r="C690" s="27" t="s">
        <v>741</v>
      </c>
      <c r="D690" s="28">
        <f>SUMIFS(D691:D1509,K691:K1509,"0",B691:B1509,"5 1 1 1 3 12 31111 6 M78 27000 184 00C 001 11301*")-SUMIFS(E691:E1509,K691:K1509,"0",B691:B1509,"5 1 1 1 3 12 31111 6 M78 27000 184 00C 001 11301*")</f>
        <v>0</v>
      </c>
      <c r="E690" s="29"/>
      <c r="F690" s="28">
        <f>SUMIFS(F691:F1509,K691:K1509,"0",B691:B1509,"5 1 1 1 3 12 31111 6 M78 27000 184 00C 001 11301*")</f>
        <v>168000</v>
      </c>
      <c r="G690" s="28">
        <f>SUMIFS(G691:G1509,K691:K1509,"0",B691:B1509,"5 1 1 1 3 12 31111 6 M78 27000 184 00C 001 11301*")</f>
        <v>0</v>
      </c>
      <c r="H690" s="28">
        <f t="shared" si="15"/>
        <v>168000</v>
      </c>
      <c r="I690" s="28"/>
      <c r="K690" t="s">
        <v>15</v>
      </c>
    </row>
    <row r="691" spans="2:11" ht="22" x14ac:dyDescent="0.15">
      <c r="B691" s="27" t="s">
        <v>986</v>
      </c>
      <c r="C691" s="27" t="s">
        <v>176</v>
      </c>
      <c r="D691" s="28">
        <f>SUMIFS(D692:D1509,K692:K1509,"0",B692:B1509,"5 1 1 1 3 12 31111 6 M78 27000 184 00C 001 11301 015*")-SUMIFS(E692:E1509,K692:K1509,"0",B692:B1509,"5 1 1 1 3 12 31111 6 M78 27000 184 00C 001 11301 015*")</f>
        <v>0</v>
      </c>
      <c r="E691" s="29"/>
      <c r="F691" s="28">
        <f>SUMIFS(F692:F1509,K692:K1509,"0",B692:B1509,"5 1 1 1 3 12 31111 6 M78 27000 184 00C 001 11301 015*")</f>
        <v>168000</v>
      </c>
      <c r="G691" s="28">
        <f>SUMIFS(G692:G1509,K692:K1509,"0",B692:B1509,"5 1 1 1 3 12 31111 6 M78 27000 184 00C 001 11301 015*")</f>
        <v>0</v>
      </c>
      <c r="H691" s="28">
        <f t="shared" si="15"/>
        <v>168000</v>
      </c>
      <c r="I691" s="28"/>
      <c r="K691" t="s">
        <v>15</v>
      </c>
    </row>
    <row r="692" spans="2:11" ht="22" x14ac:dyDescent="0.15">
      <c r="B692" s="27" t="s">
        <v>987</v>
      </c>
      <c r="C692" s="27" t="s">
        <v>744</v>
      </c>
      <c r="D692" s="28">
        <f>SUMIFS(D693:D1509,K693:K1509,"0",B693:B1509,"5 1 1 1 3 12 31111 6 M78 27000 184 00C 001 11301 015 2111100*")-SUMIFS(E693:E1509,K693:K1509,"0",B693:B1509,"5 1 1 1 3 12 31111 6 M78 27000 184 00C 001 11301 015 2111100*")</f>
        <v>0</v>
      </c>
      <c r="E692" s="29"/>
      <c r="F692" s="28">
        <f>SUMIFS(F693:F1509,K693:K1509,"0",B693:B1509,"5 1 1 1 3 12 31111 6 M78 27000 184 00C 001 11301 015 2111100*")</f>
        <v>168000</v>
      </c>
      <c r="G692" s="28">
        <f>SUMIFS(G693:G1509,K693:K1509,"0",B693:B1509,"5 1 1 1 3 12 31111 6 M78 27000 184 00C 001 11301 015 2111100*")</f>
        <v>0</v>
      </c>
      <c r="H692" s="28">
        <f t="shared" si="15"/>
        <v>168000</v>
      </c>
      <c r="I692" s="28"/>
      <c r="K692" t="s">
        <v>15</v>
      </c>
    </row>
    <row r="693" spans="2:11" ht="22" x14ac:dyDescent="0.15">
      <c r="B693" s="27" t="s">
        <v>988</v>
      </c>
      <c r="C693" s="27" t="s">
        <v>248</v>
      </c>
      <c r="D693" s="28">
        <f>SUMIFS(D694:D1509,K694:K1509,"0",B694:B1509,"5 1 1 1 3 12 31111 6 M78 27000 184 00C 001 11301 015 2111100 2024*")-SUMIFS(E694:E1509,K694:K1509,"0",B694:B1509,"5 1 1 1 3 12 31111 6 M78 27000 184 00C 001 11301 015 2111100 2024*")</f>
        <v>0</v>
      </c>
      <c r="E693" s="29"/>
      <c r="F693" s="28">
        <f>SUMIFS(F694:F1509,K694:K1509,"0",B694:B1509,"5 1 1 1 3 12 31111 6 M78 27000 184 00C 001 11301 015 2111100 2024*")</f>
        <v>168000</v>
      </c>
      <c r="G693" s="28">
        <f>SUMIFS(G694:G1509,K694:K1509,"0",B694:B1509,"5 1 1 1 3 12 31111 6 M78 27000 184 00C 001 11301 015 2111100 2024*")</f>
        <v>0</v>
      </c>
      <c r="H693" s="28">
        <f t="shared" si="15"/>
        <v>168000</v>
      </c>
      <c r="I693" s="28"/>
      <c r="K693" t="s">
        <v>15</v>
      </c>
    </row>
    <row r="694" spans="2:11" ht="22" x14ac:dyDescent="0.15">
      <c r="B694" s="27" t="s">
        <v>989</v>
      </c>
      <c r="C694" s="27" t="s">
        <v>182</v>
      </c>
      <c r="D694" s="28">
        <f>SUMIFS(D695:D1509,K695:K1509,"0",B695:B1509,"5 1 1 1 3 12 31111 6 M78 27000 184 00C 001 11301 015 2111100 2024 00000000*")-SUMIFS(E695:E1509,K695:K1509,"0",B695:B1509,"5 1 1 1 3 12 31111 6 M78 27000 184 00C 001 11301 015 2111100 2024 00000000*")</f>
        <v>0</v>
      </c>
      <c r="E694" s="29"/>
      <c r="F694" s="28">
        <f>SUMIFS(F695:F1509,K695:K1509,"0",B695:B1509,"5 1 1 1 3 12 31111 6 M78 27000 184 00C 001 11301 015 2111100 2024 00000000*")</f>
        <v>168000</v>
      </c>
      <c r="G694" s="28">
        <f>SUMIFS(G695:G1509,K695:K1509,"0",B695:B1509,"5 1 1 1 3 12 31111 6 M78 27000 184 00C 001 11301 015 2111100 2024 00000000*")</f>
        <v>0</v>
      </c>
      <c r="H694" s="28">
        <f t="shared" si="15"/>
        <v>168000</v>
      </c>
      <c r="I694" s="28"/>
      <c r="K694" t="s">
        <v>15</v>
      </c>
    </row>
    <row r="695" spans="2:11" ht="33" x14ac:dyDescent="0.15">
      <c r="B695" s="27" t="s">
        <v>990</v>
      </c>
      <c r="C695" s="27" t="s">
        <v>9</v>
      </c>
      <c r="D695" s="28">
        <f>SUMIFS(D696:D1509,K696:K1509,"0",B696:B1509,"5 1 1 1 3 12 31111 6 M78 27000 184 00C 001 11301 015 2111100 2024 00000000 001*")-SUMIFS(E696:E1509,K696:K1509,"0",B696:B1509,"5 1 1 1 3 12 31111 6 M78 27000 184 00C 001 11301 015 2111100 2024 00000000 001*")</f>
        <v>0</v>
      </c>
      <c r="E695" s="29"/>
      <c r="F695" s="28">
        <f>SUMIFS(F696:F1509,K696:K1509,"0",B696:B1509,"5 1 1 1 3 12 31111 6 M78 27000 184 00C 001 11301 015 2111100 2024 00000000 001*")</f>
        <v>168000</v>
      </c>
      <c r="G695" s="28">
        <f>SUMIFS(G696:G1509,K696:K1509,"0",B696:B1509,"5 1 1 1 3 12 31111 6 M78 27000 184 00C 001 11301 015 2111100 2024 00000000 001*")</f>
        <v>0</v>
      </c>
      <c r="H695" s="28">
        <f t="shared" si="15"/>
        <v>168000</v>
      </c>
      <c r="I695" s="28"/>
      <c r="K695" t="s">
        <v>15</v>
      </c>
    </row>
    <row r="696" spans="2:11" ht="33" x14ac:dyDescent="0.15">
      <c r="B696" s="27" t="s">
        <v>991</v>
      </c>
      <c r="C696" s="27" t="s">
        <v>992</v>
      </c>
      <c r="D696" s="28">
        <f>SUMIFS(D697:D1509,K697:K1509,"0",B697:B1509,"5 1 1 1 3 12 31111 6 M78 27000 184 00C 001 11301 015 2111100 2024 00000000 001 001*")-SUMIFS(E697:E1509,K697:K1509,"0",B697:B1509,"5 1 1 1 3 12 31111 6 M78 27000 184 00C 001 11301 015 2111100 2024 00000000 001 001*")</f>
        <v>0</v>
      </c>
      <c r="E696" s="29"/>
      <c r="F696" s="28">
        <f>SUMIFS(F697:F1509,K697:K1509,"0",B697:B1509,"5 1 1 1 3 12 31111 6 M78 27000 184 00C 001 11301 015 2111100 2024 00000000 001 001*")</f>
        <v>168000</v>
      </c>
      <c r="G696" s="28">
        <f>SUMIFS(G697:G1509,K697:K1509,"0",B697:B1509,"5 1 1 1 3 12 31111 6 M78 27000 184 00C 001 11301 015 2111100 2024 00000000 001 001*")</f>
        <v>0</v>
      </c>
      <c r="H696" s="28">
        <f t="shared" si="15"/>
        <v>168000</v>
      </c>
      <c r="I696" s="28"/>
      <c r="K696" t="s">
        <v>15</v>
      </c>
    </row>
    <row r="697" spans="2:11" ht="33" x14ac:dyDescent="0.15">
      <c r="B697" s="30" t="s">
        <v>993</v>
      </c>
      <c r="C697" s="30" t="s">
        <v>751</v>
      </c>
      <c r="D697" s="31">
        <v>0</v>
      </c>
      <c r="E697" s="31"/>
      <c r="F697" s="31">
        <v>168000</v>
      </c>
      <c r="G697" s="31">
        <v>0</v>
      </c>
      <c r="H697" s="31">
        <f t="shared" si="15"/>
        <v>168000</v>
      </c>
      <c r="I697" s="31"/>
      <c r="K697" t="s">
        <v>38</v>
      </c>
    </row>
    <row r="698" spans="2:11" ht="13" x14ac:dyDescent="0.15">
      <c r="B698" s="27" t="s">
        <v>994</v>
      </c>
      <c r="C698" s="27" t="s">
        <v>995</v>
      </c>
      <c r="D698" s="28">
        <f>SUMIFS(D699:D1509,K699:K1509,"0",B699:B1509,"5 1 1 3*")-SUMIFS(E699:E1509,K699:K1509,"0",B699:B1509,"5 1 1 3*")</f>
        <v>0</v>
      </c>
      <c r="E698" s="29"/>
      <c r="F698" s="28">
        <f>SUMIFS(F699:F1509,K699:K1509,"0",B699:B1509,"5 1 1 3*")</f>
        <v>2049475.29</v>
      </c>
      <c r="G698" s="28">
        <f>SUMIFS(G699:G1509,K699:K1509,"0",B699:B1509,"5 1 1 3*")</f>
        <v>0</v>
      </c>
      <c r="H698" s="28">
        <f t="shared" si="15"/>
        <v>2049475.29</v>
      </c>
      <c r="I698" s="28"/>
      <c r="K698" t="s">
        <v>15</v>
      </c>
    </row>
    <row r="699" spans="2:11" ht="13" x14ac:dyDescent="0.15">
      <c r="B699" s="27" t="s">
        <v>996</v>
      </c>
      <c r="C699" s="27" t="s">
        <v>997</v>
      </c>
      <c r="D699" s="28">
        <f>SUMIFS(D700:D1509,K700:K1509,"0",B700:B1509,"5 1 1 3 4*")-SUMIFS(E700:E1509,K700:K1509,"0",B700:B1509,"5 1 1 3 4*")</f>
        <v>0</v>
      </c>
      <c r="E699" s="29"/>
      <c r="F699" s="28">
        <f>SUMIFS(F700:F1509,K700:K1509,"0",B700:B1509,"5 1 1 3 4*")</f>
        <v>2049475.29</v>
      </c>
      <c r="G699" s="28">
        <f>SUMIFS(G700:G1509,K700:K1509,"0",B700:B1509,"5 1 1 3 4*")</f>
        <v>0</v>
      </c>
      <c r="H699" s="28">
        <f t="shared" si="15"/>
        <v>2049475.29</v>
      </c>
      <c r="I699" s="28"/>
      <c r="K699" t="s">
        <v>15</v>
      </c>
    </row>
    <row r="700" spans="2:11" ht="13" x14ac:dyDescent="0.15">
      <c r="B700" s="27" t="s">
        <v>998</v>
      </c>
      <c r="C700" s="27" t="s">
        <v>26</v>
      </c>
      <c r="D700" s="28">
        <f>SUMIFS(D701:D1509,K701:K1509,"0",B701:B1509,"5 1 1 3 4 12*")-SUMIFS(E701:E1509,K701:K1509,"0",B701:B1509,"5 1 1 3 4 12*")</f>
        <v>0</v>
      </c>
      <c r="E700" s="29"/>
      <c r="F700" s="28">
        <f>SUMIFS(F701:F1509,K701:K1509,"0",B701:B1509,"5 1 1 3 4 12*")</f>
        <v>2049475.29</v>
      </c>
      <c r="G700" s="28">
        <f>SUMIFS(G701:G1509,K701:K1509,"0",B701:B1509,"5 1 1 3 4 12*")</f>
        <v>0</v>
      </c>
      <c r="H700" s="28">
        <f t="shared" si="15"/>
        <v>2049475.29</v>
      </c>
      <c r="I700" s="28"/>
      <c r="K700" t="s">
        <v>15</v>
      </c>
    </row>
    <row r="701" spans="2:11" ht="13" x14ac:dyDescent="0.15">
      <c r="B701" s="27" t="s">
        <v>999</v>
      </c>
      <c r="C701" s="27" t="s">
        <v>28</v>
      </c>
      <c r="D701" s="28">
        <f>SUMIFS(D702:D1509,K702:K1509,"0",B702:B1509,"5 1 1 3 4 12 31111*")-SUMIFS(E702:E1509,K702:K1509,"0",B702:B1509,"5 1 1 3 4 12 31111*")</f>
        <v>0</v>
      </c>
      <c r="E701" s="29"/>
      <c r="F701" s="28">
        <f>SUMIFS(F702:F1509,K702:K1509,"0",B702:B1509,"5 1 1 3 4 12 31111*")</f>
        <v>2049475.29</v>
      </c>
      <c r="G701" s="28">
        <f>SUMIFS(G702:G1509,K702:K1509,"0",B702:B1509,"5 1 1 3 4 12 31111*")</f>
        <v>0</v>
      </c>
      <c r="H701" s="28">
        <f t="shared" si="15"/>
        <v>2049475.29</v>
      </c>
      <c r="I701" s="28"/>
      <c r="K701" t="s">
        <v>15</v>
      </c>
    </row>
    <row r="702" spans="2:11" ht="13" x14ac:dyDescent="0.15">
      <c r="B702" s="27" t="s">
        <v>1000</v>
      </c>
      <c r="C702" s="27" t="s">
        <v>30</v>
      </c>
      <c r="D702" s="28">
        <f>SUMIFS(D703:D1509,K703:K1509,"0",B703:B1509,"5 1 1 3 4 12 31111 6*")-SUMIFS(E703:E1509,K703:K1509,"0",B703:B1509,"5 1 1 3 4 12 31111 6*")</f>
        <v>0</v>
      </c>
      <c r="E702" s="29"/>
      <c r="F702" s="28">
        <f>SUMIFS(F703:F1509,K703:K1509,"0",B703:B1509,"5 1 1 3 4 12 31111 6*")</f>
        <v>2049475.29</v>
      </c>
      <c r="G702" s="28">
        <f>SUMIFS(G703:G1509,K703:K1509,"0",B703:B1509,"5 1 1 3 4 12 31111 6*")</f>
        <v>0</v>
      </c>
      <c r="H702" s="28">
        <f t="shared" si="15"/>
        <v>2049475.29</v>
      </c>
      <c r="I702" s="28"/>
      <c r="K702" t="s">
        <v>15</v>
      </c>
    </row>
    <row r="703" spans="2:11" ht="13" x14ac:dyDescent="0.15">
      <c r="B703" s="27" t="s">
        <v>1001</v>
      </c>
      <c r="C703" s="27" t="s">
        <v>733</v>
      </c>
      <c r="D703" s="28">
        <f>SUMIFS(D704:D1509,K704:K1509,"0",B704:B1509,"5 1 1 3 4 12 31111 6 M78*")-SUMIFS(E704:E1509,K704:K1509,"0",B704:B1509,"5 1 1 3 4 12 31111 6 M78*")</f>
        <v>0</v>
      </c>
      <c r="E703" s="29"/>
      <c r="F703" s="28">
        <f>SUMIFS(F704:F1509,K704:K1509,"0",B704:B1509,"5 1 1 3 4 12 31111 6 M78*")</f>
        <v>2049475.29</v>
      </c>
      <c r="G703" s="28">
        <f>SUMIFS(G704:G1509,K704:K1509,"0",B704:B1509,"5 1 1 3 4 12 31111 6 M78*")</f>
        <v>0</v>
      </c>
      <c r="H703" s="28">
        <f t="shared" si="15"/>
        <v>2049475.29</v>
      </c>
      <c r="I703" s="28"/>
      <c r="K703" t="s">
        <v>15</v>
      </c>
    </row>
    <row r="704" spans="2:11" ht="13" x14ac:dyDescent="0.15">
      <c r="B704" s="27" t="s">
        <v>1002</v>
      </c>
      <c r="C704" s="27" t="s">
        <v>735</v>
      </c>
      <c r="D704" s="28">
        <f>SUMIFS(D705:D1509,K705:K1509,"0",B705:B1509,"5 1 1 3 4 12 31111 6 M78 01000*")-SUMIFS(E705:E1509,K705:K1509,"0",B705:B1509,"5 1 1 3 4 12 31111 6 M78 01000*")</f>
        <v>0</v>
      </c>
      <c r="E704" s="29"/>
      <c r="F704" s="28">
        <f>SUMIFS(F705:F1509,K705:K1509,"0",B705:B1509,"5 1 1 3 4 12 31111 6 M78 01000*")</f>
        <v>413465.57</v>
      </c>
      <c r="G704" s="28">
        <f>SUMIFS(G705:G1509,K705:K1509,"0",B705:B1509,"5 1 1 3 4 12 31111 6 M78 01000*")</f>
        <v>0</v>
      </c>
      <c r="H704" s="28">
        <f t="shared" si="15"/>
        <v>413465.57</v>
      </c>
      <c r="I704" s="28"/>
      <c r="K704" t="s">
        <v>15</v>
      </c>
    </row>
    <row r="705" spans="2:11" ht="13" x14ac:dyDescent="0.15">
      <c r="B705" s="27" t="s">
        <v>1003</v>
      </c>
      <c r="C705" s="27" t="s">
        <v>737</v>
      </c>
      <c r="D705" s="28">
        <f>SUMIFS(D706:D1509,K706:K1509,"0",B706:B1509,"5 1 1 3 4 12 31111 6 M78 01000 131*")-SUMIFS(E706:E1509,K706:K1509,"0",B706:B1509,"5 1 1 3 4 12 31111 6 M78 01000 131*")</f>
        <v>0</v>
      </c>
      <c r="E705" s="29"/>
      <c r="F705" s="28">
        <f>SUMIFS(F706:F1509,K706:K1509,"0",B706:B1509,"5 1 1 3 4 12 31111 6 M78 01000 131*")</f>
        <v>413465.57</v>
      </c>
      <c r="G705" s="28">
        <f>SUMIFS(G706:G1509,K706:K1509,"0",B706:B1509,"5 1 1 3 4 12 31111 6 M78 01000 131*")</f>
        <v>0</v>
      </c>
      <c r="H705" s="28">
        <f t="shared" si="15"/>
        <v>413465.57</v>
      </c>
      <c r="I705" s="28"/>
      <c r="K705" t="s">
        <v>15</v>
      </c>
    </row>
    <row r="706" spans="2:11" ht="13" x14ac:dyDescent="0.15">
      <c r="B706" s="27" t="s">
        <v>1004</v>
      </c>
      <c r="C706" s="27" t="s">
        <v>170</v>
      </c>
      <c r="D706" s="28">
        <f>SUMIFS(D707:D1509,K707:K1509,"0",B707:B1509,"5 1 1 3 4 12 31111 6 M78 01000 131 00C*")-SUMIFS(E707:E1509,K707:K1509,"0",B707:B1509,"5 1 1 3 4 12 31111 6 M78 01000 131 00C*")</f>
        <v>0</v>
      </c>
      <c r="E706" s="29"/>
      <c r="F706" s="28">
        <f>SUMIFS(F707:F1509,K707:K1509,"0",B707:B1509,"5 1 1 3 4 12 31111 6 M78 01000 131 00C*")</f>
        <v>413465.57</v>
      </c>
      <c r="G706" s="28">
        <f>SUMIFS(G707:G1509,K707:K1509,"0",B707:B1509,"5 1 1 3 4 12 31111 6 M78 01000 131 00C*")</f>
        <v>0</v>
      </c>
      <c r="H706" s="28">
        <f t="shared" si="15"/>
        <v>413465.57</v>
      </c>
      <c r="I706" s="28"/>
      <c r="K706" t="s">
        <v>15</v>
      </c>
    </row>
    <row r="707" spans="2:11" ht="22" x14ac:dyDescent="0.15">
      <c r="B707" s="27" t="s">
        <v>1005</v>
      </c>
      <c r="C707" s="27" t="s">
        <v>9</v>
      </c>
      <c r="D707" s="28">
        <f>SUMIFS(D708:D1509,K708:K1509,"0",B708:B1509,"5 1 1 3 4 12 31111 6 M78 01000 131 00C 001*")-SUMIFS(E708:E1509,K708:K1509,"0",B708:B1509,"5 1 1 3 4 12 31111 6 M78 01000 131 00C 001*")</f>
        <v>0</v>
      </c>
      <c r="E707" s="29"/>
      <c r="F707" s="28">
        <f>SUMIFS(F708:F1509,K708:K1509,"0",B708:B1509,"5 1 1 3 4 12 31111 6 M78 01000 131 00C 001*")</f>
        <v>413465.57</v>
      </c>
      <c r="G707" s="28">
        <f>SUMIFS(G708:G1509,K708:K1509,"0",B708:B1509,"5 1 1 3 4 12 31111 6 M78 01000 131 00C 001*")</f>
        <v>0</v>
      </c>
      <c r="H707" s="28">
        <f t="shared" si="15"/>
        <v>413465.57</v>
      </c>
      <c r="I707" s="28"/>
      <c r="K707" t="s">
        <v>15</v>
      </c>
    </row>
    <row r="708" spans="2:11" ht="22" x14ac:dyDescent="0.15">
      <c r="B708" s="27" t="s">
        <v>1006</v>
      </c>
      <c r="C708" s="27" t="s">
        <v>1007</v>
      </c>
      <c r="D708" s="28">
        <f>SUMIFS(D709:D1509,K709:K1509,"0",B709:B1509,"5 1 1 3 4 12 31111 6 M78 01000 131 00C 001 13403*")-SUMIFS(E709:E1509,K709:K1509,"0",B709:B1509,"5 1 1 3 4 12 31111 6 M78 01000 131 00C 001 13403*")</f>
        <v>0</v>
      </c>
      <c r="E708" s="29"/>
      <c r="F708" s="28">
        <f>SUMIFS(F709:F1509,K709:K1509,"0",B709:B1509,"5 1 1 3 4 12 31111 6 M78 01000 131 00C 001 13403*")</f>
        <v>329482.3</v>
      </c>
      <c r="G708" s="28">
        <f>SUMIFS(G709:G1509,K709:K1509,"0",B709:B1509,"5 1 1 3 4 12 31111 6 M78 01000 131 00C 001 13403*")</f>
        <v>0</v>
      </c>
      <c r="H708" s="28">
        <f t="shared" si="15"/>
        <v>329482.3</v>
      </c>
      <c r="I708" s="28"/>
      <c r="K708" t="s">
        <v>15</v>
      </c>
    </row>
    <row r="709" spans="2:11" ht="22" x14ac:dyDescent="0.15">
      <c r="B709" s="27" t="s">
        <v>1008</v>
      </c>
      <c r="C709" s="27" t="s">
        <v>176</v>
      </c>
      <c r="D709" s="28">
        <f>SUMIFS(D710:D1509,K710:K1509,"0",B710:B1509,"5 1 1 3 4 12 31111 6 M78 01000 131 00C 001 13403 015*")-SUMIFS(E710:E1509,K710:K1509,"0",B710:B1509,"5 1 1 3 4 12 31111 6 M78 01000 131 00C 001 13403 015*")</f>
        <v>0</v>
      </c>
      <c r="E709" s="29"/>
      <c r="F709" s="28">
        <f>SUMIFS(F710:F1509,K710:K1509,"0",B710:B1509,"5 1 1 3 4 12 31111 6 M78 01000 131 00C 001 13403 015*")</f>
        <v>329482.3</v>
      </c>
      <c r="G709" s="28">
        <f>SUMIFS(G710:G1509,K710:K1509,"0",B710:B1509,"5 1 1 3 4 12 31111 6 M78 01000 131 00C 001 13403 015*")</f>
        <v>0</v>
      </c>
      <c r="H709" s="28">
        <f t="shared" si="15"/>
        <v>329482.3</v>
      </c>
      <c r="I709" s="28"/>
      <c r="K709" t="s">
        <v>15</v>
      </c>
    </row>
    <row r="710" spans="2:11" ht="22" x14ac:dyDescent="0.15">
      <c r="B710" s="27" t="s">
        <v>1009</v>
      </c>
      <c r="C710" s="27" t="s">
        <v>744</v>
      </c>
      <c r="D710" s="28">
        <f>SUMIFS(D711:D1509,K711:K1509,"0",B711:B1509,"5 1 1 3 4 12 31111 6 M78 01000 131 00C 001 13403 015 2111100*")-SUMIFS(E711:E1509,K711:K1509,"0",B711:B1509,"5 1 1 3 4 12 31111 6 M78 01000 131 00C 001 13403 015 2111100*")</f>
        <v>0</v>
      </c>
      <c r="E710" s="29"/>
      <c r="F710" s="28">
        <f>SUMIFS(F711:F1509,K711:K1509,"0",B711:B1509,"5 1 1 3 4 12 31111 6 M78 01000 131 00C 001 13403 015 2111100*")</f>
        <v>329482.3</v>
      </c>
      <c r="G710" s="28">
        <f>SUMIFS(G711:G1509,K711:K1509,"0",B711:B1509,"5 1 1 3 4 12 31111 6 M78 01000 131 00C 001 13403 015 2111100*")</f>
        <v>0</v>
      </c>
      <c r="H710" s="28">
        <f t="shared" si="15"/>
        <v>329482.3</v>
      </c>
      <c r="I710" s="28"/>
      <c r="K710" t="s">
        <v>15</v>
      </c>
    </row>
    <row r="711" spans="2:11" ht="22" x14ac:dyDescent="0.15">
      <c r="B711" s="27" t="s">
        <v>1010</v>
      </c>
      <c r="C711" s="27" t="s">
        <v>248</v>
      </c>
      <c r="D711" s="28">
        <f>SUMIFS(D712:D1509,K712:K1509,"0",B712:B1509,"5 1 1 3 4 12 31111 6 M78 01000 131 00C 001 13403 015 2111100 2024*")-SUMIFS(E712:E1509,K712:K1509,"0",B712:B1509,"5 1 1 3 4 12 31111 6 M78 01000 131 00C 001 13403 015 2111100 2024*")</f>
        <v>0</v>
      </c>
      <c r="E711" s="29"/>
      <c r="F711" s="28">
        <f>SUMIFS(F712:F1509,K712:K1509,"0",B712:B1509,"5 1 1 3 4 12 31111 6 M78 01000 131 00C 001 13403 015 2111100 2024*")</f>
        <v>329482.3</v>
      </c>
      <c r="G711" s="28">
        <f>SUMIFS(G712:G1509,K712:K1509,"0",B712:B1509,"5 1 1 3 4 12 31111 6 M78 01000 131 00C 001 13403 015 2111100 2024*")</f>
        <v>0</v>
      </c>
      <c r="H711" s="28">
        <f t="shared" si="15"/>
        <v>329482.3</v>
      </c>
      <c r="I711" s="28"/>
      <c r="K711" t="s">
        <v>15</v>
      </c>
    </row>
    <row r="712" spans="2:11" ht="22" x14ac:dyDescent="0.15">
      <c r="B712" s="27" t="s">
        <v>1011</v>
      </c>
      <c r="C712" s="27" t="s">
        <v>182</v>
      </c>
      <c r="D712" s="28">
        <f>SUMIFS(D713:D1509,K713:K1509,"0",B713:B1509,"5 1 1 3 4 12 31111 6 M78 01000 131 00C 001 13403 015 2111100 2024 00000000*")-SUMIFS(E713:E1509,K713:K1509,"0",B713:B1509,"5 1 1 3 4 12 31111 6 M78 01000 131 00C 001 13403 015 2111100 2024 00000000*")</f>
        <v>0</v>
      </c>
      <c r="E712" s="29"/>
      <c r="F712" s="28">
        <f>SUMIFS(F713:F1509,K713:K1509,"0",B713:B1509,"5 1 1 3 4 12 31111 6 M78 01000 131 00C 001 13403 015 2111100 2024 00000000*")</f>
        <v>329482.3</v>
      </c>
      <c r="G712" s="28">
        <f>SUMIFS(G713:G1509,K713:K1509,"0",B713:B1509,"5 1 1 3 4 12 31111 6 M78 01000 131 00C 001 13403 015 2111100 2024 00000000*")</f>
        <v>0</v>
      </c>
      <c r="H712" s="28">
        <f t="shared" si="15"/>
        <v>329482.3</v>
      </c>
      <c r="I712" s="28"/>
      <c r="K712" t="s">
        <v>15</v>
      </c>
    </row>
    <row r="713" spans="2:11" ht="33" x14ac:dyDescent="0.15">
      <c r="B713" s="27" t="s">
        <v>1012</v>
      </c>
      <c r="C713" s="27" t="s">
        <v>9</v>
      </c>
      <c r="D713" s="28">
        <f>SUMIFS(D714:D1509,K714:K1509,"0",B714:B1509,"5 1 1 3 4 12 31111 6 M78 01000 131 00C 001 13403 015 2111100 2024 00000000 001*")-SUMIFS(E714:E1509,K714:K1509,"0",B714:B1509,"5 1 1 3 4 12 31111 6 M78 01000 131 00C 001 13403 015 2111100 2024 00000000 001*")</f>
        <v>0</v>
      </c>
      <c r="E713" s="29"/>
      <c r="F713" s="28">
        <f>SUMIFS(F714:F1509,K714:K1509,"0",B714:B1509,"5 1 1 3 4 12 31111 6 M78 01000 131 00C 001 13403 015 2111100 2024 00000000 001*")</f>
        <v>329482.3</v>
      </c>
      <c r="G713" s="28">
        <f>SUMIFS(G714:G1509,K714:K1509,"0",B714:B1509,"5 1 1 3 4 12 31111 6 M78 01000 131 00C 001 13403 015 2111100 2024 00000000 001*")</f>
        <v>0</v>
      </c>
      <c r="H713" s="28">
        <f t="shared" si="15"/>
        <v>329482.3</v>
      </c>
      <c r="I713" s="28"/>
      <c r="K713" t="s">
        <v>15</v>
      </c>
    </row>
    <row r="714" spans="2:11" ht="33" x14ac:dyDescent="0.15">
      <c r="B714" s="27" t="s">
        <v>1013</v>
      </c>
      <c r="C714" s="27" t="s">
        <v>749</v>
      </c>
      <c r="D714" s="28">
        <f>SUMIFS(D715:D1509,K715:K1509,"0",B715:B1509,"5 1 1 3 4 12 31111 6 M78 01000 131 00C 001 13403 015 2111100 2024 00000000 001 001*")-SUMIFS(E715:E1509,K715:K1509,"0",B715:B1509,"5 1 1 3 4 12 31111 6 M78 01000 131 00C 001 13403 015 2111100 2024 00000000 001 001*")</f>
        <v>0</v>
      </c>
      <c r="E714" s="29"/>
      <c r="F714" s="28">
        <f>SUMIFS(F715:F1509,K715:K1509,"0",B715:B1509,"5 1 1 3 4 12 31111 6 M78 01000 131 00C 001 13403 015 2111100 2024 00000000 001 001*")</f>
        <v>329482.3</v>
      </c>
      <c r="G714" s="28">
        <f>SUMIFS(G715:G1509,K715:K1509,"0",B715:B1509,"5 1 1 3 4 12 31111 6 M78 01000 131 00C 001 13403 015 2111100 2024 00000000 001 001*")</f>
        <v>0</v>
      </c>
      <c r="H714" s="28">
        <f t="shared" si="15"/>
        <v>329482.3</v>
      </c>
      <c r="I714" s="28"/>
      <c r="K714" t="s">
        <v>15</v>
      </c>
    </row>
    <row r="715" spans="2:11" ht="33" x14ac:dyDescent="0.15">
      <c r="B715" s="30" t="s">
        <v>1014</v>
      </c>
      <c r="C715" s="30" t="s">
        <v>1015</v>
      </c>
      <c r="D715" s="31">
        <v>0</v>
      </c>
      <c r="E715" s="31"/>
      <c r="F715" s="31">
        <v>329482.3</v>
      </c>
      <c r="G715" s="31">
        <v>0</v>
      </c>
      <c r="H715" s="31">
        <f t="shared" si="15"/>
        <v>329482.3</v>
      </c>
      <c r="I715" s="31"/>
      <c r="K715" t="s">
        <v>38</v>
      </c>
    </row>
    <row r="716" spans="2:11" ht="22" x14ac:dyDescent="0.15">
      <c r="B716" s="27" t="s">
        <v>1016</v>
      </c>
      <c r="C716" s="27" t="s">
        <v>1017</v>
      </c>
      <c r="D716" s="28">
        <f>SUMIFS(D717:D1509,K717:K1509,"0",B717:B1509,"5 1 1 3 4 12 31111 6 M78 01000 131 00C 001 13406*")-SUMIFS(E717:E1509,K717:K1509,"0",B717:B1509,"5 1 1 3 4 12 31111 6 M78 01000 131 00C 001 13406*")</f>
        <v>0</v>
      </c>
      <c r="E716" s="29"/>
      <c r="F716" s="28">
        <f>SUMIFS(F717:F1509,K717:K1509,"0",B717:B1509,"5 1 1 3 4 12 31111 6 M78 01000 131 00C 001 13406*")</f>
        <v>83983.27</v>
      </c>
      <c r="G716" s="28">
        <f>SUMIFS(G717:G1509,K717:K1509,"0",B717:B1509,"5 1 1 3 4 12 31111 6 M78 01000 131 00C 001 13406*")</f>
        <v>0</v>
      </c>
      <c r="H716" s="28">
        <f t="shared" si="15"/>
        <v>83983.27</v>
      </c>
      <c r="I716" s="28"/>
      <c r="K716" t="s">
        <v>15</v>
      </c>
    </row>
    <row r="717" spans="2:11" ht="22" x14ac:dyDescent="0.15">
      <c r="B717" s="27" t="s">
        <v>1018</v>
      </c>
      <c r="C717" s="27" t="s">
        <v>176</v>
      </c>
      <c r="D717" s="28">
        <f>SUMIFS(D718:D1509,K718:K1509,"0",B718:B1509,"5 1 1 3 4 12 31111 6 M78 01000 131 00C 001 13406 015*")-SUMIFS(E718:E1509,K718:K1509,"0",B718:B1509,"5 1 1 3 4 12 31111 6 M78 01000 131 00C 001 13406 015*")</f>
        <v>0</v>
      </c>
      <c r="E717" s="29"/>
      <c r="F717" s="28">
        <f>SUMIFS(F718:F1509,K718:K1509,"0",B718:B1509,"5 1 1 3 4 12 31111 6 M78 01000 131 00C 001 13406 015*")</f>
        <v>83983.27</v>
      </c>
      <c r="G717" s="28">
        <f>SUMIFS(G718:G1509,K718:K1509,"0",B718:B1509,"5 1 1 3 4 12 31111 6 M78 01000 131 00C 001 13406 015*")</f>
        <v>0</v>
      </c>
      <c r="H717" s="28">
        <f t="shared" si="15"/>
        <v>83983.27</v>
      </c>
      <c r="I717" s="28"/>
      <c r="K717" t="s">
        <v>15</v>
      </c>
    </row>
    <row r="718" spans="2:11" ht="22" x14ac:dyDescent="0.15">
      <c r="B718" s="27" t="s">
        <v>1019</v>
      </c>
      <c r="C718" s="27" t="s">
        <v>744</v>
      </c>
      <c r="D718" s="28">
        <f>SUMIFS(D719:D1509,K719:K1509,"0",B719:B1509,"5 1 1 3 4 12 31111 6 M78 01000 131 00C 001 13406 015 2111100*")-SUMIFS(E719:E1509,K719:K1509,"0",B719:B1509,"5 1 1 3 4 12 31111 6 M78 01000 131 00C 001 13406 015 2111100*")</f>
        <v>0</v>
      </c>
      <c r="E718" s="29"/>
      <c r="F718" s="28">
        <f>SUMIFS(F719:F1509,K719:K1509,"0",B719:B1509,"5 1 1 3 4 12 31111 6 M78 01000 131 00C 001 13406 015 2111100*")</f>
        <v>83983.27</v>
      </c>
      <c r="G718" s="28">
        <f>SUMIFS(G719:G1509,K719:K1509,"0",B719:B1509,"5 1 1 3 4 12 31111 6 M78 01000 131 00C 001 13406 015 2111100*")</f>
        <v>0</v>
      </c>
      <c r="H718" s="28">
        <f t="shared" si="15"/>
        <v>83983.27</v>
      </c>
      <c r="I718" s="28"/>
      <c r="K718" t="s">
        <v>15</v>
      </c>
    </row>
    <row r="719" spans="2:11" ht="22" x14ac:dyDescent="0.15">
      <c r="B719" s="27" t="s">
        <v>1020</v>
      </c>
      <c r="C719" s="27" t="s">
        <v>248</v>
      </c>
      <c r="D719" s="28">
        <f>SUMIFS(D720:D1509,K720:K1509,"0",B720:B1509,"5 1 1 3 4 12 31111 6 M78 01000 131 00C 001 13406 015 2111100 2024*")-SUMIFS(E720:E1509,K720:K1509,"0",B720:B1509,"5 1 1 3 4 12 31111 6 M78 01000 131 00C 001 13406 015 2111100 2024*")</f>
        <v>0</v>
      </c>
      <c r="E719" s="29"/>
      <c r="F719" s="28">
        <f>SUMIFS(F720:F1509,K720:K1509,"0",B720:B1509,"5 1 1 3 4 12 31111 6 M78 01000 131 00C 001 13406 015 2111100 2024*")</f>
        <v>83983.27</v>
      </c>
      <c r="G719" s="28">
        <f>SUMIFS(G720:G1509,K720:K1509,"0",B720:B1509,"5 1 1 3 4 12 31111 6 M78 01000 131 00C 001 13406 015 2111100 2024*")</f>
        <v>0</v>
      </c>
      <c r="H719" s="28">
        <f t="shared" si="15"/>
        <v>83983.27</v>
      </c>
      <c r="I719" s="28"/>
      <c r="K719" t="s">
        <v>15</v>
      </c>
    </row>
    <row r="720" spans="2:11" ht="22" x14ac:dyDescent="0.15">
      <c r="B720" s="27" t="s">
        <v>1021</v>
      </c>
      <c r="C720" s="27" t="s">
        <v>182</v>
      </c>
      <c r="D720" s="28">
        <f>SUMIFS(D721:D1509,K721:K1509,"0",B721:B1509,"5 1 1 3 4 12 31111 6 M78 01000 131 00C 001 13406 015 2111100 2024 00000000*")-SUMIFS(E721:E1509,K721:K1509,"0",B721:B1509,"5 1 1 3 4 12 31111 6 M78 01000 131 00C 001 13406 015 2111100 2024 00000000*")</f>
        <v>0</v>
      </c>
      <c r="E720" s="29"/>
      <c r="F720" s="28">
        <f>SUMIFS(F721:F1509,K721:K1509,"0",B721:B1509,"5 1 1 3 4 12 31111 6 M78 01000 131 00C 001 13406 015 2111100 2024 00000000*")</f>
        <v>83983.27</v>
      </c>
      <c r="G720" s="28">
        <f>SUMIFS(G721:G1509,K721:K1509,"0",B721:B1509,"5 1 1 3 4 12 31111 6 M78 01000 131 00C 001 13406 015 2111100 2024 00000000*")</f>
        <v>0</v>
      </c>
      <c r="H720" s="28">
        <f t="shared" si="15"/>
        <v>83983.27</v>
      </c>
      <c r="I720" s="28"/>
      <c r="K720" t="s">
        <v>15</v>
      </c>
    </row>
    <row r="721" spans="2:11" ht="33" x14ac:dyDescent="0.15">
      <c r="B721" s="27" t="s">
        <v>1022</v>
      </c>
      <c r="C721" s="27" t="s">
        <v>9</v>
      </c>
      <c r="D721" s="28">
        <f>SUMIFS(D722:D1509,K722:K1509,"0",B722:B1509,"5 1 1 3 4 12 31111 6 M78 01000 131 00C 001 13406 015 2111100 2024 00000000 001*")-SUMIFS(E722:E1509,K722:K1509,"0",B722:B1509,"5 1 1 3 4 12 31111 6 M78 01000 131 00C 001 13406 015 2111100 2024 00000000 001*")</f>
        <v>0</v>
      </c>
      <c r="E721" s="29"/>
      <c r="F721" s="28">
        <f>SUMIFS(F722:F1509,K722:K1509,"0",B722:B1509,"5 1 1 3 4 12 31111 6 M78 01000 131 00C 001 13406 015 2111100 2024 00000000 001*")</f>
        <v>83983.27</v>
      </c>
      <c r="G721" s="28">
        <f>SUMIFS(G722:G1509,K722:K1509,"0",B722:B1509,"5 1 1 3 4 12 31111 6 M78 01000 131 00C 001 13406 015 2111100 2024 00000000 001*")</f>
        <v>0</v>
      </c>
      <c r="H721" s="28">
        <f t="shared" si="15"/>
        <v>83983.27</v>
      </c>
      <c r="I721" s="28"/>
      <c r="K721" t="s">
        <v>15</v>
      </c>
    </row>
    <row r="722" spans="2:11" ht="33" x14ac:dyDescent="0.15">
      <c r="B722" s="27" t="s">
        <v>1023</v>
      </c>
      <c r="C722" s="27" t="s">
        <v>749</v>
      </c>
      <c r="D722" s="28">
        <f>SUMIFS(D723:D1509,K723:K1509,"0",B723:B1509,"5 1 1 3 4 12 31111 6 M78 01000 131 00C 001 13406 015 2111100 2024 00000000 001 001*")-SUMIFS(E723:E1509,K723:K1509,"0",B723:B1509,"5 1 1 3 4 12 31111 6 M78 01000 131 00C 001 13406 015 2111100 2024 00000000 001 001*")</f>
        <v>0</v>
      </c>
      <c r="E722" s="29"/>
      <c r="F722" s="28">
        <f>SUMIFS(F723:F1509,K723:K1509,"0",B723:B1509,"5 1 1 3 4 12 31111 6 M78 01000 131 00C 001 13406 015 2111100 2024 00000000 001 001*")</f>
        <v>83983.27</v>
      </c>
      <c r="G722" s="28">
        <f>SUMIFS(G723:G1509,K723:K1509,"0",B723:B1509,"5 1 1 3 4 12 31111 6 M78 01000 131 00C 001 13406 015 2111100 2024 00000000 001 001*")</f>
        <v>0</v>
      </c>
      <c r="H722" s="28">
        <f t="shared" si="15"/>
        <v>83983.27</v>
      </c>
      <c r="I722" s="28"/>
      <c r="K722" t="s">
        <v>15</v>
      </c>
    </row>
    <row r="723" spans="2:11" ht="33" x14ac:dyDescent="0.15">
      <c r="B723" s="30" t="s">
        <v>1024</v>
      </c>
      <c r="C723" s="30" t="s">
        <v>1025</v>
      </c>
      <c r="D723" s="31">
        <v>0</v>
      </c>
      <c r="E723" s="31"/>
      <c r="F723" s="31">
        <v>83983.27</v>
      </c>
      <c r="G723" s="31">
        <v>0</v>
      </c>
      <c r="H723" s="31">
        <f t="shared" si="15"/>
        <v>83983.27</v>
      </c>
      <c r="I723" s="31"/>
      <c r="K723" t="s">
        <v>38</v>
      </c>
    </row>
    <row r="724" spans="2:11" ht="13" x14ac:dyDescent="0.15">
      <c r="B724" s="27" t="s">
        <v>1026</v>
      </c>
      <c r="C724" s="27" t="s">
        <v>753</v>
      </c>
      <c r="D724" s="28">
        <f>SUMIFS(D725:D1509,K725:K1509,"0",B725:B1509,"5 1 1 3 4 12 31111 6 M78 02000*")-SUMIFS(E725:E1509,K725:K1509,"0",B725:B1509,"5 1 1 3 4 12 31111 6 M78 02000*")</f>
        <v>0</v>
      </c>
      <c r="E724" s="29"/>
      <c r="F724" s="28">
        <f>SUMIFS(F725:F1509,K725:K1509,"0",B725:B1509,"5 1 1 3 4 12 31111 6 M78 02000*")</f>
        <v>176208.18</v>
      </c>
      <c r="G724" s="28">
        <f>SUMIFS(G725:G1509,K725:K1509,"0",B725:B1509,"5 1 1 3 4 12 31111 6 M78 02000*")</f>
        <v>0</v>
      </c>
      <c r="H724" s="28">
        <f t="shared" si="15"/>
        <v>176208.18</v>
      </c>
      <c r="I724" s="28"/>
      <c r="K724" t="s">
        <v>15</v>
      </c>
    </row>
    <row r="725" spans="2:11" ht="13" x14ac:dyDescent="0.15">
      <c r="B725" s="27" t="s">
        <v>1027</v>
      </c>
      <c r="C725" s="27" t="s">
        <v>755</v>
      </c>
      <c r="D725" s="28">
        <f>SUMIFS(D726:D1509,K726:K1509,"0",B726:B1509,"5 1 1 3 4 12 31111 6 M78 02000 122*")-SUMIFS(E726:E1509,K726:K1509,"0",B726:B1509,"5 1 1 3 4 12 31111 6 M78 02000 122*")</f>
        <v>0</v>
      </c>
      <c r="E725" s="29"/>
      <c r="F725" s="28">
        <f>SUMIFS(F726:F1509,K726:K1509,"0",B726:B1509,"5 1 1 3 4 12 31111 6 M78 02000 122*")</f>
        <v>176208.18</v>
      </c>
      <c r="G725" s="28">
        <f>SUMIFS(G726:G1509,K726:K1509,"0",B726:B1509,"5 1 1 3 4 12 31111 6 M78 02000 122*")</f>
        <v>0</v>
      </c>
      <c r="H725" s="28">
        <f t="shared" si="15"/>
        <v>176208.18</v>
      </c>
      <c r="I725" s="28"/>
      <c r="K725" t="s">
        <v>15</v>
      </c>
    </row>
    <row r="726" spans="2:11" ht="13" x14ac:dyDescent="0.15">
      <c r="B726" s="27" t="s">
        <v>1028</v>
      </c>
      <c r="C726" s="27" t="s">
        <v>170</v>
      </c>
      <c r="D726" s="28">
        <f>SUMIFS(D727:D1509,K727:K1509,"0",B727:B1509,"5 1 1 3 4 12 31111 6 M78 02000 122 00C*")-SUMIFS(E727:E1509,K727:K1509,"0",B727:B1509,"5 1 1 3 4 12 31111 6 M78 02000 122 00C*")</f>
        <v>0</v>
      </c>
      <c r="E726" s="29"/>
      <c r="F726" s="28">
        <f>SUMIFS(F727:F1509,K727:K1509,"0",B727:B1509,"5 1 1 3 4 12 31111 6 M78 02000 122 00C*")</f>
        <v>176208.18</v>
      </c>
      <c r="G726" s="28">
        <f>SUMIFS(G727:G1509,K727:K1509,"0",B727:B1509,"5 1 1 3 4 12 31111 6 M78 02000 122 00C*")</f>
        <v>0</v>
      </c>
      <c r="H726" s="28">
        <f t="shared" si="15"/>
        <v>176208.18</v>
      </c>
      <c r="I726" s="28"/>
      <c r="K726" t="s">
        <v>15</v>
      </c>
    </row>
    <row r="727" spans="2:11" ht="22" x14ac:dyDescent="0.15">
      <c r="B727" s="27" t="s">
        <v>1029</v>
      </c>
      <c r="C727" s="27" t="s">
        <v>9</v>
      </c>
      <c r="D727" s="28">
        <f>SUMIFS(D728:D1509,K728:K1509,"0",B728:B1509,"5 1 1 3 4 12 31111 6 M78 02000 122 00C 001*")-SUMIFS(E728:E1509,K728:K1509,"0",B728:B1509,"5 1 1 3 4 12 31111 6 M78 02000 122 00C 001*")</f>
        <v>0</v>
      </c>
      <c r="E727" s="29"/>
      <c r="F727" s="28">
        <f>SUMIFS(F728:F1509,K728:K1509,"0",B728:B1509,"5 1 1 3 4 12 31111 6 M78 02000 122 00C 001*")</f>
        <v>176208.18</v>
      </c>
      <c r="G727" s="28">
        <f>SUMIFS(G728:G1509,K728:K1509,"0",B728:B1509,"5 1 1 3 4 12 31111 6 M78 02000 122 00C 001*")</f>
        <v>0</v>
      </c>
      <c r="H727" s="28">
        <f t="shared" si="15"/>
        <v>176208.18</v>
      </c>
      <c r="I727" s="28"/>
      <c r="K727" t="s">
        <v>15</v>
      </c>
    </row>
    <row r="728" spans="2:11" ht="22" x14ac:dyDescent="0.15">
      <c r="B728" s="27" t="s">
        <v>1030</v>
      </c>
      <c r="C728" s="27" t="s">
        <v>1007</v>
      </c>
      <c r="D728" s="28">
        <f>SUMIFS(D729:D1509,K729:K1509,"0",B729:B1509,"5 1 1 3 4 12 31111 6 M78 02000 122 00C 001 13403*")-SUMIFS(E729:E1509,K729:K1509,"0",B729:B1509,"5 1 1 3 4 12 31111 6 M78 02000 122 00C 001 13403*")</f>
        <v>0</v>
      </c>
      <c r="E728" s="29"/>
      <c r="F728" s="28">
        <f>SUMIFS(F729:F1509,K729:K1509,"0",B729:B1509,"5 1 1 3 4 12 31111 6 M78 02000 122 00C 001 13403*")</f>
        <v>125698.21</v>
      </c>
      <c r="G728" s="28">
        <f>SUMIFS(G729:G1509,K729:K1509,"0",B729:B1509,"5 1 1 3 4 12 31111 6 M78 02000 122 00C 001 13403*")</f>
        <v>0</v>
      </c>
      <c r="H728" s="28">
        <f t="shared" si="15"/>
        <v>125698.21</v>
      </c>
      <c r="I728" s="28"/>
      <c r="K728" t="s">
        <v>15</v>
      </c>
    </row>
    <row r="729" spans="2:11" ht="22" x14ac:dyDescent="0.15">
      <c r="B729" s="27" t="s">
        <v>1031</v>
      </c>
      <c r="C729" s="27" t="s">
        <v>176</v>
      </c>
      <c r="D729" s="28">
        <f>SUMIFS(D730:D1509,K730:K1509,"0",B730:B1509,"5 1 1 3 4 12 31111 6 M78 02000 122 00C 001 13403 015*")-SUMIFS(E730:E1509,K730:K1509,"0",B730:B1509,"5 1 1 3 4 12 31111 6 M78 02000 122 00C 001 13403 015*")</f>
        <v>0</v>
      </c>
      <c r="E729" s="29"/>
      <c r="F729" s="28">
        <f>SUMIFS(F730:F1509,K730:K1509,"0",B730:B1509,"5 1 1 3 4 12 31111 6 M78 02000 122 00C 001 13403 015*")</f>
        <v>125698.21</v>
      </c>
      <c r="G729" s="28">
        <f>SUMIFS(G730:G1509,K730:K1509,"0",B730:B1509,"5 1 1 3 4 12 31111 6 M78 02000 122 00C 001 13403 015*")</f>
        <v>0</v>
      </c>
      <c r="H729" s="28">
        <f t="shared" si="15"/>
        <v>125698.21</v>
      </c>
      <c r="I729" s="28"/>
      <c r="K729" t="s">
        <v>15</v>
      </c>
    </row>
    <row r="730" spans="2:11" ht="22" x14ac:dyDescent="0.15">
      <c r="B730" s="27" t="s">
        <v>1032</v>
      </c>
      <c r="C730" s="27" t="s">
        <v>744</v>
      </c>
      <c r="D730" s="28">
        <f>SUMIFS(D731:D1509,K731:K1509,"0",B731:B1509,"5 1 1 3 4 12 31111 6 M78 02000 122 00C 001 13403 015 2111100*")-SUMIFS(E731:E1509,K731:K1509,"0",B731:B1509,"5 1 1 3 4 12 31111 6 M78 02000 122 00C 001 13403 015 2111100*")</f>
        <v>0</v>
      </c>
      <c r="E730" s="29"/>
      <c r="F730" s="28">
        <f>SUMIFS(F731:F1509,K731:K1509,"0",B731:B1509,"5 1 1 3 4 12 31111 6 M78 02000 122 00C 001 13403 015 2111100*")</f>
        <v>125698.21</v>
      </c>
      <c r="G730" s="28">
        <f>SUMIFS(G731:G1509,K731:K1509,"0",B731:B1509,"5 1 1 3 4 12 31111 6 M78 02000 122 00C 001 13403 015 2111100*")</f>
        <v>0</v>
      </c>
      <c r="H730" s="28">
        <f t="shared" si="15"/>
        <v>125698.21</v>
      </c>
      <c r="I730" s="28"/>
      <c r="K730" t="s">
        <v>15</v>
      </c>
    </row>
    <row r="731" spans="2:11" ht="22" x14ac:dyDescent="0.15">
      <c r="B731" s="27" t="s">
        <v>1033</v>
      </c>
      <c r="C731" s="27" t="s">
        <v>248</v>
      </c>
      <c r="D731" s="28">
        <f>SUMIFS(D732:D1509,K732:K1509,"0",B732:B1509,"5 1 1 3 4 12 31111 6 M78 02000 122 00C 001 13403 015 2111100 2024*")-SUMIFS(E732:E1509,K732:K1509,"0",B732:B1509,"5 1 1 3 4 12 31111 6 M78 02000 122 00C 001 13403 015 2111100 2024*")</f>
        <v>0</v>
      </c>
      <c r="E731" s="29"/>
      <c r="F731" s="28">
        <f>SUMIFS(F732:F1509,K732:K1509,"0",B732:B1509,"5 1 1 3 4 12 31111 6 M78 02000 122 00C 001 13403 015 2111100 2024*")</f>
        <v>125698.21</v>
      </c>
      <c r="G731" s="28">
        <f>SUMIFS(G732:G1509,K732:K1509,"0",B732:B1509,"5 1 1 3 4 12 31111 6 M78 02000 122 00C 001 13403 015 2111100 2024*")</f>
        <v>0</v>
      </c>
      <c r="H731" s="28">
        <f t="shared" si="15"/>
        <v>125698.21</v>
      </c>
      <c r="I731" s="28"/>
      <c r="K731" t="s">
        <v>15</v>
      </c>
    </row>
    <row r="732" spans="2:11" ht="22" x14ac:dyDescent="0.15">
      <c r="B732" s="27" t="s">
        <v>1034</v>
      </c>
      <c r="C732" s="27" t="s">
        <v>182</v>
      </c>
      <c r="D732" s="28">
        <f>SUMIFS(D733:D1509,K733:K1509,"0",B733:B1509,"5 1 1 3 4 12 31111 6 M78 02000 122 00C 001 13403 015 2111100 2024 00000000*")-SUMIFS(E733:E1509,K733:K1509,"0",B733:B1509,"5 1 1 3 4 12 31111 6 M78 02000 122 00C 001 13403 015 2111100 2024 00000000*")</f>
        <v>0</v>
      </c>
      <c r="E732" s="29"/>
      <c r="F732" s="28">
        <f>SUMIFS(F733:F1509,K733:K1509,"0",B733:B1509,"5 1 1 3 4 12 31111 6 M78 02000 122 00C 001 13403 015 2111100 2024 00000000*")</f>
        <v>125698.21</v>
      </c>
      <c r="G732" s="28">
        <f>SUMIFS(G733:G1509,K733:K1509,"0",B733:B1509,"5 1 1 3 4 12 31111 6 M78 02000 122 00C 001 13403 015 2111100 2024 00000000*")</f>
        <v>0</v>
      </c>
      <c r="H732" s="28">
        <f t="shared" si="15"/>
        <v>125698.21</v>
      </c>
      <c r="I732" s="28"/>
      <c r="K732" t="s">
        <v>15</v>
      </c>
    </row>
    <row r="733" spans="2:11" ht="33" x14ac:dyDescent="0.15">
      <c r="B733" s="27" t="s">
        <v>1035</v>
      </c>
      <c r="C733" s="27" t="s">
        <v>9</v>
      </c>
      <c r="D733" s="28">
        <f>SUMIFS(D734:D1509,K734:K1509,"0",B734:B1509,"5 1 1 3 4 12 31111 6 M78 02000 122 00C 001 13403 015 2111100 2024 00000000 001*")-SUMIFS(E734:E1509,K734:K1509,"0",B734:B1509,"5 1 1 3 4 12 31111 6 M78 02000 122 00C 001 13403 015 2111100 2024 00000000 001*")</f>
        <v>0</v>
      </c>
      <c r="E733" s="29"/>
      <c r="F733" s="28">
        <f>SUMIFS(F734:F1509,K734:K1509,"0",B734:B1509,"5 1 1 3 4 12 31111 6 M78 02000 122 00C 001 13403 015 2111100 2024 00000000 001*")</f>
        <v>125698.21</v>
      </c>
      <c r="G733" s="28">
        <f>SUMIFS(G734:G1509,K734:K1509,"0",B734:B1509,"5 1 1 3 4 12 31111 6 M78 02000 122 00C 001 13403 015 2111100 2024 00000000 001*")</f>
        <v>0</v>
      </c>
      <c r="H733" s="28">
        <f t="shared" si="15"/>
        <v>125698.21</v>
      </c>
      <c r="I733" s="28"/>
      <c r="K733" t="s">
        <v>15</v>
      </c>
    </row>
    <row r="734" spans="2:11" ht="33" x14ac:dyDescent="0.15">
      <c r="B734" s="27" t="s">
        <v>1036</v>
      </c>
      <c r="C734" s="27" t="s">
        <v>765</v>
      </c>
      <c r="D734" s="28">
        <f>SUMIFS(D735:D1509,K735:K1509,"0",B735:B1509,"5 1 1 3 4 12 31111 6 M78 02000 122 00C 001 13403 015 2111100 2024 00000000 001 001*")-SUMIFS(E735:E1509,K735:K1509,"0",B735:B1509,"5 1 1 3 4 12 31111 6 M78 02000 122 00C 001 13403 015 2111100 2024 00000000 001 001*")</f>
        <v>0</v>
      </c>
      <c r="E734" s="29"/>
      <c r="F734" s="28">
        <f>SUMIFS(F735:F1509,K735:K1509,"0",B735:B1509,"5 1 1 3 4 12 31111 6 M78 02000 122 00C 001 13403 015 2111100 2024 00000000 001 001*")</f>
        <v>125698.21</v>
      </c>
      <c r="G734" s="28">
        <f>SUMIFS(G735:G1509,K735:K1509,"0",B735:B1509,"5 1 1 3 4 12 31111 6 M78 02000 122 00C 001 13403 015 2111100 2024 00000000 001 001*")</f>
        <v>0</v>
      </c>
      <c r="H734" s="28">
        <f t="shared" si="15"/>
        <v>125698.21</v>
      </c>
      <c r="I734" s="28"/>
      <c r="K734" t="s">
        <v>15</v>
      </c>
    </row>
    <row r="735" spans="2:11" ht="33" x14ac:dyDescent="0.15">
      <c r="B735" s="30" t="s">
        <v>1037</v>
      </c>
      <c r="C735" s="30" t="s">
        <v>1015</v>
      </c>
      <c r="D735" s="31">
        <v>0</v>
      </c>
      <c r="E735" s="31"/>
      <c r="F735" s="31">
        <v>125698.21</v>
      </c>
      <c r="G735" s="31">
        <v>0</v>
      </c>
      <c r="H735" s="31">
        <f t="shared" si="15"/>
        <v>125698.21</v>
      </c>
      <c r="I735" s="31"/>
      <c r="K735" t="s">
        <v>38</v>
      </c>
    </row>
    <row r="736" spans="2:11" ht="22" x14ac:dyDescent="0.15">
      <c r="B736" s="27" t="s">
        <v>1038</v>
      </c>
      <c r="C736" s="27" t="s">
        <v>1017</v>
      </c>
      <c r="D736" s="28">
        <f>SUMIFS(D737:D1509,K737:K1509,"0",B737:B1509,"5 1 1 3 4 12 31111 6 M78 02000 122 00C 001 13406*")-SUMIFS(E737:E1509,K737:K1509,"0",B737:B1509,"5 1 1 3 4 12 31111 6 M78 02000 122 00C 001 13406*")</f>
        <v>0</v>
      </c>
      <c r="E736" s="29"/>
      <c r="F736" s="28">
        <f>SUMIFS(F737:F1509,K737:K1509,"0",B737:B1509,"5 1 1 3 4 12 31111 6 M78 02000 122 00C 001 13406*")</f>
        <v>50509.97</v>
      </c>
      <c r="G736" s="28">
        <f>SUMIFS(G737:G1509,K737:K1509,"0",B737:B1509,"5 1 1 3 4 12 31111 6 M78 02000 122 00C 001 13406*")</f>
        <v>0</v>
      </c>
      <c r="H736" s="28">
        <f t="shared" ref="H736:H799" si="16">D736 + F736 - G736</f>
        <v>50509.97</v>
      </c>
      <c r="I736" s="28"/>
      <c r="K736" t="s">
        <v>15</v>
      </c>
    </row>
    <row r="737" spans="2:11" ht="22" x14ac:dyDescent="0.15">
      <c r="B737" s="27" t="s">
        <v>1039</v>
      </c>
      <c r="C737" s="27" t="s">
        <v>176</v>
      </c>
      <c r="D737" s="28">
        <f>SUMIFS(D738:D1509,K738:K1509,"0",B738:B1509,"5 1 1 3 4 12 31111 6 M78 02000 122 00C 001 13406 015*")-SUMIFS(E738:E1509,K738:K1509,"0",B738:B1509,"5 1 1 3 4 12 31111 6 M78 02000 122 00C 001 13406 015*")</f>
        <v>0</v>
      </c>
      <c r="E737" s="29"/>
      <c r="F737" s="28">
        <f>SUMIFS(F738:F1509,K738:K1509,"0",B738:B1509,"5 1 1 3 4 12 31111 6 M78 02000 122 00C 001 13406 015*")</f>
        <v>50509.97</v>
      </c>
      <c r="G737" s="28">
        <f>SUMIFS(G738:G1509,K738:K1509,"0",B738:B1509,"5 1 1 3 4 12 31111 6 M78 02000 122 00C 001 13406 015*")</f>
        <v>0</v>
      </c>
      <c r="H737" s="28">
        <f t="shared" si="16"/>
        <v>50509.97</v>
      </c>
      <c r="I737" s="28"/>
      <c r="K737" t="s">
        <v>15</v>
      </c>
    </row>
    <row r="738" spans="2:11" ht="22" x14ac:dyDescent="0.15">
      <c r="B738" s="27" t="s">
        <v>1040</v>
      </c>
      <c r="C738" s="27" t="s">
        <v>744</v>
      </c>
      <c r="D738" s="28">
        <f>SUMIFS(D739:D1509,K739:K1509,"0",B739:B1509,"5 1 1 3 4 12 31111 6 M78 02000 122 00C 001 13406 015 2111100*")-SUMIFS(E739:E1509,K739:K1509,"0",B739:B1509,"5 1 1 3 4 12 31111 6 M78 02000 122 00C 001 13406 015 2111100*")</f>
        <v>0</v>
      </c>
      <c r="E738" s="29"/>
      <c r="F738" s="28">
        <f>SUMIFS(F739:F1509,K739:K1509,"0",B739:B1509,"5 1 1 3 4 12 31111 6 M78 02000 122 00C 001 13406 015 2111100*")</f>
        <v>50509.97</v>
      </c>
      <c r="G738" s="28">
        <f>SUMIFS(G739:G1509,K739:K1509,"0",B739:B1509,"5 1 1 3 4 12 31111 6 M78 02000 122 00C 001 13406 015 2111100*")</f>
        <v>0</v>
      </c>
      <c r="H738" s="28">
        <f t="shared" si="16"/>
        <v>50509.97</v>
      </c>
      <c r="I738" s="28"/>
      <c r="K738" t="s">
        <v>15</v>
      </c>
    </row>
    <row r="739" spans="2:11" ht="22" x14ac:dyDescent="0.15">
      <c r="B739" s="27" t="s">
        <v>1041</v>
      </c>
      <c r="C739" s="27" t="s">
        <v>248</v>
      </c>
      <c r="D739" s="28">
        <f>SUMIFS(D740:D1509,K740:K1509,"0",B740:B1509,"5 1 1 3 4 12 31111 6 M78 02000 122 00C 001 13406 015 2111100 2024*")-SUMIFS(E740:E1509,K740:K1509,"0",B740:B1509,"5 1 1 3 4 12 31111 6 M78 02000 122 00C 001 13406 015 2111100 2024*")</f>
        <v>0</v>
      </c>
      <c r="E739" s="29"/>
      <c r="F739" s="28">
        <f>SUMIFS(F740:F1509,K740:K1509,"0",B740:B1509,"5 1 1 3 4 12 31111 6 M78 02000 122 00C 001 13406 015 2111100 2024*")</f>
        <v>50509.97</v>
      </c>
      <c r="G739" s="28">
        <f>SUMIFS(G740:G1509,K740:K1509,"0",B740:B1509,"5 1 1 3 4 12 31111 6 M78 02000 122 00C 001 13406 015 2111100 2024*")</f>
        <v>0</v>
      </c>
      <c r="H739" s="28">
        <f t="shared" si="16"/>
        <v>50509.97</v>
      </c>
      <c r="I739" s="28"/>
      <c r="K739" t="s">
        <v>15</v>
      </c>
    </row>
    <row r="740" spans="2:11" ht="22" x14ac:dyDescent="0.15">
      <c r="B740" s="27" t="s">
        <v>1042</v>
      </c>
      <c r="C740" s="27" t="s">
        <v>182</v>
      </c>
      <c r="D740" s="28">
        <f>SUMIFS(D741:D1509,K741:K1509,"0",B741:B1509,"5 1 1 3 4 12 31111 6 M78 02000 122 00C 001 13406 015 2111100 2024 00000000*")-SUMIFS(E741:E1509,K741:K1509,"0",B741:B1509,"5 1 1 3 4 12 31111 6 M78 02000 122 00C 001 13406 015 2111100 2024 00000000*")</f>
        <v>0</v>
      </c>
      <c r="E740" s="29"/>
      <c r="F740" s="28">
        <f>SUMIFS(F741:F1509,K741:K1509,"0",B741:B1509,"5 1 1 3 4 12 31111 6 M78 02000 122 00C 001 13406 015 2111100 2024 00000000*")</f>
        <v>50509.97</v>
      </c>
      <c r="G740" s="28">
        <f>SUMIFS(G741:G1509,K741:K1509,"0",B741:B1509,"5 1 1 3 4 12 31111 6 M78 02000 122 00C 001 13406 015 2111100 2024 00000000*")</f>
        <v>0</v>
      </c>
      <c r="H740" s="28">
        <f t="shared" si="16"/>
        <v>50509.97</v>
      </c>
      <c r="I740" s="28"/>
      <c r="K740" t="s">
        <v>15</v>
      </c>
    </row>
    <row r="741" spans="2:11" ht="33" x14ac:dyDescent="0.15">
      <c r="B741" s="27" t="s">
        <v>1043</v>
      </c>
      <c r="C741" s="27" t="s">
        <v>9</v>
      </c>
      <c r="D741" s="28">
        <f>SUMIFS(D742:D1509,K742:K1509,"0",B742:B1509,"5 1 1 3 4 12 31111 6 M78 02000 122 00C 001 13406 015 2111100 2024 00000000 001*")-SUMIFS(E742:E1509,K742:K1509,"0",B742:B1509,"5 1 1 3 4 12 31111 6 M78 02000 122 00C 001 13406 015 2111100 2024 00000000 001*")</f>
        <v>0</v>
      </c>
      <c r="E741" s="29"/>
      <c r="F741" s="28">
        <f>SUMIFS(F742:F1509,K742:K1509,"0",B742:B1509,"5 1 1 3 4 12 31111 6 M78 02000 122 00C 001 13406 015 2111100 2024 00000000 001*")</f>
        <v>50509.97</v>
      </c>
      <c r="G741" s="28">
        <f>SUMIFS(G742:G1509,K742:K1509,"0",B742:B1509,"5 1 1 3 4 12 31111 6 M78 02000 122 00C 001 13406 015 2111100 2024 00000000 001*")</f>
        <v>0</v>
      </c>
      <c r="H741" s="28">
        <f t="shared" si="16"/>
        <v>50509.97</v>
      </c>
      <c r="I741" s="28"/>
      <c r="K741" t="s">
        <v>15</v>
      </c>
    </row>
    <row r="742" spans="2:11" ht="33" x14ac:dyDescent="0.15">
      <c r="B742" s="27" t="s">
        <v>1044</v>
      </c>
      <c r="C742" s="27" t="s">
        <v>765</v>
      </c>
      <c r="D742" s="28">
        <f>SUMIFS(D743:D1509,K743:K1509,"0",B743:B1509,"5 1 1 3 4 12 31111 6 M78 02000 122 00C 001 13406 015 2111100 2024 00000000 001 001*")-SUMIFS(E743:E1509,K743:K1509,"0",B743:B1509,"5 1 1 3 4 12 31111 6 M78 02000 122 00C 001 13406 015 2111100 2024 00000000 001 001*")</f>
        <v>0</v>
      </c>
      <c r="E742" s="29"/>
      <c r="F742" s="28">
        <f>SUMIFS(F743:F1509,K743:K1509,"0",B743:B1509,"5 1 1 3 4 12 31111 6 M78 02000 122 00C 001 13406 015 2111100 2024 00000000 001 001*")</f>
        <v>50509.97</v>
      </c>
      <c r="G742" s="28">
        <f>SUMIFS(G743:G1509,K743:K1509,"0",B743:B1509,"5 1 1 3 4 12 31111 6 M78 02000 122 00C 001 13406 015 2111100 2024 00000000 001 001*")</f>
        <v>0</v>
      </c>
      <c r="H742" s="28">
        <f t="shared" si="16"/>
        <v>50509.97</v>
      </c>
      <c r="I742" s="28"/>
      <c r="K742" t="s">
        <v>15</v>
      </c>
    </row>
    <row r="743" spans="2:11" ht="33" x14ac:dyDescent="0.15">
      <c r="B743" s="30" t="s">
        <v>1045</v>
      </c>
      <c r="C743" s="30" t="s">
        <v>1025</v>
      </c>
      <c r="D743" s="31">
        <v>0</v>
      </c>
      <c r="E743" s="31"/>
      <c r="F743" s="31">
        <v>50509.97</v>
      </c>
      <c r="G743" s="31">
        <v>0</v>
      </c>
      <c r="H743" s="31">
        <f t="shared" si="16"/>
        <v>50509.97</v>
      </c>
      <c r="I743" s="31"/>
      <c r="K743" t="s">
        <v>38</v>
      </c>
    </row>
    <row r="744" spans="2:11" ht="13" x14ac:dyDescent="0.15">
      <c r="B744" s="27" t="s">
        <v>1046</v>
      </c>
      <c r="C744" s="27" t="s">
        <v>768</v>
      </c>
      <c r="D744" s="28">
        <f>SUMIFS(D745:D1509,K745:K1509,"0",B745:B1509,"5 1 1 3 4 12 31111 6 M78 05000*")-SUMIFS(E745:E1509,K745:K1509,"0",B745:B1509,"5 1 1 3 4 12 31111 6 M78 05000*")</f>
        <v>0</v>
      </c>
      <c r="E744" s="29"/>
      <c r="F744" s="28">
        <f>SUMIFS(F745:F1509,K745:K1509,"0",B745:B1509,"5 1 1 3 4 12 31111 6 M78 05000*")</f>
        <v>486846.76</v>
      </c>
      <c r="G744" s="28">
        <f>SUMIFS(G745:G1509,K745:K1509,"0",B745:B1509,"5 1 1 3 4 12 31111 6 M78 05000*")</f>
        <v>0</v>
      </c>
      <c r="H744" s="28">
        <f t="shared" si="16"/>
        <v>486846.76</v>
      </c>
      <c r="I744" s="28"/>
      <c r="K744" t="s">
        <v>15</v>
      </c>
    </row>
    <row r="745" spans="2:11" ht="13" x14ac:dyDescent="0.15">
      <c r="B745" s="27" t="s">
        <v>1047</v>
      </c>
      <c r="C745" s="27" t="s">
        <v>770</v>
      </c>
      <c r="D745" s="28">
        <f>SUMIFS(D746:D1509,K746:K1509,"0",B746:B1509,"5 1 1 3 4 12 31111 6 M78 05000 111*")-SUMIFS(E746:E1509,K746:K1509,"0",B746:B1509,"5 1 1 3 4 12 31111 6 M78 05000 111*")</f>
        <v>0</v>
      </c>
      <c r="E745" s="29"/>
      <c r="F745" s="28">
        <f>SUMIFS(F746:F1509,K746:K1509,"0",B746:B1509,"5 1 1 3 4 12 31111 6 M78 05000 111*")</f>
        <v>486846.76</v>
      </c>
      <c r="G745" s="28">
        <f>SUMIFS(G746:G1509,K746:K1509,"0",B746:B1509,"5 1 1 3 4 12 31111 6 M78 05000 111*")</f>
        <v>0</v>
      </c>
      <c r="H745" s="28">
        <f t="shared" si="16"/>
        <v>486846.76</v>
      </c>
      <c r="I745" s="28"/>
      <c r="K745" t="s">
        <v>15</v>
      </c>
    </row>
    <row r="746" spans="2:11" ht="13" x14ac:dyDescent="0.15">
      <c r="B746" s="27" t="s">
        <v>1048</v>
      </c>
      <c r="C746" s="27" t="s">
        <v>170</v>
      </c>
      <c r="D746" s="28">
        <f>SUMIFS(D747:D1509,K747:K1509,"0",B747:B1509,"5 1 1 3 4 12 31111 6 M78 05000 111 00C*")-SUMIFS(E747:E1509,K747:K1509,"0",B747:B1509,"5 1 1 3 4 12 31111 6 M78 05000 111 00C*")</f>
        <v>0</v>
      </c>
      <c r="E746" s="29"/>
      <c r="F746" s="28">
        <f>SUMIFS(F747:F1509,K747:K1509,"0",B747:B1509,"5 1 1 3 4 12 31111 6 M78 05000 111 00C*")</f>
        <v>486846.76</v>
      </c>
      <c r="G746" s="28">
        <f>SUMIFS(G747:G1509,K747:K1509,"0",B747:B1509,"5 1 1 3 4 12 31111 6 M78 05000 111 00C*")</f>
        <v>0</v>
      </c>
      <c r="H746" s="28">
        <f t="shared" si="16"/>
        <v>486846.76</v>
      </c>
      <c r="I746" s="28"/>
      <c r="K746" t="s">
        <v>15</v>
      </c>
    </row>
    <row r="747" spans="2:11" ht="22" x14ac:dyDescent="0.15">
      <c r="B747" s="27" t="s">
        <v>1049</v>
      </c>
      <c r="C747" s="27" t="s">
        <v>9</v>
      </c>
      <c r="D747" s="28">
        <f>SUMIFS(D748:D1509,K748:K1509,"0",B748:B1509,"5 1 1 3 4 12 31111 6 M78 05000 111 00C 001*")-SUMIFS(E748:E1509,K748:K1509,"0",B748:B1509,"5 1 1 3 4 12 31111 6 M78 05000 111 00C 001*")</f>
        <v>0</v>
      </c>
      <c r="E747" s="29"/>
      <c r="F747" s="28">
        <f>SUMIFS(F748:F1509,K748:K1509,"0",B748:B1509,"5 1 1 3 4 12 31111 6 M78 05000 111 00C 001*")</f>
        <v>486846.76</v>
      </c>
      <c r="G747" s="28">
        <f>SUMIFS(G748:G1509,K748:K1509,"0",B748:B1509,"5 1 1 3 4 12 31111 6 M78 05000 111 00C 001*")</f>
        <v>0</v>
      </c>
      <c r="H747" s="28">
        <f t="shared" si="16"/>
        <v>486846.76</v>
      </c>
      <c r="I747" s="28"/>
      <c r="K747" t="s">
        <v>15</v>
      </c>
    </row>
    <row r="748" spans="2:11" ht="22" x14ac:dyDescent="0.15">
      <c r="B748" s="27" t="s">
        <v>1050</v>
      </c>
      <c r="C748" s="27" t="s">
        <v>1007</v>
      </c>
      <c r="D748" s="28">
        <f>SUMIFS(D749:D1509,K749:K1509,"0",B749:B1509,"5 1 1 3 4 12 31111 6 M78 05000 111 00C 001 13403*")-SUMIFS(E749:E1509,K749:K1509,"0",B749:B1509,"5 1 1 3 4 12 31111 6 M78 05000 111 00C 001 13403*")</f>
        <v>0</v>
      </c>
      <c r="E748" s="29"/>
      <c r="F748" s="28">
        <f>SUMIFS(F749:F1509,K749:K1509,"0",B749:B1509,"5 1 1 3 4 12 31111 6 M78 05000 111 00C 001 13403*")</f>
        <v>270010.58</v>
      </c>
      <c r="G748" s="28">
        <f>SUMIFS(G749:G1509,K749:K1509,"0",B749:B1509,"5 1 1 3 4 12 31111 6 M78 05000 111 00C 001 13403*")</f>
        <v>0</v>
      </c>
      <c r="H748" s="28">
        <f t="shared" si="16"/>
        <v>270010.58</v>
      </c>
      <c r="I748" s="28"/>
      <c r="K748" t="s">
        <v>15</v>
      </c>
    </row>
    <row r="749" spans="2:11" ht="22" x14ac:dyDescent="0.15">
      <c r="B749" s="27" t="s">
        <v>1051</v>
      </c>
      <c r="C749" s="27" t="s">
        <v>176</v>
      </c>
      <c r="D749" s="28">
        <f>SUMIFS(D750:D1509,K750:K1509,"0",B750:B1509,"5 1 1 3 4 12 31111 6 M78 05000 111 00C 001 13403 015*")-SUMIFS(E750:E1509,K750:K1509,"0",B750:B1509,"5 1 1 3 4 12 31111 6 M78 05000 111 00C 001 13403 015*")</f>
        <v>0</v>
      </c>
      <c r="E749" s="29"/>
      <c r="F749" s="28">
        <f>SUMIFS(F750:F1509,K750:K1509,"0",B750:B1509,"5 1 1 3 4 12 31111 6 M78 05000 111 00C 001 13403 015*")</f>
        <v>270010.58</v>
      </c>
      <c r="G749" s="28">
        <f>SUMIFS(G750:G1509,K750:K1509,"0",B750:B1509,"5 1 1 3 4 12 31111 6 M78 05000 111 00C 001 13403 015*")</f>
        <v>0</v>
      </c>
      <c r="H749" s="28">
        <f t="shared" si="16"/>
        <v>270010.58</v>
      </c>
      <c r="I749" s="28"/>
      <c r="K749" t="s">
        <v>15</v>
      </c>
    </row>
    <row r="750" spans="2:11" ht="22" x14ac:dyDescent="0.15">
      <c r="B750" s="27" t="s">
        <v>1052</v>
      </c>
      <c r="C750" s="27" t="s">
        <v>744</v>
      </c>
      <c r="D750" s="28">
        <f>SUMIFS(D751:D1509,K751:K1509,"0",B751:B1509,"5 1 1 3 4 12 31111 6 M78 05000 111 00C 001 13403 015 2111100*")-SUMIFS(E751:E1509,K751:K1509,"0",B751:B1509,"5 1 1 3 4 12 31111 6 M78 05000 111 00C 001 13403 015 2111100*")</f>
        <v>0</v>
      </c>
      <c r="E750" s="29"/>
      <c r="F750" s="28">
        <f>SUMIFS(F751:F1509,K751:K1509,"0",B751:B1509,"5 1 1 3 4 12 31111 6 M78 05000 111 00C 001 13403 015 2111100*")</f>
        <v>270010.58</v>
      </c>
      <c r="G750" s="28">
        <f>SUMIFS(G751:G1509,K751:K1509,"0",B751:B1509,"5 1 1 3 4 12 31111 6 M78 05000 111 00C 001 13403 015 2111100*")</f>
        <v>0</v>
      </c>
      <c r="H750" s="28">
        <f t="shared" si="16"/>
        <v>270010.58</v>
      </c>
      <c r="I750" s="28"/>
      <c r="K750" t="s">
        <v>15</v>
      </c>
    </row>
    <row r="751" spans="2:11" ht="22" x14ac:dyDescent="0.15">
      <c r="B751" s="27" t="s">
        <v>1053</v>
      </c>
      <c r="C751" s="27" t="s">
        <v>248</v>
      </c>
      <c r="D751" s="28">
        <f>SUMIFS(D752:D1509,K752:K1509,"0",B752:B1509,"5 1 1 3 4 12 31111 6 M78 05000 111 00C 001 13403 015 2111100 2024*")-SUMIFS(E752:E1509,K752:K1509,"0",B752:B1509,"5 1 1 3 4 12 31111 6 M78 05000 111 00C 001 13403 015 2111100 2024*")</f>
        <v>0</v>
      </c>
      <c r="E751" s="29"/>
      <c r="F751" s="28">
        <f>SUMIFS(F752:F1509,K752:K1509,"0",B752:B1509,"5 1 1 3 4 12 31111 6 M78 05000 111 00C 001 13403 015 2111100 2024*")</f>
        <v>270010.58</v>
      </c>
      <c r="G751" s="28">
        <f>SUMIFS(G752:G1509,K752:K1509,"0",B752:B1509,"5 1 1 3 4 12 31111 6 M78 05000 111 00C 001 13403 015 2111100 2024*")</f>
        <v>0</v>
      </c>
      <c r="H751" s="28">
        <f t="shared" si="16"/>
        <v>270010.58</v>
      </c>
      <c r="I751" s="28"/>
      <c r="K751" t="s">
        <v>15</v>
      </c>
    </row>
    <row r="752" spans="2:11" ht="22" x14ac:dyDescent="0.15">
      <c r="B752" s="27" t="s">
        <v>1054</v>
      </c>
      <c r="C752" s="27" t="s">
        <v>182</v>
      </c>
      <c r="D752" s="28">
        <f>SUMIFS(D753:D1509,K753:K1509,"0",B753:B1509,"5 1 1 3 4 12 31111 6 M78 05000 111 00C 001 13403 015 2111100 2024 00000000*")-SUMIFS(E753:E1509,K753:K1509,"0",B753:B1509,"5 1 1 3 4 12 31111 6 M78 05000 111 00C 001 13403 015 2111100 2024 00000000*")</f>
        <v>0</v>
      </c>
      <c r="E752" s="29"/>
      <c r="F752" s="28">
        <f>SUMIFS(F753:F1509,K753:K1509,"0",B753:B1509,"5 1 1 3 4 12 31111 6 M78 05000 111 00C 001 13403 015 2111100 2024 00000000*")</f>
        <v>270010.58</v>
      </c>
      <c r="G752" s="28">
        <f>SUMIFS(G753:G1509,K753:K1509,"0",B753:B1509,"5 1 1 3 4 12 31111 6 M78 05000 111 00C 001 13403 015 2111100 2024 00000000*")</f>
        <v>0</v>
      </c>
      <c r="H752" s="28">
        <f t="shared" si="16"/>
        <v>270010.58</v>
      </c>
      <c r="I752" s="28"/>
      <c r="K752" t="s">
        <v>15</v>
      </c>
    </row>
    <row r="753" spans="2:11" ht="33" x14ac:dyDescent="0.15">
      <c r="B753" s="27" t="s">
        <v>1055</v>
      </c>
      <c r="C753" s="27" t="s">
        <v>9</v>
      </c>
      <c r="D753" s="28">
        <f>SUMIFS(D754:D1509,K754:K1509,"0",B754:B1509,"5 1 1 3 4 12 31111 6 M78 05000 111 00C 001 13403 015 2111100 2024 00000000 001*")-SUMIFS(E754:E1509,K754:K1509,"0",B754:B1509,"5 1 1 3 4 12 31111 6 M78 05000 111 00C 001 13403 015 2111100 2024 00000000 001*")</f>
        <v>0</v>
      </c>
      <c r="E753" s="29"/>
      <c r="F753" s="28">
        <f>SUMIFS(F754:F1509,K754:K1509,"0",B754:B1509,"5 1 1 3 4 12 31111 6 M78 05000 111 00C 001 13403 015 2111100 2024 00000000 001*")</f>
        <v>270010.58</v>
      </c>
      <c r="G753" s="28">
        <f>SUMIFS(G754:G1509,K754:K1509,"0",B754:B1509,"5 1 1 3 4 12 31111 6 M78 05000 111 00C 001 13403 015 2111100 2024 00000000 001*")</f>
        <v>0</v>
      </c>
      <c r="H753" s="28">
        <f t="shared" si="16"/>
        <v>270010.58</v>
      </c>
      <c r="I753" s="28"/>
      <c r="K753" t="s">
        <v>15</v>
      </c>
    </row>
    <row r="754" spans="2:11" ht="33" x14ac:dyDescent="0.15">
      <c r="B754" s="27" t="s">
        <v>1056</v>
      </c>
      <c r="C754" s="27" t="s">
        <v>780</v>
      </c>
      <c r="D754" s="28">
        <f>SUMIFS(D755:D1509,K755:K1509,"0",B755:B1509,"5 1 1 3 4 12 31111 6 M78 05000 111 00C 001 13403 015 2111100 2024 00000000 001 001*")-SUMIFS(E755:E1509,K755:K1509,"0",B755:B1509,"5 1 1 3 4 12 31111 6 M78 05000 111 00C 001 13403 015 2111100 2024 00000000 001 001*")</f>
        <v>0</v>
      </c>
      <c r="E754" s="29"/>
      <c r="F754" s="28">
        <f>SUMIFS(F755:F1509,K755:K1509,"0",B755:B1509,"5 1 1 3 4 12 31111 6 M78 05000 111 00C 001 13403 015 2111100 2024 00000000 001 001*")</f>
        <v>270010.58</v>
      </c>
      <c r="G754" s="28">
        <f>SUMIFS(G755:G1509,K755:K1509,"0",B755:B1509,"5 1 1 3 4 12 31111 6 M78 05000 111 00C 001 13403 015 2111100 2024 00000000 001 001*")</f>
        <v>0</v>
      </c>
      <c r="H754" s="28">
        <f t="shared" si="16"/>
        <v>270010.58</v>
      </c>
      <c r="I754" s="28"/>
      <c r="K754" t="s">
        <v>15</v>
      </c>
    </row>
    <row r="755" spans="2:11" ht="33" x14ac:dyDescent="0.15">
      <c r="B755" s="30" t="s">
        <v>1057</v>
      </c>
      <c r="C755" s="30" t="s">
        <v>1015</v>
      </c>
      <c r="D755" s="31">
        <v>0</v>
      </c>
      <c r="E755" s="31"/>
      <c r="F755" s="31">
        <v>270010.58</v>
      </c>
      <c r="G755" s="31">
        <v>0</v>
      </c>
      <c r="H755" s="31">
        <f t="shared" si="16"/>
        <v>270010.58</v>
      </c>
      <c r="I755" s="31"/>
      <c r="K755" t="s">
        <v>38</v>
      </c>
    </row>
    <row r="756" spans="2:11" ht="22" x14ac:dyDescent="0.15">
      <c r="B756" s="27" t="s">
        <v>1058</v>
      </c>
      <c r="C756" s="27" t="s">
        <v>1017</v>
      </c>
      <c r="D756" s="28">
        <f>SUMIFS(D757:D1509,K757:K1509,"0",B757:B1509,"5 1 1 3 4 12 31111 6 M78 05000 111 00C 001 13406*")-SUMIFS(E757:E1509,K757:K1509,"0",B757:B1509,"5 1 1 3 4 12 31111 6 M78 05000 111 00C 001 13406*")</f>
        <v>0</v>
      </c>
      <c r="E756" s="29"/>
      <c r="F756" s="28">
        <f>SUMIFS(F757:F1509,K757:K1509,"0",B757:B1509,"5 1 1 3 4 12 31111 6 M78 05000 111 00C 001 13406*")</f>
        <v>216836.18</v>
      </c>
      <c r="G756" s="28">
        <f>SUMIFS(G757:G1509,K757:K1509,"0",B757:B1509,"5 1 1 3 4 12 31111 6 M78 05000 111 00C 001 13406*")</f>
        <v>0</v>
      </c>
      <c r="H756" s="28">
        <f t="shared" si="16"/>
        <v>216836.18</v>
      </c>
      <c r="I756" s="28"/>
      <c r="K756" t="s">
        <v>15</v>
      </c>
    </row>
    <row r="757" spans="2:11" ht="22" x14ac:dyDescent="0.15">
      <c r="B757" s="27" t="s">
        <v>1059</v>
      </c>
      <c r="C757" s="27" t="s">
        <v>176</v>
      </c>
      <c r="D757" s="28">
        <f>SUMIFS(D758:D1509,K758:K1509,"0",B758:B1509,"5 1 1 3 4 12 31111 6 M78 05000 111 00C 001 13406 015*")-SUMIFS(E758:E1509,K758:K1509,"0",B758:B1509,"5 1 1 3 4 12 31111 6 M78 05000 111 00C 001 13406 015*")</f>
        <v>0</v>
      </c>
      <c r="E757" s="29"/>
      <c r="F757" s="28">
        <f>SUMIFS(F758:F1509,K758:K1509,"0",B758:B1509,"5 1 1 3 4 12 31111 6 M78 05000 111 00C 001 13406 015*")</f>
        <v>216836.18</v>
      </c>
      <c r="G757" s="28">
        <f>SUMIFS(G758:G1509,K758:K1509,"0",B758:B1509,"5 1 1 3 4 12 31111 6 M78 05000 111 00C 001 13406 015*")</f>
        <v>0</v>
      </c>
      <c r="H757" s="28">
        <f t="shared" si="16"/>
        <v>216836.18</v>
      </c>
      <c r="I757" s="28"/>
      <c r="K757" t="s">
        <v>15</v>
      </c>
    </row>
    <row r="758" spans="2:11" ht="22" x14ac:dyDescent="0.15">
      <c r="B758" s="27" t="s">
        <v>1060</v>
      </c>
      <c r="C758" s="27" t="s">
        <v>744</v>
      </c>
      <c r="D758" s="28">
        <f>SUMIFS(D759:D1509,K759:K1509,"0",B759:B1509,"5 1 1 3 4 12 31111 6 M78 05000 111 00C 001 13406 015 2111100*")-SUMIFS(E759:E1509,K759:K1509,"0",B759:B1509,"5 1 1 3 4 12 31111 6 M78 05000 111 00C 001 13406 015 2111100*")</f>
        <v>0</v>
      </c>
      <c r="E758" s="29"/>
      <c r="F758" s="28">
        <f>SUMIFS(F759:F1509,K759:K1509,"0",B759:B1509,"5 1 1 3 4 12 31111 6 M78 05000 111 00C 001 13406 015 2111100*")</f>
        <v>216836.18</v>
      </c>
      <c r="G758" s="28">
        <f>SUMIFS(G759:G1509,K759:K1509,"0",B759:B1509,"5 1 1 3 4 12 31111 6 M78 05000 111 00C 001 13406 015 2111100*")</f>
        <v>0</v>
      </c>
      <c r="H758" s="28">
        <f t="shared" si="16"/>
        <v>216836.18</v>
      </c>
      <c r="I758" s="28"/>
      <c r="K758" t="s">
        <v>15</v>
      </c>
    </row>
    <row r="759" spans="2:11" ht="22" x14ac:dyDescent="0.15">
      <c r="B759" s="27" t="s">
        <v>1061</v>
      </c>
      <c r="C759" s="27" t="s">
        <v>248</v>
      </c>
      <c r="D759" s="28">
        <f>SUMIFS(D760:D1509,K760:K1509,"0",B760:B1509,"5 1 1 3 4 12 31111 6 M78 05000 111 00C 001 13406 015 2111100 2024*")-SUMIFS(E760:E1509,K760:K1509,"0",B760:B1509,"5 1 1 3 4 12 31111 6 M78 05000 111 00C 001 13406 015 2111100 2024*")</f>
        <v>0</v>
      </c>
      <c r="E759" s="29"/>
      <c r="F759" s="28">
        <f>SUMIFS(F760:F1509,K760:K1509,"0",B760:B1509,"5 1 1 3 4 12 31111 6 M78 05000 111 00C 001 13406 015 2111100 2024*")</f>
        <v>216836.18</v>
      </c>
      <c r="G759" s="28">
        <f>SUMIFS(G760:G1509,K760:K1509,"0",B760:B1509,"5 1 1 3 4 12 31111 6 M78 05000 111 00C 001 13406 015 2111100 2024*")</f>
        <v>0</v>
      </c>
      <c r="H759" s="28">
        <f t="shared" si="16"/>
        <v>216836.18</v>
      </c>
      <c r="I759" s="28"/>
      <c r="K759" t="s">
        <v>15</v>
      </c>
    </row>
    <row r="760" spans="2:11" ht="22" x14ac:dyDescent="0.15">
      <c r="B760" s="27" t="s">
        <v>1062</v>
      </c>
      <c r="C760" s="27" t="s">
        <v>182</v>
      </c>
      <c r="D760" s="28">
        <f>SUMIFS(D761:D1509,K761:K1509,"0",B761:B1509,"5 1 1 3 4 12 31111 6 M78 05000 111 00C 001 13406 015 2111100 2024 00000000*")-SUMIFS(E761:E1509,K761:K1509,"0",B761:B1509,"5 1 1 3 4 12 31111 6 M78 05000 111 00C 001 13406 015 2111100 2024 00000000*")</f>
        <v>0</v>
      </c>
      <c r="E760" s="29"/>
      <c r="F760" s="28">
        <f>SUMIFS(F761:F1509,K761:K1509,"0",B761:B1509,"5 1 1 3 4 12 31111 6 M78 05000 111 00C 001 13406 015 2111100 2024 00000000*")</f>
        <v>216836.18</v>
      </c>
      <c r="G760" s="28">
        <f>SUMIFS(G761:G1509,K761:K1509,"0",B761:B1509,"5 1 1 3 4 12 31111 6 M78 05000 111 00C 001 13406 015 2111100 2024 00000000*")</f>
        <v>0</v>
      </c>
      <c r="H760" s="28">
        <f t="shared" si="16"/>
        <v>216836.18</v>
      </c>
      <c r="I760" s="28"/>
      <c r="K760" t="s">
        <v>15</v>
      </c>
    </row>
    <row r="761" spans="2:11" ht="33" x14ac:dyDescent="0.15">
      <c r="B761" s="27" t="s">
        <v>1063</v>
      </c>
      <c r="C761" s="27" t="s">
        <v>9</v>
      </c>
      <c r="D761" s="28">
        <f>SUMIFS(D762:D1509,K762:K1509,"0",B762:B1509,"5 1 1 3 4 12 31111 6 M78 05000 111 00C 001 13406 015 2111100 2024 00000000 001*")-SUMIFS(E762:E1509,K762:K1509,"0",B762:B1509,"5 1 1 3 4 12 31111 6 M78 05000 111 00C 001 13406 015 2111100 2024 00000000 001*")</f>
        <v>0</v>
      </c>
      <c r="E761" s="29"/>
      <c r="F761" s="28">
        <f>SUMIFS(F762:F1509,K762:K1509,"0",B762:B1509,"5 1 1 3 4 12 31111 6 M78 05000 111 00C 001 13406 015 2111100 2024 00000000 001*")</f>
        <v>216836.18</v>
      </c>
      <c r="G761" s="28">
        <f>SUMIFS(G762:G1509,K762:K1509,"0",B762:B1509,"5 1 1 3 4 12 31111 6 M78 05000 111 00C 001 13406 015 2111100 2024 00000000 001*")</f>
        <v>0</v>
      </c>
      <c r="H761" s="28">
        <f t="shared" si="16"/>
        <v>216836.18</v>
      </c>
      <c r="I761" s="28"/>
      <c r="K761" t="s">
        <v>15</v>
      </c>
    </row>
    <row r="762" spans="2:11" ht="33" x14ac:dyDescent="0.15">
      <c r="B762" s="27" t="s">
        <v>1064</v>
      </c>
      <c r="C762" s="27" t="s">
        <v>780</v>
      </c>
      <c r="D762" s="28">
        <f>SUMIFS(D763:D1509,K763:K1509,"0",B763:B1509,"5 1 1 3 4 12 31111 6 M78 05000 111 00C 001 13406 015 2111100 2024 00000000 001 001*")-SUMIFS(E763:E1509,K763:K1509,"0",B763:B1509,"5 1 1 3 4 12 31111 6 M78 05000 111 00C 001 13406 015 2111100 2024 00000000 001 001*")</f>
        <v>0</v>
      </c>
      <c r="E762" s="29"/>
      <c r="F762" s="28">
        <f>SUMIFS(F763:F1509,K763:K1509,"0",B763:B1509,"5 1 1 3 4 12 31111 6 M78 05000 111 00C 001 13406 015 2111100 2024 00000000 001 001*")</f>
        <v>216836.18</v>
      </c>
      <c r="G762" s="28">
        <f>SUMIFS(G763:G1509,K763:K1509,"0",B763:B1509,"5 1 1 3 4 12 31111 6 M78 05000 111 00C 001 13406 015 2111100 2024 00000000 001 001*")</f>
        <v>0</v>
      </c>
      <c r="H762" s="28">
        <f t="shared" si="16"/>
        <v>216836.18</v>
      </c>
      <c r="I762" s="28"/>
      <c r="K762" t="s">
        <v>15</v>
      </c>
    </row>
    <row r="763" spans="2:11" ht="33" x14ac:dyDescent="0.15">
      <c r="B763" s="30" t="s">
        <v>1065</v>
      </c>
      <c r="C763" s="30" t="s">
        <v>1025</v>
      </c>
      <c r="D763" s="31">
        <v>0</v>
      </c>
      <c r="E763" s="31"/>
      <c r="F763" s="31">
        <v>216836.18</v>
      </c>
      <c r="G763" s="31">
        <v>0</v>
      </c>
      <c r="H763" s="31">
        <f t="shared" si="16"/>
        <v>216836.18</v>
      </c>
      <c r="I763" s="31"/>
      <c r="K763" t="s">
        <v>38</v>
      </c>
    </row>
    <row r="764" spans="2:11" ht="13" x14ac:dyDescent="0.15">
      <c r="B764" s="27" t="s">
        <v>1066</v>
      </c>
      <c r="C764" s="27" t="s">
        <v>783</v>
      </c>
      <c r="D764" s="28">
        <f>SUMIFS(D765:D1509,K765:K1509,"0",B765:B1509,"5 1 1 3 4 12 31111 6 M78 06000*")-SUMIFS(E765:E1509,K765:K1509,"0",B765:B1509,"5 1 1 3 4 12 31111 6 M78 06000*")</f>
        <v>0</v>
      </c>
      <c r="E764" s="29"/>
      <c r="F764" s="28">
        <f>SUMIFS(F765:F1509,K765:K1509,"0",B765:B1509,"5 1 1 3 4 12 31111 6 M78 06000*")</f>
        <v>12444.78</v>
      </c>
      <c r="G764" s="28">
        <f>SUMIFS(G765:G1509,K765:K1509,"0",B765:B1509,"5 1 1 3 4 12 31111 6 M78 06000*")</f>
        <v>0</v>
      </c>
      <c r="H764" s="28">
        <f t="shared" si="16"/>
        <v>12444.78</v>
      </c>
      <c r="I764" s="28"/>
      <c r="K764" t="s">
        <v>15</v>
      </c>
    </row>
    <row r="765" spans="2:11" ht="13" x14ac:dyDescent="0.15">
      <c r="B765" s="27" t="s">
        <v>1067</v>
      </c>
      <c r="C765" s="27" t="s">
        <v>785</v>
      </c>
      <c r="D765" s="28">
        <f>SUMIFS(D766:D1509,K766:K1509,"0",B766:B1509,"5 1 1 3 4 12 31111 6 M78 06000 132*")-SUMIFS(E766:E1509,K766:K1509,"0",B766:B1509,"5 1 1 3 4 12 31111 6 M78 06000 132*")</f>
        <v>0</v>
      </c>
      <c r="E765" s="29"/>
      <c r="F765" s="28">
        <f>SUMIFS(F766:F1509,K766:K1509,"0",B766:B1509,"5 1 1 3 4 12 31111 6 M78 06000 132*")</f>
        <v>12444.78</v>
      </c>
      <c r="G765" s="28">
        <f>SUMIFS(G766:G1509,K766:K1509,"0",B766:B1509,"5 1 1 3 4 12 31111 6 M78 06000 132*")</f>
        <v>0</v>
      </c>
      <c r="H765" s="28">
        <f t="shared" si="16"/>
        <v>12444.78</v>
      </c>
      <c r="I765" s="28"/>
      <c r="K765" t="s">
        <v>15</v>
      </c>
    </row>
    <row r="766" spans="2:11" ht="13" x14ac:dyDescent="0.15">
      <c r="B766" s="27" t="s">
        <v>1068</v>
      </c>
      <c r="C766" s="27" t="s">
        <v>170</v>
      </c>
      <c r="D766" s="28">
        <f>SUMIFS(D767:D1509,K767:K1509,"0",B767:B1509,"5 1 1 3 4 12 31111 6 M78 06000 132 00C*")-SUMIFS(E767:E1509,K767:K1509,"0",B767:B1509,"5 1 1 3 4 12 31111 6 M78 06000 132 00C*")</f>
        <v>0</v>
      </c>
      <c r="E766" s="29"/>
      <c r="F766" s="28">
        <f>SUMIFS(F767:F1509,K767:K1509,"0",B767:B1509,"5 1 1 3 4 12 31111 6 M78 06000 132 00C*")</f>
        <v>12444.78</v>
      </c>
      <c r="G766" s="28">
        <f>SUMIFS(G767:G1509,K767:K1509,"0",B767:B1509,"5 1 1 3 4 12 31111 6 M78 06000 132 00C*")</f>
        <v>0</v>
      </c>
      <c r="H766" s="28">
        <f t="shared" si="16"/>
        <v>12444.78</v>
      </c>
      <c r="I766" s="28"/>
      <c r="K766" t="s">
        <v>15</v>
      </c>
    </row>
    <row r="767" spans="2:11" ht="22" x14ac:dyDescent="0.15">
      <c r="B767" s="27" t="s">
        <v>1069</v>
      </c>
      <c r="C767" s="27" t="s">
        <v>9</v>
      </c>
      <c r="D767" s="28">
        <f>SUMIFS(D768:D1509,K768:K1509,"0",B768:B1509,"5 1 1 3 4 12 31111 6 M78 06000 132 00C 001*")-SUMIFS(E768:E1509,K768:K1509,"0",B768:B1509,"5 1 1 3 4 12 31111 6 M78 06000 132 00C 001*")</f>
        <v>0</v>
      </c>
      <c r="E767" s="29"/>
      <c r="F767" s="28">
        <f>SUMIFS(F768:F1509,K768:K1509,"0",B768:B1509,"5 1 1 3 4 12 31111 6 M78 06000 132 00C 001*")</f>
        <v>12444.78</v>
      </c>
      <c r="G767" s="28">
        <f>SUMIFS(G768:G1509,K768:K1509,"0",B768:B1509,"5 1 1 3 4 12 31111 6 M78 06000 132 00C 001*")</f>
        <v>0</v>
      </c>
      <c r="H767" s="28">
        <f t="shared" si="16"/>
        <v>12444.78</v>
      </c>
      <c r="I767" s="28"/>
      <c r="K767" t="s">
        <v>15</v>
      </c>
    </row>
    <row r="768" spans="2:11" ht="22" x14ac:dyDescent="0.15">
      <c r="B768" s="27" t="s">
        <v>1070</v>
      </c>
      <c r="C768" s="27" t="s">
        <v>1017</v>
      </c>
      <c r="D768" s="28">
        <f>SUMIFS(D769:D1509,K769:K1509,"0",B769:B1509,"5 1 1 3 4 12 31111 6 M78 06000 132 00C 001 13406*")-SUMIFS(E769:E1509,K769:K1509,"0",B769:B1509,"5 1 1 3 4 12 31111 6 M78 06000 132 00C 001 13406*")</f>
        <v>0</v>
      </c>
      <c r="E768" s="29"/>
      <c r="F768" s="28">
        <f>SUMIFS(F769:F1509,K769:K1509,"0",B769:B1509,"5 1 1 3 4 12 31111 6 M78 06000 132 00C 001 13406*")</f>
        <v>12444.78</v>
      </c>
      <c r="G768" s="28">
        <f>SUMIFS(G769:G1509,K769:K1509,"0",B769:B1509,"5 1 1 3 4 12 31111 6 M78 06000 132 00C 001 13406*")</f>
        <v>0</v>
      </c>
      <c r="H768" s="28">
        <f t="shared" si="16"/>
        <v>12444.78</v>
      </c>
      <c r="I768" s="28"/>
      <c r="K768" t="s">
        <v>15</v>
      </c>
    </row>
    <row r="769" spans="2:11" ht="22" x14ac:dyDescent="0.15">
      <c r="B769" s="27" t="s">
        <v>1071</v>
      </c>
      <c r="C769" s="27" t="s">
        <v>176</v>
      </c>
      <c r="D769" s="28">
        <f>SUMIFS(D770:D1509,K770:K1509,"0",B770:B1509,"5 1 1 3 4 12 31111 6 M78 06000 132 00C 001 13406 015*")-SUMIFS(E770:E1509,K770:K1509,"0",B770:B1509,"5 1 1 3 4 12 31111 6 M78 06000 132 00C 001 13406 015*")</f>
        <v>0</v>
      </c>
      <c r="E769" s="29"/>
      <c r="F769" s="28">
        <f>SUMIFS(F770:F1509,K770:K1509,"0",B770:B1509,"5 1 1 3 4 12 31111 6 M78 06000 132 00C 001 13406 015*")</f>
        <v>12444.78</v>
      </c>
      <c r="G769" s="28">
        <f>SUMIFS(G770:G1509,K770:K1509,"0",B770:B1509,"5 1 1 3 4 12 31111 6 M78 06000 132 00C 001 13406 015*")</f>
        <v>0</v>
      </c>
      <c r="H769" s="28">
        <f t="shared" si="16"/>
        <v>12444.78</v>
      </c>
      <c r="I769" s="28"/>
      <c r="K769" t="s">
        <v>15</v>
      </c>
    </row>
    <row r="770" spans="2:11" ht="22" x14ac:dyDescent="0.15">
      <c r="B770" s="27" t="s">
        <v>1072</v>
      </c>
      <c r="C770" s="27" t="s">
        <v>744</v>
      </c>
      <c r="D770" s="28">
        <f>SUMIFS(D771:D1509,K771:K1509,"0",B771:B1509,"5 1 1 3 4 12 31111 6 M78 06000 132 00C 001 13406 015 2111100*")-SUMIFS(E771:E1509,K771:K1509,"0",B771:B1509,"5 1 1 3 4 12 31111 6 M78 06000 132 00C 001 13406 015 2111100*")</f>
        <v>0</v>
      </c>
      <c r="E770" s="29"/>
      <c r="F770" s="28">
        <f>SUMIFS(F771:F1509,K771:K1509,"0",B771:B1509,"5 1 1 3 4 12 31111 6 M78 06000 132 00C 001 13406 015 2111100*")</f>
        <v>12444.78</v>
      </c>
      <c r="G770" s="28">
        <f>SUMIFS(G771:G1509,K771:K1509,"0",B771:B1509,"5 1 1 3 4 12 31111 6 M78 06000 132 00C 001 13406 015 2111100*")</f>
        <v>0</v>
      </c>
      <c r="H770" s="28">
        <f t="shared" si="16"/>
        <v>12444.78</v>
      </c>
      <c r="I770" s="28"/>
      <c r="K770" t="s">
        <v>15</v>
      </c>
    </row>
    <row r="771" spans="2:11" ht="22" x14ac:dyDescent="0.15">
      <c r="B771" s="27" t="s">
        <v>1073</v>
      </c>
      <c r="C771" s="27" t="s">
        <v>248</v>
      </c>
      <c r="D771" s="28">
        <f>SUMIFS(D772:D1509,K772:K1509,"0",B772:B1509,"5 1 1 3 4 12 31111 6 M78 06000 132 00C 001 13406 015 2111100 2024*")-SUMIFS(E772:E1509,K772:K1509,"0",B772:B1509,"5 1 1 3 4 12 31111 6 M78 06000 132 00C 001 13406 015 2111100 2024*")</f>
        <v>0</v>
      </c>
      <c r="E771" s="29"/>
      <c r="F771" s="28">
        <f>SUMIFS(F772:F1509,K772:K1509,"0",B772:B1509,"5 1 1 3 4 12 31111 6 M78 06000 132 00C 001 13406 015 2111100 2024*")</f>
        <v>12444.78</v>
      </c>
      <c r="G771" s="28">
        <f>SUMIFS(G772:G1509,K772:K1509,"0",B772:B1509,"5 1 1 3 4 12 31111 6 M78 06000 132 00C 001 13406 015 2111100 2024*")</f>
        <v>0</v>
      </c>
      <c r="H771" s="28">
        <f t="shared" si="16"/>
        <v>12444.78</v>
      </c>
      <c r="I771" s="28"/>
      <c r="K771" t="s">
        <v>15</v>
      </c>
    </row>
    <row r="772" spans="2:11" ht="22" x14ac:dyDescent="0.15">
      <c r="B772" s="27" t="s">
        <v>1074</v>
      </c>
      <c r="C772" s="27" t="s">
        <v>182</v>
      </c>
      <c r="D772" s="28">
        <f>SUMIFS(D773:D1509,K773:K1509,"0",B773:B1509,"5 1 1 3 4 12 31111 6 M78 06000 132 00C 001 13406 015 2111100 2024 00000000*")-SUMIFS(E773:E1509,K773:K1509,"0",B773:B1509,"5 1 1 3 4 12 31111 6 M78 06000 132 00C 001 13406 015 2111100 2024 00000000*")</f>
        <v>0</v>
      </c>
      <c r="E772" s="29"/>
      <c r="F772" s="28">
        <f>SUMIFS(F773:F1509,K773:K1509,"0",B773:B1509,"5 1 1 3 4 12 31111 6 M78 06000 132 00C 001 13406 015 2111100 2024 00000000*")</f>
        <v>12444.78</v>
      </c>
      <c r="G772" s="28">
        <f>SUMIFS(G773:G1509,K773:K1509,"0",B773:B1509,"5 1 1 3 4 12 31111 6 M78 06000 132 00C 001 13406 015 2111100 2024 00000000*")</f>
        <v>0</v>
      </c>
      <c r="H772" s="28">
        <f t="shared" si="16"/>
        <v>12444.78</v>
      </c>
      <c r="I772" s="28"/>
      <c r="K772" t="s">
        <v>15</v>
      </c>
    </row>
    <row r="773" spans="2:11" ht="33" x14ac:dyDescent="0.15">
      <c r="B773" s="27" t="s">
        <v>1075</v>
      </c>
      <c r="C773" s="27" t="s">
        <v>9</v>
      </c>
      <c r="D773" s="28">
        <f>SUMIFS(D774:D1509,K774:K1509,"0",B774:B1509,"5 1 1 3 4 12 31111 6 M78 06000 132 00C 001 13406 015 2111100 2024 00000000 001*")-SUMIFS(E774:E1509,K774:K1509,"0",B774:B1509,"5 1 1 3 4 12 31111 6 M78 06000 132 00C 001 13406 015 2111100 2024 00000000 001*")</f>
        <v>0</v>
      </c>
      <c r="E773" s="29"/>
      <c r="F773" s="28">
        <f>SUMIFS(F774:F1509,K774:K1509,"0",B774:B1509,"5 1 1 3 4 12 31111 6 M78 06000 132 00C 001 13406 015 2111100 2024 00000000 001*")</f>
        <v>12444.78</v>
      </c>
      <c r="G773" s="28">
        <f>SUMIFS(G774:G1509,K774:K1509,"0",B774:B1509,"5 1 1 3 4 12 31111 6 M78 06000 132 00C 001 13406 015 2111100 2024 00000000 001*")</f>
        <v>0</v>
      </c>
      <c r="H773" s="28">
        <f t="shared" si="16"/>
        <v>12444.78</v>
      </c>
      <c r="I773" s="28"/>
      <c r="K773" t="s">
        <v>15</v>
      </c>
    </row>
    <row r="774" spans="2:11" ht="33" x14ac:dyDescent="0.15">
      <c r="B774" s="27" t="s">
        <v>1076</v>
      </c>
      <c r="C774" s="27" t="s">
        <v>795</v>
      </c>
      <c r="D774" s="28">
        <f>SUMIFS(D775:D1509,K775:K1509,"0",B775:B1509,"5 1 1 3 4 12 31111 6 M78 06000 132 00C 001 13406 015 2111100 2024 00000000 001 001*")-SUMIFS(E775:E1509,K775:K1509,"0",B775:B1509,"5 1 1 3 4 12 31111 6 M78 06000 132 00C 001 13406 015 2111100 2024 00000000 001 001*")</f>
        <v>0</v>
      </c>
      <c r="E774" s="29"/>
      <c r="F774" s="28">
        <f>SUMIFS(F775:F1509,K775:K1509,"0",B775:B1509,"5 1 1 3 4 12 31111 6 M78 06000 132 00C 001 13406 015 2111100 2024 00000000 001 001*")</f>
        <v>12444.78</v>
      </c>
      <c r="G774" s="28">
        <f>SUMIFS(G775:G1509,K775:K1509,"0",B775:B1509,"5 1 1 3 4 12 31111 6 M78 06000 132 00C 001 13406 015 2111100 2024 00000000 001 001*")</f>
        <v>0</v>
      </c>
      <c r="H774" s="28">
        <f t="shared" si="16"/>
        <v>12444.78</v>
      </c>
      <c r="I774" s="28"/>
      <c r="K774" t="s">
        <v>15</v>
      </c>
    </row>
    <row r="775" spans="2:11" ht="33" x14ac:dyDescent="0.15">
      <c r="B775" s="30" t="s">
        <v>1077</v>
      </c>
      <c r="C775" s="30" t="s">
        <v>1025</v>
      </c>
      <c r="D775" s="31">
        <v>0</v>
      </c>
      <c r="E775" s="31"/>
      <c r="F775" s="31">
        <v>12444.78</v>
      </c>
      <c r="G775" s="31">
        <v>0</v>
      </c>
      <c r="H775" s="31">
        <f t="shared" si="16"/>
        <v>12444.78</v>
      </c>
      <c r="I775" s="31"/>
      <c r="K775" t="s">
        <v>38</v>
      </c>
    </row>
    <row r="776" spans="2:11" ht="13" x14ac:dyDescent="0.15">
      <c r="B776" s="27" t="s">
        <v>1078</v>
      </c>
      <c r="C776" s="27" t="s">
        <v>8</v>
      </c>
      <c r="D776" s="28">
        <f>SUMIFS(D777:D1509,K777:K1509,"0",B777:B1509,"5 1 1 3 4 12 31111 6 M78 07000*")-SUMIFS(E777:E1509,K777:K1509,"0",B777:B1509,"5 1 1 3 4 12 31111 6 M78 07000*")</f>
        <v>0</v>
      </c>
      <c r="E776" s="29"/>
      <c r="F776" s="28">
        <f>SUMIFS(F777:F1509,K777:K1509,"0",B777:B1509,"5 1 1 3 4 12 31111 6 M78 07000*")</f>
        <v>227160.62</v>
      </c>
      <c r="G776" s="28">
        <f>SUMIFS(G777:G1509,K777:K1509,"0",B777:B1509,"5 1 1 3 4 12 31111 6 M78 07000*")</f>
        <v>0</v>
      </c>
      <c r="H776" s="28">
        <f t="shared" si="16"/>
        <v>227160.62</v>
      </c>
      <c r="I776" s="28"/>
      <c r="K776" t="s">
        <v>15</v>
      </c>
    </row>
    <row r="777" spans="2:11" ht="13" x14ac:dyDescent="0.15">
      <c r="B777" s="27" t="s">
        <v>1079</v>
      </c>
      <c r="C777" s="27" t="s">
        <v>168</v>
      </c>
      <c r="D777" s="28">
        <f>SUMIFS(D778:D1509,K778:K1509,"0",B778:B1509,"5 1 1 3 4 12 31111 6 M78 07000 151*")-SUMIFS(E778:E1509,K778:K1509,"0",B778:B1509,"5 1 1 3 4 12 31111 6 M78 07000 151*")</f>
        <v>0</v>
      </c>
      <c r="E777" s="29"/>
      <c r="F777" s="28">
        <f>SUMIFS(F778:F1509,K778:K1509,"0",B778:B1509,"5 1 1 3 4 12 31111 6 M78 07000 151*")</f>
        <v>227160.62</v>
      </c>
      <c r="G777" s="28">
        <f>SUMIFS(G778:G1509,K778:K1509,"0",B778:B1509,"5 1 1 3 4 12 31111 6 M78 07000 151*")</f>
        <v>0</v>
      </c>
      <c r="H777" s="28">
        <f t="shared" si="16"/>
        <v>227160.62</v>
      </c>
      <c r="I777" s="28"/>
      <c r="K777" t="s">
        <v>15</v>
      </c>
    </row>
    <row r="778" spans="2:11" ht="13" x14ac:dyDescent="0.15">
      <c r="B778" s="27" t="s">
        <v>1080</v>
      </c>
      <c r="C778" s="27" t="s">
        <v>170</v>
      </c>
      <c r="D778" s="28">
        <f>SUMIFS(D779:D1509,K779:K1509,"0",B779:B1509,"5 1 1 3 4 12 31111 6 M78 07000 151 00C*")-SUMIFS(E779:E1509,K779:K1509,"0",B779:B1509,"5 1 1 3 4 12 31111 6 M78 07000 151 00C*")</f>
        <v>0</v>
      </c>
      <c r="E778" s="29"/>
      <c r="F778" s="28">
        <f>SUMIFS(F779:F1509,K779:K1509,"0",B779:B1509,"5 1 1 3 4 12 31111 6 M78 07000 151 00C*")</f>
        <v>227160.62</v>
      </c>
      <c r="G778" s="28">
        <f>SUMIFS(G779:G1509,K779:K1509,"0",B779:B1509,"5 1 1 3 4 12 31111 6 M78 07000 151 00C*")</f>
        <v>0</v>
      </c>
      <c r="H778" s="28">
        <f t="shared" si="16"/>
        <v>227160.62</v>
      </c>
      <c r="I778" s="28"/>
      <c r="K778" t="s">
        <v>15</v>
      </c>
    </row>
    <row r="779" spans="2:11" ht="22" x14ac:dyDescent="0.15">
      <c r="B779" s="27" t="s">
        <v>1081</v>
      </c>
      <c r="C779" s="27" t="s">
        <v>9</v>
      </c>
      <c r="D779" s="28">
        <f>SUMIFS(D780:D1509,K780:K1509,"0",B780:B1509,"5 1 1 3 4 12 31111 6 M78 07000 151 00C 001*")-SUMIFS(E780:E1509,K780:K1509,"0",B780:B1509,"5 1 1 3 4 12 31111 6 M78 07000 151 00C 001*")</f>
        <v>0</v>
      </c>
      <c r="E779" s="29"/>
      <c r="F779" s="28">
        <f>SUMIFS(F780:F1509,K780:K1509,"0",B780:B1509,"5 1 1 3 4 12 31111 6 M78 07000 151 00C 001*")</f>
        <v>227160.62</v>
      </c>
      <c r="G779" s="28">
        <f>SUMIFS(G780:G1509,K780:K1509,"0",B780:B1509,"5 1 1 3 4 12 31111 6 M78 07000 151 00C 001*")</f>
        <v>0</v>
      </c>
      <c r="H779" s="28">
        <f t="shared" si="16"/>
        <v>227160.62</v>
      </c>
      <c r="I779" s="28"/>
      <c r="K779" t="s">
        <v>15</v>
      </c>
    </row>
    <row r="780" spans="2:11" ht="22" x14ac:dyDescent="0.15">
      <c r="B780" s="27" t="s">
        <v>1082</v>
      </c>
      <c r="C780" s="27" t="s">
        <v>1007</v>
      </c>
      <c r="D780" s="28">
        <f>SUMIFS(D781:D1509,K781:K1509,"0",B781:B1509,"5 1 1 3 4 12 31111 6 M78 07000 151 00C 001 13403*")-SUMIFS(E781:E1509,K781:K1509,"0",B781:B1509,"5 1 1 3 4 12 31111 6 M78 07000 151 00C 001 13403*")</f>
        <v>0</v>
      </c>
      <c r="E780" s="29"/>
      <c r="F780" s="28">
        <f>SUMIFS(F781:F1509,K781:K1509,"0",B781:B1509,"5 1 1 3 4 12 31111 6 M78 07000 151 00C 001 13403*")</f>
        <v>173404.32</v>
      </c>
      <c r="G780" s="28">
        <f>SUMIFS(G781:G1509,K781:K1509,"0",B781:B1509,"5 1 1 3 4 12 31111 6 M78 07000 151 00C 001 13403*")</f>
        <v>0</v>
      </c>
      <c r="H780" s="28">
        <f t="shared" si="16"/>
        <v>173404.32</v>
      </c>
      <c r="I780" s="28"/>
      <c r="K780" t="s">
        <v>15</v>
      </c>
    </row>
    <row r="781" spans="2:11" ht="22" x14ac:dyDescent="0.15">
      <c r="B781" s="27" t="s">
        <v>1083</v>
      </c>
      <c r="C781" s="27" t="s">
        <v>176</v>
      </c>
      <c r="D781" s="28">
        <f>SUMIFS(D782:D1509,K782:K1509,"0",B782:B1509,"5 1 1 3 4 12 31111 6 M78 07000 151 00C 001 13403 015*")-SUMIFS(E782:E1509,K782:K1509,"0",B782:B1509,"5 1 1 3 4 12 31111 6 M78 07000 151 00C 001 13403 015*")</f>
        <v>0</v>
      </c>
      <c r="E781" s="29"/>
      <c r="F781" s="28">
        <f>SUMIFS(F782:F1509,K782:K1509,"0",B782:B1509,"5 1 1 3 4 12 31111 6 M78 07000 151 00C 001 13403 015*")</f>
        <v>173404.32</v>
      </c>
      <c r="G781" s="28">
        <f>SUMIFS(G782:G1509,K782:K1509,"0",B782:B1509,"5 1 1 3 4 12 31111 6 M78 07000 151 00C 001 13403 015*")</f>
        <v>0</v>
      </c>
      <c r="H781" s="28">
        <f t="shared" si="16"/>
        <v>173404.32</v>
      </c>
      <c r="I781" s="28"/>
      <c r="K781" t="s">
        <v>15</v>
      </c>
    </row>
    <row r="782" spans="2:11" ht="22" x14ac:dyDescent="0.15">
      <c r="B782" s="27" t="s">
        <v>1084</v>
      </c>
      <c r="C782" s="27" t="s">
        <v>744</v>
      </c>
      <c r="D782" s="28">
        <f>SUMIFS(D783:D1509,K783:K1509,"0",B783:B1509,"5 1 1 3 4 12 31111 6 M78 07000 151 00C 001 13403 015 2111100*")-SUMIFS(E783:E1509,K783:K1509,"0",B783:B1509,"5 1 1 3 4 12 31111 6 M78 07000 151 00C 001 13403 015 2111100*")</f>
        <v>0</v>
      </c>
      <c r="E782" s="29"/>
      <c r="F782" s="28">
        <f>SUMIFS(F783:F1509,K783:K1509,"0",B783:B1509,"5 1 1 3 4 12 31111 6 M78 07000 151 00C 001 13403 015 2111100*")</f>
        <v>173404.32</v>
      </c>
      <c r="G782" s="28">
        <f>SUMIFS(G783:G1509,K783:K1509,"0",B783:B1509,"5 1 1 3 4 12 31111 6 M78 07000 151 00C 001 13403 015 2111100*")</f>
        <v>0</v>
      </c>
      <c r="H782" s="28">
        <f t="shared" si="16"/>
        <v>173404.32</v>
      </c>
      <c r="I782" s="28"/>
      <c r="K782" t="s">
        <v>15</v>
      </c>
    </row>
    <row r="783" spans="2:11" ht="22" x14ac:dyDescent="0.15">
      <c r="B783" s="27" t="s">
        <v>1085</v>
      </c>
      <c r="C783" s="27" t="s">
        <v>248</v>
      </c>
      <c r="D783" s="28">
        <f>SUMIFS(D784:D1509,K784:K1509,"0",B784:B1509,"5 1 1 3 4 12 31111 6 M78 07000 151 00C 001 13403 015 2111100 2024*")-SUMIFS(E784:E1509,K784:K1509,"0",B784:B1509,"5 1 1 3 4 12 31111 6 M78 07000 151 00C 001 13403 015 2111100 2024*")</f>
        <v>0</v>
      </c>
      <c r="E783" s="29"/>
      <c r="F783" s="28">
        <f>SUMIFS(F784:F1509,K784:K1509,"0",B784:B1509,"5 1 1 3 4 12 31111 6 M78 07000 151 00C 001 13403 015 2111100 2024*")</f>
        <v>173404.32</v>
      </c>
      <c r="G783" s="28">
        <f>SUMIFS(G784:G1509,K784:K1509,"0",B784:B1509,"5 1 1 3 4 12 31111 6 M78 07000 151 00C 001 13403 015 2111100 2024*")</f>
        <v>0</v>
      </c>
      <c r="H783" s="28">
        <f t="shared" si="16"/>
        <v>173404.32</v>
      </c>
      <c r="I783" s="28"/>
      <c r="K783" t="s">
        <v>15</v>
      </c>
    </row>
    <row r="784" spans="2:11" ht="22" x14ac:dyDescent="0.15">
      <c r="B784" s="27" t="s">
        <v>1086</v>
      </c>
      <c r="C784" s="27" t="s">
        <v>182</v>
      </c>
      <c r="D784" s="28">
        <f>SUMIFS(D785:D1509,K785:K1509,"0",B785:B1509,"5 1 1 3 4 12 31111 6 M78 07000 151 00C 001 13403 015 2111100 2024 00000000*")-SUMIFS(E785:E1509,K785:K1509,"0",B785:B1509,"5 1 1 3 4 12 31111 6 M78 07000 151 00C 001 13403 015 2111100 2024 00000000*")</f>
        <v>0</v>
      </c>
      <c r="E784" s="29"/>
      <c r="F784" s="28">
        <f>SUMIFS(F785:F1509,K785:K1509,"0",B785:B1509,"5 1 1 3 4 12 31111 6 M78 07000 151 00C 001 13403 015 2111100 2024 00000000*")</f>
        <v>173404.32</v>
      </c>
      <c r="G784" s="28">
        <f>SUMIFS(G785:G1509,K785:K1509,"0",B785:B1509,"5 1 1 3 4 12 31111 6 M78 07000 151 00C 001 13403 015 2111100 2024 00000000*")</f>
        <v>0</v>
      </c>
      <c r="H784" s="28">
        <f t="shared" si="16"/>
        <v>173404.32</v>
      </c>
      <c r="I784" s="28"/>
      <c r="K784" t="s">
        <v>15</v>
      </c>
    </row>
    <row r="785" spans="2:11" ht="33" x14ac:dyDescent="0.15">
      <c r="B785" s="27" t="s">
        <v>1087</v>
      </c>
      <c r="C785" s="27" t="s">
        <v>9</v>
      </c>
      <c r="D785" s="28">
        <f>SUMIFS(D786:D1509,K786:K1509,"0",B786:B1509,"5 1 1 3 4 12 31111 6 M78 07000 151 00C 001 13403 015 2111100 2024 00000000 001*")-SUMIFS(E786:E1509,K786:K1509,"0",B786:B1509,"5 1 1 3 4 12 31111 6 M78 07000 151 00C 001 13403 015 2111100 2024 00000000 001*")</f>
        <v>0</v>
      </c>
      <c r="E785" s="29"/>
      <c r="F785" s="28">
        <f>SUMIFS(F786:F1509,K786:K1509,"0",B786:B1509,"5 1 1 3 4 12 31111 6 M78 07000 151 00C 001 13403 015 2111100 2024 00000000 001*")</f>
        <v>173404.32</v>
      </c>
      <c r="G785" s="28">
        <f>SUMIFS(G786:G1509,K786:K1509,"0",B786:B1509,"5 1 1 3 4 12 31111 6 M78 07000 151 00C 001 13403 015 2111100 2024 00000000 001*")</f>
        <v>0</v>
      </c>
      <c r="H785" s="28">
        <f t="shared" si="16"/>
        <v>173404.32</v>
      </c>
      <c r="I785" s="28"/>
      <c r="K785" t="s">
        <v>15</v>
      </c>
    </row>
    <row r="786" spans="2:11" ht="33" x14ac:dyDescent="0.15">
      <c r="B786" s="27" t="s">
        <v>1088</v>
      </c>
      <c r="C786" s="27" t="s">
        <v>814</v>
      </c>
      <c r="D786" s="28">
        <f>SUMIFS(D787:D1509,K787:K1509,"0",B787:B1509,"5 1 1 3 4 12 31111 6 M78 07000 151 00C 001 13403 015 2111100 2024 00000000 001 001*")-SUMIFS(E787:E1509,K787:K1509,"0",B787:B1509,"5 1 1 3 4 12 31111 6 M78 07000 151 00C 001 13403 015 2111100 2024 00000000 001 001*")</f>
        <v>0</v>
      </c>
      <c r="E786" s="29"/>
      <c r="F786" s="28">
        <f>SUMIFS(F787:F1509,K787:K1509,"0",B787:B1509,"5 1 1 3 4 12 31111 6 M78 07000 151 00C 001 13403 015 2111100 2024 00000000 001 001*")</f>
        <v>173404.32</v>
      </c>
      <c r="G786" s="28">
        <f>SUMIFS(G787:G1509,K787:K1509,"0",B787:B1509,"5 1 1 3 4 12 31111 6 M78 07000 151 00C 001 13403 015 2111100 2024 00000000 001 001*")</f>
        <v>0</v>
      </c>
      <c r="H786" s="28">
        <f t="shared" si="16"/>
        <v>173404.32</v>
      </c>
      <c r="I786" s="28"/>
      <c r="K786" t="s">
        <v>15</v>
      </c>
    </row>
    <row r="787" spans="2:11" ht="33" x14ac:dyDescent="0.15">
      <c r="B787" s="30" t="s">
        <v>1089</v>
      </c>
      <c r="C787" s="30" t="s">
        <v>1015</v>
      </c>
      <c r="D787" s="31">
        <v>0</v>
      </c>
      <c r="E787" s="31"/>
      <c r="F787" s="31">
        <v>173404.32</v>
      </c>
      <c r="G787" s="31">
        <v>0</v>
      </c>
      <c r="H787" s="31">
        <f t="shared" si="16"/>
        <v>173404.32</v>
      </c>
      <c r="I787" s="31"/>
      <c r="K787" t="s">
        <v>38</v>
      </c>
    </row>
    <row r="788" spans="2:11" ht="22" x14ac:dyDescent="0.15">
      <c r="B788" s="27" t="s">
        <v>1090</v>
      </c>
      <c r="C788" s="27" t="s">
        <v>1017</v>
      </c>
      <c r="D788" s="28">
        <f>SUMIFS(D789:D1509,K789:K1509,"0",B789:B1509,"5 1 1 3 4 12 31111 6 M78 07000 151 00C 001 13406*")-SUMIFS(E789:E1509,K789:K1509,"0",B789:B1509,"5 1 1 3 4 12 31111 6 M78 07000 151 00C 001 13406*")</f>
        <v>0</v>
      </c>
      <c r="E788" s="29"/>
      <c r="F788" s="28">
        <f>SUMIFS(F789:F1509,K789:K1509,"0",B789:B1509,"5 1 1 3 4 12 31111 6 M78 07000 151 00C 001 13406*")</f>
        <v>53756.3</v>
      </c>
      <c r="G788" s="28">
        <f>SUMIFS(G789:G1509,K789:K1509,"0",B789:B1509,"5 1 1 3 4 12 31111 6 M78 07000 151 00C 001 13406*")</f>
        <v>0</v>
      </c>
      <c r="H788" s="28">
        <f t="shared" si="16"/>
        <v>53756.3</v>
      </c>
      <c r="I788" s="28"/>
      <c r="K788" t="s">
        <v>15</v>
      </c>
    </row>
    <row r="789" spans="2:11" ht="22" x14ac:dyDescent="0.15">
      <c r="B789" s="27" t="s">
        <v>1091</v>
      </c>
      <c r="C789" s="27" t="s">
        <v>176</v>
      </c>
      <c r="D789" s="28">
        <f>SUMIFS(D790:D1509,K790:K1509,"0",B790:B1509,"5 1 1 3 4 12 31111 6 M78 07000 151 00C 001 13406 015*")-SUMIFS(E790:E1509,K790:K1509,"0",B790:B1509,"5 1 1 3 4 12 31111 6 M78 07000 151 00C 001 13406 015*")</f>
        <v>0</v>
      </c>
      <c r="E789" s="29"/>
      <c r="F789" s="28">
        <f>SUMIFS(F790:F1509,K790:K1509,"0",B790:B1509,"5 1 1 3 4 12 31111 6 M78 07000 151 00C 001 13406 015*")</f>
        <v>53756.3</v>
      </c>
      <c r="G789" s="28">
        <f>SUMIFS(G790:G1509,K790:K1509,"0",B790:B1509,"5 1 1 3 4 12 31111 6 M78 07000 151 00C 001 13406 015*")</f>
        <v>0</v>
      </c>
      <c r="H789" s="28">
        <f t="shared" si="16"/>
        <v>53756.3</v>
      </c>
      <c r="I789" s="28"/>
      <c r="K789" t="s">
        <v>15</v>
      </c>
    </row>
    <row r="790" spans="2:11" ht="22" x14ac:dyDescent="0.15">
      <c r="B790" s="27" t="s">
        <v>1092</v>
      </c>
      <c r="C790" s="27" t="s">
        <v>744</v>
      </c>
      <c r="D790" s="28">
        <f>SUMIFS(D791:D1509,K791:K1509,"0",B791:B1509,"5 1 1 3 4 12 31111 6 M78 07000 151 00C 001 13406 015 2111100*")-SUMIFS(E791:E1509,K791:K1509,"0",B791:B1509,"5 1 1 3 4 12 31111 6 M78 07000 151 00C 001 13406 015 2111100*")</f>
        <v>0</v>
      </c>
      <c r="E790" s="29"/>
      <c r="F790" s="28">
        <f>SUMIFS(F791:F1509,K791:K1509,"0",B791:B1509,"5 1 1 3 4 12 31111 6 M78 07000 151 00C 001 13406 015 2111100*")</f>
        <v>53756.3</v>
      </c>
      <c r="G790" s="28">
        <f>SUMIFS(G791:G1509,K791:K1509,"0",B791:B1509,"5 1 1 3 4 12 31111 6 M78 07000 151 00C 001 13406 015 2111100*")</f>
        <v>0</v>
      </c>
      <c r="H790" s="28">
        <f t="shared" si="16"/>
        <v>53756.3</v>
      </c>
      <c r="I790" s="28"/>
      <c r="K790" t="s">
        <v>15</v>
      </c>
    </row>
    <row r="791" spans="2:11" ht="22" x14ac:dyDescent="0.15">
      <c r="B791" s="27" t="s">
        <v>1093</v>
      </c>
      <c r="C791" s="27" t="s">
        <v>248</v>
      </c>
      <c r="D791" s="28">
        <f>SUMIFS(D792:D1509,K792:K1509,"0",B792:B1509,"5 1 1 3 4 12 31111 6 M78 07000 151 00C 001 13406 015 2111100 2024*")-SUMIFS(E792:E1509,K792:K1509,"0",B792:B1509,"5 1 1 3 4 12 31111 6 M78 07000 151 00C 001 13406 015 2111100 2024*")</f>
        <v>0</v>
      </c>
      <c r="E791" s="29"/>
      <c r="F791" s="28">
        <f>SUMIFS(F792:F1509,K792:K1509,"0",B792:B1509,"5 1 1 3 4 12 31111 6 M78 07000 151 00C 001 13406 015 2111100 2024*")</f>
        <v>53756.3</v>
      </c>
      <c r="G791" s="28">
        <f>SUMIFS(G792:G1509,K792:K1509,"0",B792:B1509,"5 1 1 3 4 12 31111 6 M78 07000 151 00C 001 13406 015 2111100 2024*")</f>
        <v>0</v>
      </c>
      <c r="H791" s="28">
        <f t="shared" si="16"/>
        <v>53756.3</v>
      </c>
      <c r="I791" s="28"/>
      <c r="K791" t="s">
        <v>15</v>
      </c>
    </row>
    <row r="792" spans="2:11" ht="22" x14ac:dyDescent="0.15">
      <c r="B792" s="27" t="s">
        <v>1094</v>
      </c>
      <c r="C792" s="27" t="s">
        <v>182</v>
      </c>
      <c r="D792" s="28">
        <f>SUMIFS(D793:D1509,K793:K1509,"0",B793:B1509,"5 1 1 3 4 12 31111 6 M78 07000 151 00C 001 13406 015 2111100 2024 00000000*")-SUMIFS(E793:E1509,K793:K1509,"0",B793:B1509,"5 1 1 3 4 12 31111 6 M78 07000 151 00C 001 13406 015 2111100 2024 00000000*")</f>
        <v>0</v>
      </c>
      <c r="E792" s="29"/>
      <c r="F792" s="28">
        <f>SUMIFS(F793:F1509,K793:K1509,"0",B793:B1509,"5 1 1 3 4 12 31111 6 M78 07000 151 00C 001 13406 015 2111100 2024 00000000*")</f>
        <v>53756.3</v>
      </c>
      <c r="G792" s="28">
        <f>SUMIFS(G793:G1509,K793:K1509,"0",B793:B1509,"5 1 1 3 4 12 31111 6 M78 07000 151 00C 001 13406 015 2111100 2024 00000000*")</f>
        <v>0</v>
      </c>
      <c r="H792" s="28">
        <f t="shared" si="16"/>
        <v>53756.3</v>
      </c>
      <c r="I792" s="28"/>
      <c r="K792" t="s">
        <v>15</v>
      </c>
    </row>
    <row r="793" spans="2:11" ht="33" x14ac:dyDescent="0.15">
      <c r="B793" s="27" t="s">
        <v>1095</v>
      </c>
      <c r="C793" s="27" t="s">
        <v>9</v>
      </c>
      <c r="D793" s="28">
        <f>SUMIFS(D794:D1509,K794:K1509,"0",B794:B1509,"5 1 1 3 4 12 31111 6 M78 07000 151 00C 001 13406 015 2111100 2024 00000000 001*")-SUMIFS(E794:E1509,K794:K1509,"0",B794:B1509,"5 1 1 3 4 12 31111 6 M78 07000 151 00C 001 13406 015 2111100 2024 00000000 001*")</f>
        <v>0</v>
      </c>
      <c r="E793" s="29"/>
      <c r="F793" s="28">
        <f>SUMIFS(F794:F1509,K794:K1509,"0",B794:B1509,"5 1 1 3 4 12 31111 6 M78 07000 151 00C 001 13406 015 2111100 2024 00000000 001*")</f>
        <v>53756.3</v>
      </c>
      <c r="G793" s="28">
        <f>SUMIFS(G794:G1509,K794:K1509,"0",B794:B1509,"5 1 1 3 4 12 31111 6 M78 07000 151 00C 001 13406 015 2111100 2024 00000000 001*")</f>
        <v>0</v>
      </c>
      <c r="H793" s="28">
        <f t="shared" si="16"/>
        <v>53756.3</v>
      </c>
      <c r="I793" s="28"/>
      <c r="K793" t="s">
        <v>15</v>
      </c>
    </row>
    <row r="794" spans="2:11" ht="33" x14ac:dyDescent="0.15">
      <c r="B794" s="27" t="s">
        <v>1096</v>
      </c>
      <c r="C794" s="27" t="s">
        <v>814</v>
      </c>
      <c r="D794" s="28">
        <f>SUMIFS(D795:D1509,K795:K1509,"0",B795:B1509,"5 1 1 3 4 12 31111 6 M78 07000 151 00C 001 13406 015 2111100 2024 00000000 001 001*")-SUMIFS(E795:E1509,K795:K1509,"0",B795:B1509,"5 1 1 3 4 12 31111 6 M78 07000 151 00C 001 13406 015 2111100 2024 00000000 001 001*")</f>
        <v>0</v>
      </c>
      <c r="E794" s="29"/>
      <c r="F794" s="28">
        <f>SUMIFS(F795:F1509,K795:K1509,"0",B795:B1509,"5 1 1 3 4 12 31111 6 M78 07000 151 00C 001 13406 015 2111100 2024 00000000 001 001*")</f>
        <v>53756.3</v>
      </c>
      <c r="G794" s="28">
        <f>SUMIFS(G795:G1509,K795:K1509,"0",B795:B1509,"5 1 1 3 4 12 31111 6 M78 07000 151 00C 001 13406 015 2111100 2024 00000000 001 001*")</f>
        <v>0</v>
      </c>
      <c r="H794" s="28">
        <f t="shared" si="16"/>
        <v>53756.3</v>
      </c>
      <c r="I794" s="28"/>
      <c r="K794" t="s">
        <v>15</v>
      </c>
    </row>
    <row r="795" spans="2:11" ht="33" x14ac:dyDescent="0.15">
      <c r="B795" s="30" t="s">
        <v>1097</v>
      </c>
      <c r="C795" s="30" t="s">
        <v>1025</v>
      </c>
      <c r="D795" s="31">
        <v>0</v>
      </c>
      <c r="E795" s="31"/>
      <c r="F795" s="31">
        <v>53756.3</v>
      </c>
      <c r="G795" s="31">
        <v>0</v>
      </c>
      <c r="H795" s="31">
        <f t="shared" si="16"/>
        <v>53756.3</v>
      </c>
      <c r="I795" s="31"/>
      <c r="K795" t="s">
        <v>38</v>
      </c>
    </row>
    <row r="796" spans="2:11" ht="13" x14ac:dyDescent="0.15">
      <c r="B796" s="27" t="s">
        <v>1098</v>
      </c>
      <c r="C796" s="27" t="s">
        <v>817</v>
      </c>
      <c r="D796" s="28">
        <f>SUMIFS(D797:D1509,K797:K1509,"0",B797:B1509,"5 1 1 3 4 12 31111 6 M78 08000*")-SUMIFS(E797:E1509,K797:K1509,"0",B797:B1509,"5 1 1 3 4 12 31111 6 M78 08000*")</f>
        <v>0</v>
      </c>
      <c r="E796" s="29"/>
      <c r="F796" s="28">
        <f>SUMIFS(F797:F1509,K797:K1509,"0",B797:B1509,"5 1 1 3 4 12 31111 6 M78 08000*")</f>
        <v>29970.7</v>
      </c>
      <c r="G796" s="28">
        <f>SUMIFS(G797:G1509,K797:K1509,"0",B797:B1509,"5 1 1 3 4 12 31111 6 M78 08000*")</f>
        <v>0</v>
      </c>
      <c r="H796" s="28">
        <f t="shared" si="16"/>
        <v>29970.7</v>
      </c>
      <c r="I796" s="28"/>
      <c r="K796" t="s">
        <v>15</v>
      </c>
    </row>
    <row r="797" spans="2:11" ht="13" x14ac:dyDescent="0.15">
      <c r="B797" s="27" t="s">
        <v>1099</v>
      </c>
      <c r="C797" s="27" t="s">
        <v>819</v>
      </c>
      <c r="D797" s="28">
        <f>SUMIFS(D798:D1509,K798:K1509,"0",B798:B1509,"5 1 1 3 4 12 31111 6 M78 08000 134*")-SUMIFS(E798:E1509,K798:K1509,"0",B798:B1509,"5 1 1 3 4 12 31111 6 M78 08000 134*")</f>
        <v>0</v>
      </c>
      <c r="E797" s="29"/>
      <c r="F797" s="28">
        <f>SUMIFS(F798:F1509,K798:K1509,"0",B798:B1509,"5 1 1 3 4 12 31111 6 M78 08000 134*")</f>
        <v>29970.7</v>
      </c>
      <c r="G797" s="28">
        <f>SUMIFS(G798:G1509,K798:K1509,"0",B798:B1509,"5 1 1 3 4 12 31111 6 M78 08000 134*")</f>
        <v>0</v>
      </c>
      <c r="H797" s="28">
        <f t="shared" si="16"/>
        <v>29970.7</v>
      </c>
      <c r="I797" s="28"/>
      <c r="K797" t="s">
        <v>15</v>
      </c>
    </row>
    <row r="798" spans="2:11" ht="13" x14ac:dyDescent="0.15">
      <c r="B798" s="27" t="s">
        <v>1100</v>
      </c>
      <c r="C798" s="27" t="s">
        <v>170</v>
      </c>
      <c r="D798" s="28">
        <f>SUMIFS(D799:D1509,K799:K1509,"0",B799:B1509,"5 1 1 3 4 12 31111 6 M78 08000 134 00C*")-SUMIFS(E799:E1509,K799:K1509,"0",B799:B1509,"5 1 1 3 4 12 31111 6 M78 08000 134 00C*")</f>
        <v>0</v>
      </c>
      <c r="E798" s="29"/>
      <c r="F798" s="28">
        <f>SUMIFS(F799:F1509,K799:K1509,"0",B799:B1509,"5 1 1 3 4 12 31111 6 M78 08000 134 00C*")</f>
        <v>29970.7</v>
      </c>
      <c r="G798" s="28">
        <f>SUMIFS(G799:G1509,K799:K1509,"0",B799:B1509,"5 1 1 3 4 12 31111 6 M78 08000 134 00C*")</f>
        <v>0</v>
      </c>
      <c r="H798" s="28">
        <f t="shared" si="16"/>
        <v>29970.7</v>
      </c>
      <c r="I798" s="28"/>
      <c r="K798" t="s">
        <v>15</v>
      </c>
    </row>
    <row r="799" spans="2:11" ht="22" x14ac:dyDescent="0.15">
      <c r="B799" s="27" t="s">
        <v>1101</v>
      </c>
      <c r="C799" s="27" t="s">
        <v>9</v>
      </c>
      <c r="D799" s="28">
        <f>SUMIFS(D800:D1509,K800:K1509,"0",B800:B1509,"5 1 1 3 4 12 31111 6 M78 08000 134 00C 001*")-SUMIFS(E800:E1509,K800:K1509,"0",B800:B1509,"5 1 1 3 4 12 31111 6 M78 08000 134 00C 001*")</f>
        <v>0</v>
      </c>
      <c r="E799" s="29"/>
      <c r="F799" s="28">
        <f>SUMIFS(F800:F1509,K800:K1509,"0",B800:B1509,"5 1 1 3 4 12 31111 6 M78 08000 134 00C 001*")</f>
        <v>29970.7</v>
      </c>
      <c r="G799" s="28">
        <f>SUMIFS(G800:G1509,K800:K1509,"0",B800:B1509,"5 1 1 3 4 12 31111 6 M78 08000 134 00C 001*")</f>
        <v>0</v>
      </c>
      <c r="H799" s="28">
        <f t="shared" si="16"/>
        <v>29970.7</v>
      </c>
      <c r="I799" s="28"/>
      <c r="K799" t="s">
        <v>15</v>
      </c>
    </row>
    <row r="800" spans="2:11" ht="22" x14ac:dyDescent="0.15">
      <c r="B800" s="27" t="s">
        <v>1102</v>
      </c>
      <c r="C800" s="27" t="s">
        <v>1007</v>
      </c>
      <c r="D800" s="28">
        <f>SUMIFS(D801:D1509,K801:K1509,"0",B801:B1509,"5 1 1 3 4 12 31111 6 M78 08000 134 00C 001 13403*")-SUMIFS(E801:E1509,K801:K1509,"0",B801:B1509,"5 1 1 3 4 12 31111 6 M78 08000 134 00C 001 13403*")</f>
        <v>0</v>
      </c>
      <c r="E800" s="29"/>
      <c r="F800" s="28">
        <f>SUMIFS(F801:F1509,K801:K1509,"0",B801:B1509,"5 1 1 3 4 12 31111 6 M78 08000 134 00C 001 13403*")</f>
        <v>24947.9</v>
      </c>
      <c r="G800" s="28">
        <f>SUMIFS(G801:G1509,K801:K1509,"0",B801:B1509,"5 1 1 3 4 12 31111 6 M78 08000 134 00C 001 13403*")</f>
        <v>0</v>
      </c>
      <c r="H800" s="28">
        <f t="shared" ref="H800:H863" si="17">D800 + F800 - G800</f>
        <v>24947.9</v>
      </c>
      <c r="I800" s="28"/>
      <c r="K800" t="s">
        <v>15</v>
      </c>
    </row>
    <row r="801" spans="2:11" ht="22" x14ac:dyDescent="0.15">
      <c r="B801" s="27" t="s">
        <v>1103</v>
      </c>
      <c r="C801" s="27" t="s">
        <v>176</v>
      </c>
      <c r="D801" s="28">
        <f>SUMIFS(D802:D1509,K802:K1509,"0",B802:B1509,"5 1 1 3 4 12 31111 6 M78 08000 134 00C 001 13403 015*")-SUMIFS(E802:E1509,K802:K1509,"0",B802:B1509,"5 1 1 3 4 12 31111 6 M78 08000 134 00C 001 13403 015*")</f>
        <v>0</v>
      </c>
      <c r="E801" s="29"/>
      <c r="F801" s="28">
        <f>SUMIFS(F802:F1509,K802:K1509,"0",B802:B1509,"5 1 1 3 4 12 31111 6 M78 08000 134 00C 001 13403 015*")</f>
        <v>24947.9</v>
      </c>
      <c r="G801" s="28">
        <f>SUMIFS(G802:G1509,K802:K1509,"0",B802:B1509,"5 1 1 3 4 12 31111 6 M78 08000 134 00C 001 13403 015*")</f>
        <v>0</v>
      </c>
      <c r="H801" s="28">
        <f t="shared" si="17"/>
        <v>24947.9</v>
      </c>
      <c r="I801" s="28"/>
      <c r="K801" t="s">
        <v>15</v>
      </c>
    </row>
    <row r="802" spans="2:11" ht="22" x14ac:dyDescent="0.15">
      <c r="B802" s="27" t="s">
        <v>1104</v>
      </c>
      <c r="C802" s="27" t="s">
        <v>744</v>
      </c>
      <c r="D802" s="28">
        <f>SUMIFS(D803:D1509,K803:K1509,"0",B803:B1509,"5 1 1 3 4 12 31111 6 M78 08000 134 00C 001 13403 015 2111100*")-SUMIFS(E803:E1509,K803:K1509,"0",B803:B1509,"5 1 1 3 4 12 31111 6 M78 08000 134 00C 001 13403 015 2111100*")</f>
        <v>0</v>
      </c>
      <c r="E802" s="29"/>
      <c r="F802" s="28">
        <f>SUMIFS(F803:F1509,K803:K1509,"0",B803:B1509,"5 1 1 3 4 12 31111 6 M78 08000 134 00C 001 13403 015 2111100*")</f>
        <v>24947.9</v>
      </c>
      <c r="G802" s="28">
        <f>SUMIFS(G803:G1509,K803:K1509,"0",B803:B1509,"5 1 1 3 4 12 31111 6 M78 08000 134 00C 001 13403 015 2111100*")</f>
        <v>0</v>
      </c>
      <c r="H802" s="28">
        <f t="shared" si="17"/>
        <v>24947.9</v>
      </c>
      <c r="I802" s="28"/>
      <c r="K802" t="s">
        <v>15</v>
      </c>
    </row>
    <row r="803" spans="2:11" ht="22" x14ac:dyDescent="0.15">
      <c r="B803" s="27" t="s">
        <v>1105</v>
      </c>
      <c r="C803" s="27" t="s">
        <v>248</v>
      </c>
      <c r="D803" s="28">
        <f>SUMIFS(D804:D1509,K804:K1509,"0",B804:B1509,"5 1 1 3 4 12 31111 6 M78 08000 134 00C 001 13403 015 2111100 2024*")-SUMIFS(E804:E1509,K804:K1509,"0",B804:B1509,"5 1 1 3 4 12 31111 6 M78 08000 134 00C 001 13403 015 2111100 2024*")</f>
        <v>0</v>
      </c>
      <c r="E803" s="29"/>
      <c r="F803" s="28">
        <f>SUMIFS(F804:F1509,K804:K1509,"0",B804:B1509,"5 1 1 3 4 12 31111 6 M78 08000 134 00C 001 13403 015 2111100 2024*")</f>
        <v>24947.9</v>
      </c>
      <c r="G803" s="28">
        <f>SUMIFS(G804:G1509,K804:K1509,"0",B804:B1509,"5 1 1 3 4 12 31111 6 M78 08000 134 00C 001 13403 015 2111100 2024*")</f>
        <v>0</v>
      </c>
      <c r="H803" s="28">
        <f t="shared" si="17"/>
        <v>24947.9</v>
      </c>
      <c r="I803" s="28"/>
      <c r="K803" t="s">
        <v>15</v>
      </c>
    </row>
    <row r="804" spans="2:11" ht="22" x14ac:dyDescent="0.15">
      <c r="B804" s="27" t="s">
        <v>1106</v>
      </c>
      <c r="C804" s="27" t="s">
        <v>182</v>
      </c>
      <c r="D804" s="28">
        <f>SUMIFS(D805:D1509,K805:K1509,"0",B805:B1509,"5 1 1 3 4 12 31111 6 M78 08000 134 00C 001 13403 015 2111100 2024 00000000*")-SUMIFS(E805:E1509,K805:K1509,"0",B805:B1509,"5 1 1 3 4 12 31111 6 M78 08000 134 00C 001 13403 015 2111100 2024 00000000*")</f>
        <v>0</v>
      </c>
      <c r="E804" s="29"/>
      <c r="F804" s="28">
        <f>SUMIFS(F805:F1509,K805:K1509,"0",B805:B1509,"5 1 1 3 4 12 31111 6 M78 08000 134 00C 001 13403 015 2111100 2024 00000000*")</f>
        <v>24947.9</v>
      </c>
      <c r="G804" s="28">
        <f>SUMIFS(G805:G1509,K805:K1509,"0",B805:B1509,"5 1 1 3 4 12 31111 6 M78 08000 134 00C 001 13403 015 2111100 2024 00000000*")</f>
        <v>0</v>
      </c>
      <c r="H804" s="28">
        <f t="shared" si="17"/>
        <v>24947.9</v>
      </c>
      <c r="I804" s="28"/>
      <c r="K804" t="s">
        <v>15</v>
      </c>
    </row>
    <row r="805" spans="2:11" ht="33" x14ac:dyDescent="0.15">
      <c r="B805" s="27" t="s">
        <v>1107</v>
      </c>
      <c r="C805" s="27" t="s">
        <v>9</v>
      </c>
      <c r="D805" s="28">
        <f>SUMIFS(D806:D1509,K806:K1509,"0",B806:B1509,"5 1 1 3 4 12 31111 6 M78 08000 134 00C 001 13403 015 2111100 2024 00000000 001*")-SUMIFS(E806:E1509,K806:K1509,"0",B806:B1509,"5 1 1 3 4 12 31111 6 M78 08000 134 00C 001 13403 015 2111100 2024 00000000 001*")</f>
        <v>0</v>
      </c>
      <c r="E805" s="29"/>
      <c r="F805" s="28">
        <f>SUMIFS(F806:F1509,K806:K1509,"0",B806:B1509,"5 1 1 3 4 12 31111 6 M78 08000 134 00C 001 13403 015 2111100 2024 00000000 001*")</f>
        <v>24947.9</v>
      </c>
      <c r="G805" s="28">
        <f>SUMIFS(G806:G1509,K806:K1509,"0",B806:B1509,"5 1 1 3 4 12 31111 6 M78 08000 134 00C 001 13403 015 2111100 2024 00000000 001*")</f>
        <v>0</v>
      </c>
      <c r="H805" s="28">
        <f t="shared" si="17"/>
        <v>24947.9</v>
      </c>
      <c r="I805" s="28"/>
      <c r="K805" t="s">
        <v>15</v>
      </c>
    </row>
    <row r="806" spans="2:11" ht="33" x14ac:dyDescent="0.15">
      <c r="B806" s="27" t="s">
        <v>1108</v>
      </c>
      <c r="C806" s="27" t="s">
        <v>1109</v>
      </c>
      <c r="D806" s="28">
        <f>SUMIFS(D807:D1509,K807:K1509,"0",B807:B1509,"5 1 1 3 4 12 31111 6 M78 08000 134 00C 001 13403 015 2111100 2024 00000000 001 001*")-SUMIFS(E807:E1509,K807:K1509,"0",B807:B1509,"5 1 1 3 4 12 31111 6 M78 08000 134 00C 001 13403 015 2111100 2024 00000000 001 001*")</f>
        <v>0</v>
      </c>
      <c r="E806" s="29"/>
      <c r="F806" s="28">
        <f>SUMIFS(F807:F1509,K807:K1509,"0",B807:B1509,"5 1 1 3 4 12 31111 6 M78 08000 134 00C 001 13403 015 2111100 2024 00000000 001 001*")</f>
        <v>24947.9</v>
      </c>
      <c r="G806" s="28">
        <f>SUMIFS(G807:G1509,K807:K1509,"0",B807:B1509,"5 1 1 3 4 12 31111 6 M78 08000 134 00C 001 13403 015 2111100 2024 00000000 001 001*")</f>
        <v>0</v>
      </c>
      <c r="H806" s="28">
        <f t="shared" si="17"/>
        <v>24947.9</v>
      </c>
      <c r="I806" s="28"/>
      <c r="K806" t="s">
        <v>15</v>
      </c>
    </row>
    <row r="807" spans="2:11" ht="33" x14ac:dyDescent="0.15">
      <c r="B807" s="30" t="s">
        <v>1110</v>
      </c>
      <c r="C807" s="30" t="s">
        <v>1015</v>
      </c>
      <c r="D807" s="31">
        <v>0</v>
      </c>
      <c r="E807" s="31"/>
      <c r="F807" s="31">
        <v>24947.9</v>
      </c>
      <c r="G807" s="31">
        <v>0</v>
      </c>
      <c r="H807" s="31">
        <f t="shared" si="17"/>
        <v>24947.9</v>
      </c>
      <c r="I807" s="31"/>
      <c r="K807" t="s">
        <v>38</v>
      </c>
    </row>
    <row r="808" spans="2:11" ht="22" x14ac:dyDescent="0.15">
      <c r="B808" s="27" t="s">
        <v>1111</v>
      </c>
      <c r="C808" s="27" t="s">
        <v>1017</v>
      </c>
      <c r="D808" s="28">
        <f>SUMIFS(D809:D1509,K809:K1509,"0",B809:B1509,"5 1 1 3 4 12 31111 6 M78 08000 134 00C 001 13406*")-SUMIFS(E809:E1509,K809:K1509,"0",B809:B1509,"5 1 1 3 4 12 31111 6 M78 08000 134 00C 001 13406*")</f>
        <v>0</v>
      </c>
      <c r="E808" s="29"/>
      <c r="F808" s="28">
        <f>SUMIFS(F809:F1509,K809:K1509,"0",B809:B1509,"5 1 1 3 4 12 31111 6 M78 08000 134 00C 001 13406*")</f>
        <v>5022.8</v>
      </c>
      <c r="G808" s="28">
        <f>SUMIFS(G809:G1509,K809:K1509,"0",B809:B1509,"5 1 1 3 4 12 31111 6 M78 08000 134 00C 001 13406*")</f>
        <v>0</v>
      </c>
      <c r="H808" s="28">
        <f t="shared" si="17"/>
        <v>5022.8</v>
      </c>
      <c r="I808" s="28"/>
      <c r="K808" t="s">
        <v>15</v>
      </c>
    </row>
    <row r="809" spans="2:11" ht="22" x14ac:dyDescent="0.15">
      <c r="B809" s="27" t="s">
        <v>1112</v>
      </c>
      <c r="C809" s="27" t="s">
        <v>176</v>
      </c>
      <c r="D809" s="28">
        <f>SUMIFS(D810:D1509,K810:K1509,"0",B810:B1509,"5 1 1 3 4 12 31111 6 M78 08000 134 00C 001 13406 015*")-SUMIFS(E810:E1509,K810:K1509,"0",B810:B1509,"5 1 1 3 4 12 31111 6 M78 08000 134 00C 001 13406 015*")</f>
        <v>0</v>
      </c>
      <c r="E809" s="29"/>
      <c r="F809" s="28">
        <f>SUMIFS(F810:F1509,K810:K1509,"0",B810:B1509,"5 1 1 3 4 12 31111 6 M78 08000 134 00C 001 13406 015*")</f>
        <v>5022.8</v>
      </c>
      <c r="G809" s="28">
        <f>SUMIFS(G810:G1509,K810:K1509,"0",B810:B1509,"5 1 1 3 4 12 31111 6 M78 08000 134 00C 001 13406 015*")</f>
        <v>0</v>
      </c>
      <c r="H809" s="28">
        <f t="shared" si="17"/>
        <v>5022.8</v>
      </c>
      <c r="I809" s="28"/>
      <c r="K809" t="s">
        <v>15</v>
      </c>
    </row>
    <row r="810" spans="2:11" ht="22" x14ac:dyDescent="0.15">
      <c r="B810" s="27" t="s">
        <v>1113</v>
      </c>
      <c r="C810" s="27" t="s">
        <v>744</v>
      </c>
      <c r="D810" s="28">
        <f>SUMIFS(D811:D1509,K811:K1509,"0",B811:B1509,"5 1 1 3 4 12 31111 6 M78 08000 134 00C 001 13406 015 2111100*")-SUMIFS(E811:E1509,K811:K1509,"0",B811:B1509,"5 1 1 3 4 12 31111 6 M78 08000 134 00C 001 13406 015 2111100*")</f>
        <v>0</v>
      </c>
      <c r="E810" s="29"/>
      <c r="F810" s="28">
        <f>SUMIFS(F811:F1509,K811:K1509,"0",B811:B1509,"5 1 1 3 4 12 31111 6 M78 08000 134 00C 001 13406 015 2111100*")</f>
        <v>5022.8</v>
      </c>
      <c r="G810" s="28">
        <f>SUMIFS(G811:G1509,K811:K1509,"0",B811:B1509,"5 1 1 3 4 12 31111 6 M78 08000 134 00C 001 13406 015 2111100*")</f>
        <v>0</v>
      </c>
      <c r="H810" s="28">
        <f t="shared" si="17"/>
        <v>5022.8</v>
      </c>
      <c r="I810" s="28"/>
      <c r="K810" t="s">
        <v>15</v>
      </c>
    </row>
    <row r="811" spans="2:11" ht="22" x14ac:dyDescent="0.15">
      <c r="B811" s="27" t="s">
        <v>1114</v>
      </c>
      <c r="C811" s="27" t="s">
        <v>248</v>
      </c>
      <c r="D811" s="28">
        <f>SUMIFS(D812:D1509,K812:K1509,"0",B812:B1509,"5 1 1 3 4 12 31111 6 M78 08000 134 00C 001 13406 015 2111100 2024*")-SUMIFS(E812:E1509,K812:K1509,"0",B812:B1509,"5 1 1 3 4 12 31111 6 M78 08000 134 00C 001 13406 015 2111100 2024*")</f>
        <v>0</v>
      </c>
      <c r="E811" s="29"/>
      <c r="F811" s="28">
        <f>SUMIFS(F812:F1509,K812:K1509,"0",B812:B1509,"5 1 1 3 4 12 31111 6 M78 08000 134 00C 001 13406 015 2111100 2024*")</f>
        <v>5022.8</v>
      </c>
      <c r="G811" s="28">
        <f>SUMIFS(G812:G1509,K812:K1509,"0",B812:B1509,"5 1 1 3 4 12 31111 6 M78 08000 134 00C 001 13406 015 2111100 2024*")</f>
        <v>0</v>
      </c>
      <c r="H811" s="28">
        <f t="shared" si="17"/>
        <v>5022.8</v>
      </c>
      <c r="I811" s="28"/>
      <c r="K811" t="s">
        <v>15</v>
      </c>
    </row>
    <row r="812" spans="2:11" ht="22" x14ac:dyDescent="0.15">
      <c r="B812" s="27" t="s">
        <v>1115</v>
      </c>
      <c r="C812" s="27" t="s">
        <v>182</v>
      </c>
      <c r="D812" s="28">
        <f>SUMIFS(D813:D1509,K813:K1509,"0",B813:B1509,"5 1 1 3 4 12 31111 6 M78 08000 134 00C 001 13406 015 2111100 2024 00000000*")-SUMIFS(E813:E1509,K813:K1509,"0",B813:B1509,"5 1 1 3 4 12 31111 6 M78 08000 134 00C 001 13406 015 2111100 2024 00000000*")</f>
        <v>0</v>
      </c>
      <c r="E812" s="29"/>
      <c r="F812" s="28">
        <f>SUMIFS(F813:F1509,K813:K1509,"0",B813:B1509,"5 1 1 3 4 12 31111 6 M78 08000 134 00C 001 13406 015 2111100 2024 00000000*")</f>
        <v>5022.8</v>
      </c>
      <c r="G812" s="28">
        <f>SUMIFS(G813:G1509,K813:K1509,"0",B813:B1509,"5 1 1 3 4 12 31111 6 M78 08000 134 00C 001 13406 015 2111100 2024 00000000*")</f>
        <v>0</v>
      </c>
      <c r="H812" s="28">
        <f t="shared" si="17"/>
        <v>5022.8</v>
      </c>
      <c r="I812" s="28"/>
      <c r="K812" t="s">
        <v>15</v>
      </c>
    </row>
    <row r="813" spans="2:11" ht="33" x14ac:dyDescent="0.15">
      <c r="B813" s="27" t="s">
        <v>1116</v>
      </c>
      <c r="C813" s="27" t="s">
        <v>9</v>
      </c>
      <c r="D813" s="28">
        <f>SUMIFS(D814:D1509,K814:K1509,"0",B814:B1509,"5 1 1 3 4 12 31111 6 M78 08000 134 00C 001 13406 015 2111100 2024 00000000 001*")-SUMIFS(E814:E1509,K814:K1509,"0",B814:B1509,"5 1 1 3 4 12 31111 6 M78 08000 134 00C 001 13406 015 2111100 2024 00000000 001*")</f>
        <v>0</v>
      </c>
      <c r="E813" s="29"/>
      <c r="F813" s="28">
        <f>SUMIFS(F814:F1509,K814:K1509,"0",B814:B1509,"5 1 1 3 4 12 31111 6 M78 08000 134 00C 001 13406 015 2111100 2024 00000000 001*")</f>
        <v>5022.8</v>
      </c>
      <c r="G813" s="28">
        <f>SUMIFS(G814:G1509,K814:K1509,"0",B814:B1509,"5 1 1 3 4 12 31111 6 M78 08000 134 00C 001 13406 015 2111100 2024 00000000 001*")</f>
        <v>0</v>
      </c>
      <c r="H813" s="28">
        <f t="shared" si="17"/>
        <v>5022.8</v>
      </c>
      <c r="I813" s="28"/>
      <c r="K813" t="s">
        <v>15</v>
      </c>
    </row>
    <row r="814" spans="2:11" ht="33" x14ac:dyDescent="0.15">
      <c r="B814" s="27" t="s">
        <v>1117</v>
      </c>
      <c r="C814" s="27" t="s">
        <v>829</v>
      </c>
      <c r="D814" s="28">
        <f>SUMIFS(D815:D1509,K815:K1509,"0",B815:B1509,"5 1 1 3 4 12 31111 6 M78 08000 134 00C 001 13406 015 2111100 2024 00000000 001 001*")-SUMIFS(E815:E1509,K815:K1509,"0",B815:B1509,"5 1 1 3 4 12 31111 6 M78 08000 134 00C 001 13406 015 2111100 2024 00000000 001 001*")</f>
        <v>0</v>
      </c>
      <c r="E814" s="29"/>
      <c r="F814" s="28">
        <f>SUMIFS(F815:F1509,K815:K1509,"0",B815:B1509,"5 1 1 3 4 12 31111 6 M78 08000 134 00C 001 13406 015 2111100 2024 00000000 001 001*")</f>
        <v>5022.8</v>
      </c>
      <c r="G814" s="28">
        <f>SUMIFS(G815:G1509,K815:K1509,"0",B815:B1509,"5 1 1 3 4 12 31111 6 M78 08000 134 00C 001 13406 015 2111100 2024 00000000 001 001*")</f>
        <v>0</v>
      </c>
      <c r="H814" s="28">
        <f t="shared" si="17"/>
        <v>5022.8</v>
      </c>
      <c r="I814" s="28"/>
      <c r="K814" t="s">
        <v>15</v>
      </c>
    </row>
    <row r="815" spans="2:11" ht="33" x14ac:dyDescent="0.15">
      <c r="B815" s="30" t="s">
        <v>1118</v>
      </c>
      <c r="C815" s="30" t="s">
        <v>1025</v>
      </c>
      <c r="D815" s="31">
        <v>0</v>
      </c>
      <c r="E815" s="31"/>
      <c r="F815" s="31">
        <v>5022.8</v>
      </c>
      <c r="G815" s="31">
        <v>0</v>
      </c>
      <c r="H815" s="31">
        <f t="shared" si="17"/>
        <v>5022.8</v>
      </c>
      <c r="I815" s="31"/>
      <c r="K815" t="s">
        <v>38</v>
      </c>
    </row>
    <row r="816" spans="2:11" ht="13" x14ac:dyDescent="0.15">
      <c r="B816" s="27" t="s">
        <v>1119</v>
      </c>
      <c r="C816" s="27" t="s">
        <v>832</v>
      </c>
      <c r="D816" s="28">
        <f>SUMIFS(D817:D1509,K817:K1509,"0",B817:B1509,"5 1 1 3 4 12 31111 6 M78 09000*")-SUMIFS(E817:E1509,K817:K1509,"0",B817:B1509,"5 1 1 3 4 12 31111 6 M78 09000*")</f>
        <v>0</v>
      </c>
      <c r="E816" s="29"/>
      <c r="F816" s="28">
        <f>SUMIFS(F817:F1509,K817:K1509,"0",B817:B1509,"5 1 1 3 4 12 31111 6 M78 09000*")</f>
        <v>93821.22</v>
      </c>
      <c r="G816" s="28">
        <f>SUMIFS(G817:G1509,K817:K1509,"0",B817:B1509,"5 1 1 3 4 12 31111 6 M78 09000*")</f>
        <v>0</v>
      </c>
      <c r="H816" s="28">
        <f t="shared" si="17"/>
        <v>93821.22</v>
      </c>
      <c r="I816" s="28"/>
      <c r="K816" t="s">
        <v>15</v>
      </c>
    </row>
    <row r="817" spans="2:11" ht="13" x14ac:dyDescent="0.15">
      <c r="B817" s="27" t="s">
        <v>1120</v>
      </c>
      <c r="C817" s="27" t="s">
        <v>819</v>
      </c>
      <c r="D817" s="28">
        <f>SUMIFS(D818:D1509,K818:K1509,"0",B818:B1509,"5 1 1 3 4 12 31111 6 M78 09000 134*")-SUMIFS(E818:E1509,K818:K1509,"0",B818:B1509,"5 1 1 3 4 12 31111 6 M78 09000 134*")</f>
        <v>0</v>
      </c>
      <c r="E817" s="29"/>
      <c r="F817" s="28">
        <f>SUMIFS(F818:F1509,K818:K1509,"0",B818:B1509,"5 1 1 3 4 12 31111 6 M78 09000 134*")</f>
        <v>93821.22</v>
      </c>
      <c r="G817" s="28">
        <f>SUMIFS(G818:G1509,K818:K1509,"0",B818:B1509,"5 1 1 3 4 12 31111 6 M78 09000 134*")</f>
        <v>0</v>
      </c>
      <c r="H817" s="28">
        <f t="shared" si="17"/>
        <v>93821.22</v>
      </c>
      <c r="I817" s="28"/>
      <c r="K817" t="s">
        <v>15</v>
      </c>
    </row>
    <row r="818" spans="2:11" ht="13" x14ac:dyDescent="0.15">
      <c r="B818" s="27" t="s">
        <v>1121</v>
      </c>
      <c r="C818" s="27" t="s">
        <v>170</v>
      </c>
      <c r="D818" s="28">
        <f>SUMIFS(D819:D1509,K819:K1509,"0",B819:B1509,"5 1 1 3 4 12 31111 6 M78 09000 134 00C*")-SUMIFS(E819:E1509,K819:K1509,"0",B819:B1509,"5 1 1 3 4 12 31111 6 M78 09000 134 00C*")</f>
        <v>0</v>
      </c>
      <c r="E818" s="29"/>
      <c r="F818" s="28">
        <f>SUMIFS(F819:F1509,K819:K1509,"0",B819:B1509,"5 1 1 3 4 12 31111 6 M78 09000 134 00C*")</f>
        <v>93821.22</v>
      </c>
      <c r="G818" s="28">
        <f>SUMIFS(G819:G1509,K819:K1509,"0",B819:B1509,"5 1 1 3 4 12 31111 6 M78 09000 134 00C*")</f>
        <v>0</v>
      </c>
      <c r="H818" s="28">
        <f t="shared" si="17"/>
        <v>93821.22</v>
      </c>
      <c r="I818" s="28"/>
      <c r="K818" t="s">
        <v>15</v>
      </c>
    </row>
    <row r="819" spans="2:11" ht="22" x14ac:dyDescent="0.15">
      <c r="B819" s="27" t="s">
        <v>1122</v>
      </c>
      <c r="C819" s="27" t="s">
        <v>9</v>
      </c>
      <c r="D819" s="28">
        <f>SUMIFS(D820:D1509,K820:K1509,"0",B820:B1509,"5 1 1 3 4 12 31111 6 M78 09000 134 00C 001*")-SUMIFS(E820:E1509,K820:K1509,"0",B820:B1509,"5 1 1 3 4 12 31111 6 M78 09000 134 00C 001*")</f>
        <v>0</v>
      </c>
      <c r="E819" s="29"/>
      <c r="F819" s="28">
        <f>SUMIFS(F820:F1509,K820:K1509,"0",B820:B1509,"5 1 1 3 4 12 31111 6 M78 09000 134 00C 001*")</f>
        <v>93821.22</v>
      </c>
      <c r="G819" s="28">
        <f>SUMIFS(G820:G1509,K820:K1509,"0",B820:B1509,"5 1 1 3 4 12 31111 6 M78 09000 134 00C 001*")</f>
        <v>0</v>
      </c>
      <c r="H819" s="28">
        <f t="shared" si="17"/>
        <v>93821.22</v>
      </c>
      <c r="I819" s="28"/>
      <c r="K819" t="s">
        <v>15</v>
      </c>
    </row>
    <row r="820" spans="2:11" ht="22" x14ac:dyDescent="0.15">
      <c r="B820" s="27" t="s">
        <v>1123</v>
      </c>
      <c r="C820" s="27" t="s">
        <v>1007</v>
      </c>
      <c r="D820" s="28">
        <f>SUMIFS(D821:D1509,K821:K1509,"0",B821:B1509,"5 1 1 3 4 12 31111 6 M78 09000 134 00C 001 13403*")-SUMIFS(E821:E1509,K821:K1509,"0",B821:B1509,"5 1 1 3 4 12 31111 6 M78 09000 134 00C 001 13403*")</f>
        <v>0</v>
      </c>
      <c r="E820" s="29"/>
      <c r="F820" s="28">
        <f>SUMIFS(F821:F1509,K821:K1509,"0",B821:B1509,"5 1 1 3 4 12 31111 6 M78 09000 134 00C 001 13403*")</f>
        <v>55684.62</v>
      </c>
      <c r="G820" s="28">
        <f>SUMIFS(G821:G1509,K821:K1509,"0",B821:B1509,"5 1 1 3 4 12 31111 6 M78 09000 134 00C 001 13403*")</f>
        <v>0</v>
      </c>
      <c r="H820" s="28">
        <f t="shared" si="17"/>
        <v>55684.62</v>
      </c>
      <c r="I820" s="28"/>
      <c r="K820" t="s">
        <v>15</v>
      </c>
    </row>
    <row r="821" spans="2:11" ht="22" x14ac:dyDescent="0.15">
      <c r="B821" s="27" t="s">
        <v>1124</v>
      </c>
      <c r="C821" s="27" t="s">
        <v>176</v>
      </c>
      <c r="D821" s="28">
        <f>SUMIFS(D822:D1509,K822:K1509,"0",B822:B1509,"5 1 1 3 4 12 31111 6 M78 09000 134 00C 001 13403 015*")-SUMIFS(E822:E1509,K822:K1509,"0",B822:B1509,"5 1 1 3 4 12 31111 6 M78 09000 134 00C 001 13403 015*")</f>
        <v>0</v>
      </c>
      <c r="E821" s="29"/>
      <c r="F821" s="28">
        <f>SUMIFS(F822:F1509,K822:K1509,"0",B822:B1509,"5 1 1 3 4 12 31111 6 M78 09000 134 00C 001 13403 015*")</f>
        <v>55684.62</v>
      </c>
      <c r="G821" s="28">
        <f>SUMIFS(G822:G1509,K822:K1509,"0",B822:B1509,"5 1 1 3 4 12 31111 6 M78 09000 134 00C 001 13403 015*")</f>
        <v>0</v>
      </c>
      <c r="H821" s="28">
        <f t="shared" si="17"/>
        <v>55684.62</v>
      </c>
      <c r="I821" s="28"/>
      <c r="K821" t="s">
        <v>15</v>
      </c>
    </row>
    <row r="822" spans="2:11" ht="22" x14ac:dyDescent="0.15">
      <c r="B822" s="27" t="s">
        <v>1125</v>
      </c>
      <c r="C822" s="27" t="s">
        <v>744</v>
      </c>
      <c r="D822" s="28">
        <f>SUMIFS(D823:D1509,K823:K1509,"0",B823:B1509,"5 1 1 3 4 12 31111 6 M78 09000 134 00C 001 13403 015 2111100*")-SUMIFS(E823:E1509,K823:K1509,"0",B823:B1509,"5 1 1 3 4 12 31111 6 M78 09000 134 00C 001 13403 015 2111100*")</f>
        <v>0</v>
      </c>
      <c r="E822" s="29"/>
      <c r="F822" s="28">
        <f>SUMIFS(F823:F1509,K823:K1509,"0",B823:B1509,"5 1 1 3 4 12 31111 6 M78 09000 134 00C 001 13403 015 2111100*")</f>
        <v>55684.62</v>
      </c>
      <c r="G822" s="28">
        <f>SUMIFS(G823:G1509,K823:K1509,"0",B823:B1509,"5 1 1 3 4 12 31111 6 M78 09000 134 00C 001 13403 015 2111100*")</f>
        <v>0</v>
      </c>
      <c r="H822" s="28">
        <f t="shared" si="17"/>
        <v>55684.62</v>
      </c>
      <c r="I822" s="28"/>
      <c r="K822" t="s">
        <v>15</v>
      </c>
    </row>
    <row r="823" spans="2:11" ht="22" x14ac:dyDescent="0.15">
      <c r="B823" s="27" t="s">
        <v>1126</v>
      </c>
      <c r="C823" s="27" t="s">
        <v>248</v>
      </c>
      <c r="D823" s="28">
        <f>SUMIFS(D824:D1509,K824:K1509,"0",B824:B1509,"5 1 1 3 4 12 31111 6 M78 09000 134 00C 001 13403 015 2111100 2024*")-SUMIFS(E824:E1509,K824:K1509,"0",B824:B1509,"5 1 1 3 4 12 31111 6 M78 09000 134 00C 001 13403 015 2111100 2024*")</f>
        <v>0</v>
      </c>
      <c r="E823" s="29"/>
      <c r="F823" s="28">
        <f>SUMIFS(F824:F1509,K824:K1509,"0",B824:B1509,"5 1 1 3 4 12 31111 6 M78 09000 134 00C 001 13403 015 2111100 2024*")</f>
        <v>55684.62</v>
      </c>
      <c r="G823" s="28">
        <f>SUMIFS(G824:G1509,K824:K1509,"0",B824:B1509,"5 1 1 3 4 12 31111 6 M78 09000 134 00C 001 13403 015 2111100 2024*")</f>
        <v>0</v>
      </c>
      <c r="H823" s="28">
        <f t="shared" si="17"/>
        <v>55684.62</v>
      </c>
      <c r="I823" s="28"/>
      <c r="K823" t="s">
        <v>15</v>
      </c>
    </row>
    <row r="824" spans="2:11" ht="22" x14ac:dyDescent="0.15">
      <c r="B824" s="27" t="s">
        <v>1127</v>
      </c>
      <c r="C824" s="27" t="s">
        <v>182</v>
      </c>
      <c r="D824" s="28">
        <f>SUMIFS(D825:D1509,K825:K1509,"0",B825:B1509,"5 1 1 3 4 12 31111 6 M78 09000 134 00C 001 13403 015 2111100 2024 00000000*")-SUMIFS(E825:E1509,K825:K1509,"0",B825:B1509,"5 1 1 3 4 12 31111 6 M78 09000 134 00C 001 13403 015 2111100 2024 00000000*")</f>
        <v>0</v>
      </c>
      <c r="E824" s="29"/>
      <c r="F824" s="28">
        <f>SUMIFS(F825:F1509,K825:K1509,"0",B825:B1509,"5 1 1 3 4 12 31111 6 M78 09000 134 00C 001 13403 015 2111100 2024 00000000*")</f>
        <v>55684.62</v>
      </c>
      <c r="G824" s="28">
        <f>SUMIFS(G825:G1509,K825:K1509,"0",B825:B1509,"5 1 1 3 4 12 31111 6 M78 09000 134 00C 001 13403 015 2111100 2024 00000000*")</f>
        <v>0</v>
      </c>
      <c r="H824" s="28">
        <f t="shared" si="17"/>
        <v>55684.62</v>
      </c>
      <c r="I824" s="28"/>
      <c r="K824" t="s">
        <v>15</v>
      </c>
    </row>
    <row r="825" spans="2:11" ht="33" x14ac:dyDescent="0.15">
      <c r="B825" s="27" t="s">
        <v>1128</v>
      </c>
      <c r="C825" s="27" t="s">
        <v>9</v>
      </c>
      <c r="D825" s="28">
        <f>SUMIFS(D826:D1509,K826:K1509,"0",B826:B1509,"5 1 1 3 4 12 31111 6 M78 09000 134 00C 001 13403 015 2111100 2024 00000000 001*")-SUMIFS(E826:E1509,K826:K1509,"0",B826:B1509,"5 1 1 3 4 12 31111 6 M78 09000 134 00C 001 13403 015 2111100 2024 00000000 001*")</f>
        <v>0</v>
      </c>
      <c r="E825" s="29"/>
      <c r="F825" s="28">
        <f>SUMIFS(F826:F1509,K826:K1509,"0",B826:B1509,"5 1 1 3 4 12 31111 6 M78 09000 134 00C 001 13403 015 2111100 2024 00000000 001*")</f>
        <v>55684.62</v>
      </c>
      <c r="G825" s="28">
        <f>SUMIFS(G826:G1509,K826:K1509,"0",B826:B1509,"5 1 1 3 4 12 31111 6 M78 09000 134 00C 001 13403 015 2111100 2024 00000000 001*")</f>
        <v>0</v>
      </c>
      <c r="H825" s="28">
        <f t="shared" si="17"/>
        <v>55684.62</v>
      </c>
      <c r="I825" s="28"/>
      <c r="K825" t="s">
        <v>15</v>
      </c>
    </row>
    <row r="826" spans="2:11" ht="33" x14ac:dyDescent="0.15">
      <c r="B826" s="27" t="s">
        <v>1129</v>
      </c>
      <c r="C826" s="27" t="s">
        <v>843</v>
      </c>
      <c r="D826" s="28">
        <f>SUMIFS(D827:D1509,K827:K1509,"0",B827:B1509,"5 1 1 3 4 12 31111 6 M78 09000 134 00C 001 13403 015 2111100 2024 00000000 001 001*")-SUMIFS(E827:E1509,K827:K1509,"0",B827:B1509,"5 1 1 3 4 12 31111 6 M78 09000 134 00C 001 13403 015 2111100 2024 00000000 001 001*")</f>
        <v>0</v>
      </c>
      <c r="E826" s="29"/>
      <c r="F826" s="28">
        <f>SUMIFS(F827:F1509,K827:K1509,"0",B827:B1509,"5 1 1 3 4 12 31111 6 M78 09000 134 00C 001 13403 015 2111100 2024 00000000 001 001*")</f>
        <v>55684.62</v>
      </c>
      <c r="G826" s="28">
        <f>SUMIFS(G827:G1509,K827:K1509,"0",B827:B1509,"5 1 1 3 4 12 31111 6 M78 09000 134 00C 001 13403 015 2111100 2024 00000000 001 001*")</f>
        <v>0</v>
      </c>
      <c r="H826" s="28">
        <f t="shared" si="17"/>
        <v>55684.62</v>
      </c>
      <c r="I826" s="28"/>
      <c r="K826" t="s">
        <v>15</v>
      </c>
    </row>
    <row r="827" spans="2:11" ht="33" x14ac:dyDescent="0.15">
      <c r="B827" s="30" t="s">
        <v>1130</v>
      </c>
      <c r="C827" s="30" t="s">
        <v>1007</v>
      </c>
      <c r="D827" s="31">
        <v>0</v>
      </c>
      <c r="E827" s="31"/>
      <c r="F827" s="31">
        <v>55684.62</v>
      </c>
      <c r="G827" s="31">
        <v>0</v>
      </c>
      <c r="H827" s="31">
        <f t="shared" si="17"/>
        <v>55684.62</v>
      </c>
      <c r="I827" s="31"/>
      <c r="K827" t="s">
        <v>38</v>
      </c>
    </row>
    <row r="828" spans="2:11" ht="22" x14ac:dyDescent="0.15">
      <c r="B828" s="27" t="s">
        <v>1131</v>
      </c>
      <c r="C828" s="27" t="s">
        <v>1017</v>
      </c>
      <c r="D828" s="28">
        <f>SUMIFS(D829:D1509,K829:K1509,"0",B829:B1509,"5 1 1 3 4 12 31111 6 M78 09000 134 00C 001 13406*")-SUMIFS(E829:E1509,K829:K1509,"0",B829:B1509,"5 1 1 3 4 12 31111 6 M78 09000 134 00C 001 13406*")</f>
        <v>0</v>
      </c>
      <c r="E828" s="29"/>
      <c r="F828" s="28">
        <f>SUMIFS(F829:F1509,K829:K1509,"0",B829:B1509,"5 1 1 3 4 12 31111 6 M78 09000 134 00C 001 13406*")</f>
        <v>38136.6</v>
      </c>
      <c r="G828" s="28">
        <f>SUMIFS(G829:G1509,K829:K1509,"0",B829:B1509,"5 1 1 3 4 12 31111 6 M78 09000 134 00C 001 13406*")</f>
        <v>0</v>
      </c>
      <c r="H828" s="28">
        <f t="shared" si="17"/>
        <v>38136.6</v>
      </c>
      <c r="I828" s="28"/>
      <c r="K828" t="s">
        <v>15</v>
      </c>
    </row>
    <row r="829" spans="2:11" ht="22" x14ac:dyDescent="0.15">
      <c r="B829" s="27" t="s">
        <v>1132</v>
      </c>
      <c r="C829" s="27" t="s">
        <v>176</v>
      </c>
      <c r="D829" s="28">
        <f>SUMIFS(D830:D1509,K830:K1509,"0",B830:B1509,"5 1 1 3 4 12 31111 6 M78 09000 134 00C 001 13406 015*")-SUMIFS(E830:E1509,K830:K1509,"0",B830:B1509,"5 1 1 3 4 12 31111 6 M78 09000 134 00C 001 13406 015*")</f>
        <v>0</v>
      </c>
      <c r="E829" s="29"/>
      <c r="F829" s="28">
        <f>SUMIFS(F830:F1509,K830:K1509,"0",B830:B1509,"5 1 1 3 4 12 31111 6 M78 09000 134 00C 001 13406 015*")</f>
        <v>38136.6</v>
      </c>
      <c r="G829" s="28">
        <f>SUMIFS(G830:G1509,K830:K1509,"0",B830:B1509,"5 1 1 3 4 12 31111 6 M78 09000 134 00C 001 13406 015*")</f>
        <v>0</v>
      </c>
      <c r="H829" s="28">
        <f t="shared" si="17"/>
        <v>38136.6</v>
      </c>
      <c r="I829" s="28"/>
      <c r="K829" t="s">
        <v>15</v>
      </c>
    </row>
    <row r="830" spans="2:11" ht="22" x14ac:dyDescent="0.15">
      <c r="B830" s="27" t="s">
        <v>1133</v>
      </c>
      <c r="C830" s="27" t="s">
        <v>744</v>
      </c>
      <c r="D830" s="28">
        <f>SUMIFS(D831:D1509,K831:K1509,"0",B831:B1509,"5 1 1 3 4 12 31111 6 M78 09000 134 00C 001 13406 015 2111100*")-SUMIFS(E831:E1509,K831:K1509,"0",B831:B1509,"5 1 1 3 4 12 31111 6 M78 09000 134 00C 001 13406 015 2111100*")</f>
        <v>0</v>
      </c>
      <c r="E830" s="29"/>
      <c r="F830" s="28">
        <f>SUMIFS(F831:F1509,K831:K1509,"0",B831:B1509,"5 1 1 3 4 12 31111 6 M78 09000 134 00C 001 13406 015 2111100*")</f>
        <v>38136.6</v>
      </c>
      <c r="G830" s="28">
        <f>SUMIFS(G831:G1509,K831:K1509,"0",B831:B1509,"5 1 1 3 4 12 31111 6 M78 09000 134 00C 001 13406 015 2111100*")</f>
        <v>0</v>
      </c>
      <c r="H830" s="28">
        <f t="shared" si="17"/>
        <v>38136.6</v>
      </c>
      <c r="I830" s="28"/>
      <c r="K830" t="s">
        <v>15</v>
      </c>
    </row>
    <row r="831" spans="2:11" ht="22" x14ac:dyDescent="0.15">
      <c r="B831" s="27" t="s">
        <v>1134</v>
      </c>
      <c r="C831" s="27" t="s">
        <v>248</v>
      </c>
      <c r="D831" s="28">
        <f>SUMIFS(D832:D1509,K832:K1509,"0",B832:B1509,"5 1 1 3 4 12 31111 6 M78 09000 134 00C 001 13406 015 2111100 2024*")-SUMIFS(E832:E1509,K832:K1509,"0",B832:B1509,"5 1 1 3 4 12 31111 6 M78 09000 134 00C 001 13406 015 2111100 2024*")</f>
        <v>0</v>
      </c>
      <c r="E831" s="29"/>
      <c r="F831" s="28">
        <f>SUMIFS(F832:F1509,K832:K1509,"0",B832:B1509,"5 1 1 3 4 12 31111 6 M78 09000 134 00C 001 13406 015 2111100 2024*")</f>
        <v>38136.6</v>
      </c>
      <c r="G831" s="28">
        <f>SUMIFS(G832:G1509,K832:K1509,"0",B832:B1509,"5 1 1 3 4 12 31111 6 M78 09000 134 00C 001 13406 015 2111100 2024*")</f>
        <v>0</v>
      </c>
      <c r="H831" s="28">
        <f t="shared" si="17"/>
        <v>38136.6</v>
      </c>
      <c r="I831" s="28"/>
      <c r="K831" t="s">
        <v>15</v>
      </c>
    </row>
    <row r="832" spans="2:11" ht="22" x14ac:dyDescent="0.15">
      <c r="B832" s="27" t="s">
        <v>1135</v>
      </c>
      <c r="C832" s="27" t="s">
        <v>182</v>
      </c>
      <c r="D832" s="28">
        <f>SUMIFS(D833:D1509,K833:K1509,"0",B833:B1509,"5 1 1 3 4 12 31111 6 M78 09000 134 00C 001 13406 015 2111100 2024 00000000*")-SUMIFS(E833:E1509,K833:K1509,"0",B833:B1509,"5 1 1 3 4 12 31111 6 M78 09000 134 00C 001 13406 015 2111100 2024 00000000*")</f>
        <v>0</v>
      </c>
      <c r="E832" s="29"/>
      <c r="F832" s="28">
        <f>SUMIFS(F833:F1509,K833:K1509,"0",B833:B1509,"5 1 1 3 4 12 31111 6 M78 09000 134 00C 001 13406 015 2111100 2024 00000000*")</f>
        <v>38136.6</v>
      </c>
      <c r="G832" s="28">
        <f>SUMIFS(G833:G1509,K833:K1509,"0",B833:B1509,"5 1 1 3 4 12 31111 6 M78 09000 134 00C 001 13406 015 2111100 2024 00000000*")</f>
        <v>0</v>
      </c>
      <c r="H832" s="28">
        <f t="shared" si="17"/>
        <v>38136.6</v>
      </c>
      <c r="I832" s="28"/>
      <c r="K832" t="s">
        <v>15</v>
      </c>
    </row>
    <row r="833" spans="2:11" ht="33" x14ac:dyDescent="0.15">
      <c r="B833" s="27" t="s">
        <v>1136</v>
      </c>
      <c r="C833" s="27" t="s">
        <v>9</v>
      </c>
      <c r="D833" s="28">
        <f>SUMIFS(D834:D1509,K834:K1509,"0",B834:B1509,"5 1 1 3 4 12 31111 6 M78 09000 134 00C 001 13406 015 2111100 2024 00000000 001*")-SUMIFS(E834:E1509,K834:K1509,"0",B834:B1509,"5 1 1 3 4 12 31111 6 M78 09000 134 00C 001 13406 015 2111100 2024 00000000 001*")</f>
        <v>0</v>
      </c>
      <c r="E833" s="29"/>
      <c r="F833" s="28">
        <f>SUMIFS(F834:F1509,K834:K1509,"0",B834:B1509,"5 1 1 3 4 12 31111 6 M78 09000 134 00C 001 13406 015 2111100 2024 00000000 001*")</f>
        <v>38136.6</v>
      </c>
      <c r="G833" s="28">
        <f>SUMIFS(G834:G1509,K834:K1509,"0",B834:B1509,"5 1 1 3 4 12 31111 6 M78 09000 134 00C 001 13406 015 2111100 2024 00000000 001*")</f>
        <v>0</v>
      </c>
      <c r="H833" s="28">
        <f t="shared" si="17"/>
        <v>38136.6</v>
      </c>
      <c r="I833" s="28"/>
      <c r="K833" t="s">
        <v>15</v>
      </c>
    </row>
    <row r="834" spans="2:11" ht="33" x14ac:dyDescent="0.15">
      <c r="B834" s="27" t="s">
        <v>1137</v>
      </c>
      <c r="C834" s="27" t="s">
        <v>843</v>
      </c>
      <c r="D834" s="28">
        <f>SUMIFS(D835:D1509,K835:K1509,"0",B835:B1509,"5 1 1 3 4 12 31111 6 M78 09000 134 00C 001 13406 015 2111100 2024 00000000 001 001*")-SUMIFS(E835:E1509,K835:K1509,"0",B835:B1509,"5 1 1 3 4 12 31111 6 M78 09000 134 00C 001 13406 015 2111100 2024 00000000 001 001*")</f>
        <v>0</v>
      </c>
      <c r="E834" s="29"/>
      <c r="F834" s="28">
        <f>SUMIFS(F835:F1509,K835:K1509,"0",B835:B1509,"5 1 1 3 4 12 31111 6 M78 09000 134 00C 001 13406 015 2111100 2024 00000000 001 001*")</f>
        <v>38136.6</v>
      </c>
      <c r="G834" s="28">
        <f>SUMIFS(G835:G1509,K835:K1509,"0",B835:B1509,"5 1 1 3 4 12 31111 6 M78 09000 134 00C 001 13406 015 2111100 2024 00000000 001 001*")</f>
        <v>0</v>
      </c>
      <c r="H834" s="28">
        <f t="shared" si="17"/>
        <v>38136.6</v>
      </c>
      <c r="I834" s="28"/>
      <c r="K834" t="s">
        <v>15</v>
      </c>
    </row>
    <row r="835" spans="2:11" ht="33" x14ac:dyDescent="0.15">
      <c r="B835" s="30" t="s">
        <v>1138</v>
      </c>
      <c r="C835" s="30" t="s">
        <v>1017</v>
      </c>
      <c r="D835" s="31">
        <v>0</v>
      </c>
      <c r="E835" s="31"/>
      <c r="F835" s="31">
        <v>38136.6</v>
      </c>
      <c r="G835" s="31">
        <v>0</v>
      </c>
      <c r="H835" s="31">
        <f t="shared" si="17"/>
        <v>38136.6</v>
      </c>
      <c r="I835" s="31"/>
      <c r="K835" t="s">
        <v>38</v>
      </c>
    </row>
    <row r="836" spans="2:11" ht="13" x14ac:dyDescent="0.15">
      <c r="B836" s="27" t="s">
        <v>1139</v>
      </c>
      <c r="C836" s="27" t="s">
        <v>846</v>
      </c>
      <c r="D836" s="28">
        <f>SUMIFS(D837:D1509,K837:K1509,"0",B837:B1509,"5 1 1 3 4 12 31111 6 M78 11000*")-SUMIFS(E837:E1509,K837:K1509,"0",B837:B1509,"5 1 1 3 4 12 31111 6 M78 11000*")</f>
        <v>0</v>
      </c>
      <c r="E836" s="29"/>
      <c r="F836" s="28">
        <f>SUMIFS(F837:F1509,K837:K1509,"0",B837:B1509,"5 1 1 3 4 12 31111 6 M78 11000*")</f>
        <v>109147.8</v>
      </c>
      <c r="G836" s="28">
        <f>SUMIFS(G837:G1509,K837:K1509,"0",B837:B1509,"5 1 1 3 4 12 31111 6 M78 11000*")</f>
        <v>0</v>
      </c>
      <c r="H836" s="28">
        <f t="shared" si="17"/>
        <v>109147.8</v>
      </c>
      <c r="I836" s="28"/>
      <c r="K836" t="s">
        <v>15</v>
      </c>
    </row>
    <row r="837" spans="2:11" ht="13" x14ac:dyDescent="0.15">
      <c r="B837" s="27" t="s">
        <v>1140</v>
      </c>
      <c r="C837" s="27" t="s">
        <v>848</v>
      </c>
      <c r="D837" s="28">
        <f>SUMIFS(D838:D1509,K838:K1509,"0",B838:B1509,"5 1 1 3 4 12 31111 6 M78 11000 263*")-SUMIFS(E838:E1509,K838:K1509,"0",B838:B1509,"5 1 1 3 4 12 31111 6 M78 11000 263*")</f>
        <v>0</v>
      </c>
      <c r="E837" s="29"/>
      <c r="F837" s="28">
        <f>SUMIFS(F838:F1509,K838:K1509,"0",B838:B1509,"5 1 1 3 4 12 31111 6 M78 11000 263*")</f>
        <v>109147.8</v>
      </c>
      <c r="G837" s="28">
        <f>SUMIFS(G838:G1509,K838:K1509,"0",B838:B1509,"5 1 1 3 4 12 31111 6 M78 11000 263*")</f>
        <v>0</v>
      </c>
      <c r="H837" s="28">
        <f t="shared" si="17"/>
        <v>109147.8</v>
      </c>
      <c r="I837" s="28"/>
      <c r="K837" t="s">
        <v>15</v>
      </c>
    </row>
    <row r="838" spans="2:11" ht="13" x14ac:dyDescent="0.15">
      <c r="B838" s="27" t="s">
        <v>1141</v>
      </c>
      <c r="C838" s="27" t="s">
        <v>170</v>
      </c>
      <c r="D838" s="28">
        <f>SUMIFS(D839:D1509,K839:K1509,"0",B839:B1509,"5 1 1 3 4 12 31111 6 M78 11000 263 00C*")-SUMIFS(E839:E1509,K839:K1509,"0",B839:B1509,"5 1 1 3 4 12 31111 6 M78 11000 263 00C*")</f>
        <v>0</v>
      </c>
      <c r="E838" s="29"/>
      <c r="F838" s="28">
        <f>SUMIFS(F839:F1509,K839:K1509,"0",B839:B1509,"5 1 1 3 4 12 31111 6 M78 11000 263 00C*")</f>
        <v>109147.8</v>
      </c>
      <c r="G838" s="28">
        <f>SUMIFS(G839:G1509,K839:K1509,"0",B839:B1509,"5 1 1 3 4 12 31111 6 M78 11000 263 00C*")</f>
        <v>0</v>
      </c>
      <c r="H838" s="28">
        <f t="shared" si="17"/>
        <v>109147.8</v>
      </c>
      <c r="I838" s="28"/>
      <c r="K838" t="s">
        <v>15</v>
      </c>
    </row>
    <row r="839" spans="2:11" ht="22" x14ac:dyDescent="0.15">
      <c r="B839" s="27" t="s">
        <v>1142</v>
      </c>
      <c r="C839" s="27" t="s">
        <v>9</v>
      </c>
      <c r="D839" s="28">
        <f>SUMIFS(D840:D1509,K840:K1509,"0",B840:B1509,"5 1 1 3 4 12 31111 6 M78 11000 263 00C 001*")-SUMIFS(E840:E1509,K840:K1509,"0",B840:B1509,"5 1 1 3 4 12 31111 6 M78 11000 263 00C 001*")</f>
        <v>0</v>
      </c>
      <c r="E839" s="29"/>
      <c r="F839" s="28">
        <f>SUMIFS(F840:F1509,K840:K1509,"0",B840:B1509,"5 1 1 3 4 12 31111 6 M78 11000 263 00C 001*")</f>
        <v>109147.8</v>
      </c>
      <c r="G839" s="28">
        <f>SUMIFS(G840:G1509,K840:K1509,"0",B840:B1509,"5 1 1 3 4 12 31111 6 M78 11000 263 00C 001*")</f>
        <v>0</v>
      </c>
      <c r="H839" s="28">
        <f t="shared" si="17"/>
        <v>109147.8</v>
      </c>
      <c r="I839" s="28"/>
      <c r="K839" t="s">
        <v>15</v>
      </c>
    </row>
    <row r="840" spans="2:11" ht="22" x14ac:dyDescent="0.15">
      <c r="B840" s="27" t="s">
        <v>1143</v>
      </c>
      <c r="C840" s="27" t="s">
        <v>1144</v>
      </c>
      <c r="D840" s="28">
        <f>SUMIFS(D841:D1509,K841:K1509,"0",B841:B1509,"5 1 1 3 4 12 31111 6 M78 11000 263 00C 001 13403*")-SUMIFS(E841:E1509,K841:K1509,"0",B841:B1509,"5 1 1 3 4 12 31111 6 M78 11000 263 00C 001 13403*")</f>
        <v>0</v>
      </c>
      <c r="E840" s="29"/>
      <c r="F840" s="28">
        <f>SUMIFS(F841:F1509,K841:K1509,"0",B841:B1509,"5 1 1 3 4 12 31111 6 M78 11000 263 00C 001 13403*")</f>
        <v>96893.64</v>
      </c>
      <c r="G840" s="28">
        <f>SUMIFS(G841:G1509,K841:K1509,"0",B841:B1509,"5 1 1 3 4 12 31111 6 M78 11000 263 00C 001 13403*")</f>
        <v>0</v>
      </c>
      <c r="H840" s="28">
        <f t="shared" si="17"/>
        <v>96893.64</v>
      </c>
      <c r="I840" s="28"/>
      <c r="K840" t="s">
        <v>15</v>
      </c>
    </row>
    <row r="841" spans="2:11" ht="22" x14ac:dyDescent="0.15">
      <c r="B841" s="27" t="s">
        <v>1145</v>
      </c>
      <c r="C841" s="27" t="s">
        <v>1144</v>
      </c>
      <c r="D841" s="28">
        <f>SUMIFS(D842:D1509,K842:K1509,"0",B842:B1509,"5 1 1 3 4 12 31111 6 M78 11000 263 00C 001 13403 015*")-SUMIFS(E842:E1509,K842:K1509,"0",B842:B1509,"5 1 1 3 4 12 31111 6 M78 11000 263 00C 001 13403 015*")</f>
        <v>0</v>
      </c>
      <c r="E841" s="29"/>
      <c r="F841" s="28">
        <f>SUMIFS(F842:F1509,K842:K1509,"0",B842:B1509,"5 1 1 3 4 12 31111 6 M78 11000 263 00C 001 13403 015*")</f>
        <v>96893.64</v>
      </c>
      <c r="G841" s="28">
        <f>SUMIFS(G842:G1509,K842:K1509,"0",B842:B1509,"5 1 1 3 4 12 31111 6 M78 11000 263 00C 001 13403 015*")</f>
        <v>0</v>
      </c>
      <c r="H841" s="28">
        <f t="shared" si="17"/>
        <v>96893.64</v>
      </c>
      <c r="I841" s="28"/>
      <c r="K841" t="s">
        <v>15</v>
      </c>
    </row>
    <row r="842" spans="2:11" ht="22" x14ac:dyDescent="0.15">
      <c r="B842" s="27" t="s">
        <v>1146</v>
      </c>
      <c r="C842" s="27" t="s">
        <v>1144</v>
      </c>
      <c r="D842" s="28">
        <f>SUMIFS(D843:D1509,K843:K1509,"0",B843:B1509,"5 1 1 3 4 12 31111 6 M78 11000 263 00C 001 13403 015 2111100*")-SUMIFS(E843:E1509,K843:K1509,"0",B843:B1509,"5 1 1 3 4 12 31111 6 M78 11000 263 00C 001 13403 015 2111100*")</f>
        <v>0</v>
      </c>
      <c r="E842" s="29"/>
      <c r="F842" s="28">
        <f>SUMIFS(F843:F1509,K843:K1509,"0",B843:B1509,"5 1 1 3 4 12 31111 6 M78 11000 263 00C 001 13403 015 2111100*")</f>
        <v>96893.64</v>
      </c>
      <c r="G842" s="28">
        <f>SUMIFS(G843:G1509,K843:K1509,"0",B843:B1509,"5 1 1 3 4 12 31111 6 M78 11000 263 00C 001 13403 015 2111100*")</f>
        <v>0</v>
      </c>
      <c r="H842" s="28">
        <f t="shared" si="17"/>
        <v>96893.64</v>
      </c>
      <c r="I842" s="28"/>
      <c r="K842" t="s">
        <v>15</v>
      </c>
    </row>
    <row r="843" spans="2:11" ht="22" x14ac:dyDescent="0.15">
      <c r="B843" s="27" t="s">
        <v>1147</v>
      </c>
      <c r="C843" s="27" t="s">
        <v>1144</v>
      </c>
      <c r="D843" s="28">
        <f>SUMIFS(D844:D1509,K844:K1509,"0",B844:B1509,"5 1 1 3 4 12 31111 6 M78 11000 263 00C 001 13403 015 2111100 2024*")-SUMIFS(E844:E1509,K844:K1509,"0",B844:B1509,"5 1 1 3 4 12 31111 6 M78 11000 263 00C 001 13403 015 2111100 2024*")</f>
        <v>0</v>
      </c>
      <c r="E843" s="29"/>
      <c r="F843" s="28">
        <f>SUMIFS(F844:F1509,K844:K1509,"0",B844:B1509,"5 1 1 3 4 12 31111 6 M78 11000 263 00C 001 13403 015 2111100 2024*")</f>
        <v>96893.64</v>
      </c>
      <c r="G843" s="28">
        <f>SUMIFS(G844:G1509,K844:K1509,"0",B844:B1509,"5 1 1 3 4 12 31111 6 M78 11000 263 00C 001 13403 015 2111100 2024*")</f>
        <v>0</v>
      </c>
      <c r="H843" s="28">
        <f t="shared" si="17"/>
        <v>96893.64</v>
      </c>
      <c r="I843" s="28"/>
      <c r="K843" t="s">
        <v>15</v>
      </c>
    </row>
    <row r="844" spans="2:11" ht="22" x14ac:dyDescent="0.15">
      <c r="B844" s="27" t="s">
        <v>1148</v>
      </c>
      <c r="C844" s="27" t="s">
        <v>1144</v>
      </c>
      <c r="D844" s="28">
        <f>SUMIFS(D845:D1509,K845:K1509,"0",B845:B1509,"5 1 1 3 4 12 31111 6 M78 11000 263 00C 001 13403 015 2111100 2024 00000000*")-SUMIFS(E845:E1509,K845:K1509,"0",B845:B1509,"5 1 1 3 4 12 31111 6 M78 11000 263 00C 001 13403 015 2111100 2024 00000000*")</f>
        <v>0</v>
      </c>
      <c r="E844" s="29"/>
      <c r="F844" s="28">
        <f>SUMIFS(F845:F1509,K845:K1509,"0",B845:B1509,"5 1 1 3 4 12 31111 6 M78 11000 263 00C 001 13403 015 2111100 2024 00000000*")</f>
        <v>96893.64</v>
      </c>
      <c r="G844" s="28">
        <f>SUMIFS(G845:G1509,K845:K1509,"0",B845:B1509,"5 1 1 3 4 12 31111 6 M78 11000 263 00C 001 13403 015 2111100 2024 00000000*")</f>
        <v>0</v>
      </c>
      <c r="H844" s="28">
        <f t="shared" si="17"/>
        <v>96893.64</v>
      </c>
      <c r="I844" s="28"/>
      <c r="K844" t="s">
        <v>15</v>
      </c>
    </row>
    <row r="845" spans="2:11" ht="33" x14ac:dyDescent="0.15">
      <c r="B845" s="27" t="s">
        <v>1149</v>
      </c>
      <c r="C845" s="27" t="s">
        <v>1144</v>
      </c>
      <c r="D845" s="28">
        <f>SUMIFS(D846:D1509,K846:K1509,"0",B846:B1509,"5 1 1 3 4 12 31111 6 M78 11000 263 00C 001 13403 015 2111100 2024 00000000 001*")-SUMIFS(E846:E1509,K846:K1509,"0",B846:B1509,"5 1 1 3 4 12 31111 6 M78 11000 263 00C 001 13403 015 2111100 2024 00000000 001*")</f>
        <v>0</v>
      </c>
      <c r="E845" s="29"/>
      <c r="F845" s="28">
        <f>SUMIFS(F846:F1509,K846:K1509,"0",B846:B1509,"5 1 1 3 4 12 31111 6 M78 11000 263 00C 001 13403 015 2111100 2024 00000000 001*")</f>
        <v>96893.64</v>
      </c>
      <c r="G845" s="28">
        <f>SUMIFS(G846:G1509,K846:K1509,"0",B846:B1509,"5 1 1 3 4 12 31111 6 M78 11000 263 00C 001 13403 015 2111100 2024 00000000 001*")</f>
        <v>0</v>
      </c>
      <c r="H845" s="28">
        <f t="shared" si="17"/>
        <v>96893.64</v>
      </c>
      <c r="I845" s="28"/>
      <c r="K845" t="s">
        <v>15</v>
      </c>
    </row>
    <row r="846" spans="2:11" ht="33" x14ac:dyDescent="0.15">
      <c r="B846" s="27" t="s">
        <v>1150</v>
      </c>
      <c r="C846" s="27" t="s">
        <v>1144</v>
      </c>
      <c r="D846" s="28">
        <f>SUMIFS(D847:D1509,K847:K1509,"0",B847:B1509,"5 1 1 3 4 12 31111 6 M78 11000 263 00C 001 13403 015 2111100 2024 00000000 001 001*")-SUMIFS(E847:E1509,K847:K1509,"0",B847:B1509,"5 1 1 3 4 12 31111 6 M78 11000 263 00C 001 13403 015 2111100 2024 00000000 001 001*")</f>
        <v>0</v>
      </c>
      <c r="E846" s="29"/>
      <c r="F846" s="28">
        <f>SUMIFS(F847:F1509,K847:K1509,"0",B847:B1509,"5 1 1 3 4 12 31111 6 M78 11000 263 00C 001 13403 015 2111100 2024 00000000 001 001*")</f>
        <v>96893.64</v>
      </c>
      <c r="G846" s="28">
        <f>SUMIFS(G847:G1509,K847:K1509,"0",B847:B1509,"5 1 1 3 4 12 31111 6 M78 11000 263 00C 001 13403 015 2111100 2024 00000000 001 001*")</f>
        <v>0</v>
      </c>
      <c r="H846" s="28">
        <f t="shared" si="17"/>
        <v>96893.64</v>
      </c>
      <c r="I846" s="28"/>
      <c r="K846" t="s">
        <v>15</v>
      </c>
    </row>
    <row r="847" spans="2:11" ht="33" x14ac:dyDescent="0.15">
      <c r="B847" s="30" t="s">
        <v>1151</v>
      </c>
      <c r="C847" s="30" t="s">
        <v>1152</v>
      </c>
      <c r="D847" s="31">
        <v>0</v>
      </c>
      <c r="E847" s="31"/>
      <c r="F847" s="31">
        <v>96893.64</v>
      </c>
      <c r="G847" s="31">
        <v>0</v>
      </c>
      <c r="H847" s="31">
        <f t="shared" si="17"/>
        <v>96893.64</v>
      </c>
      <c r="I847" s="31"/>
      <c r="K847" t="s">
        <v>38</v>
      </c>
    </row>
    <row r="848" spans="2:11" ht="22" x14ac:dyDescent="0.15">
      <c r="B848" s="27" t="s">
        <v>1153</v>
      </c>
      <c r="C848" s="27" t="s">
        <v>1017</v>
      </c>
      <c r="D848" s="28">
        <f>SUMIFS(D849:D1509,K849:K1509,"0",B849:B1509,"5 1 1 3 4 12 31111 6 M78 11000 263 00C 001 13406*")-SUMIFS(E849:E1509,K849:K1509,"0",B849:B1509,"5 1 1 3 4 12 31111 6 M78 11000 263 00C 001 13406*")</f>
        <v>0</v>
      </c>
      <c r="E848" s="29"/>
      <c r="F848" s="28">
        <f>SUMIFS(F849:F1509,K849:K1509,"0",B849:B1509,"5 1 1 3 4 12 31111 6 M78 11000 263 00C 001 13406*")</f>
        <v>12254.16</v>
      </c>
      <c r="G848" s="28">
        <f>SUMIFS(G849:G1509,K849:K1509,"0",B849:B1509,"5 1 1 3 4 12 31111 6 M78 11000 263 00C 001 13406*")</f>
        <v>0</v>
      </c>
      <c r="H848" s="28">
        <f t="shared" si="17"/>
        <v>12254.16</v>
      </c>
      <c r="I848" s="28"/>
      <c r="K848" t="s">
        <v>15</v>
      </c>
    </row>
    <row r="849" spans="2:11" ht="22" x14ac:dyDescent="0.15">
      <c r="B849" s="27" t="s">
        <v>1154</v>
      </c>
      <c r="C849" s="27" t="s">
        <v>176</v>
      </c>
      <c r="D849" s="28">
        <f>SUMIFS(D850:D1509,K850:K1509,"0",B850:B1509,"5 1 1 3 4 12 31111 6 M78 11000 263 00C 001 13406 015*")-SUMIFS(E850:E1509,K850:K1509,"0",B850:B1509,"5 1 1 3 4 12 31111 6 M78 11000 263 00C 001 13406 015*")</f>
        <v>0</v>
      </c>
      <c r="E849" s="29"/>
      <c r="F849" s="28">
        <f>SUMIFS(F850:F1509,K850:K1509,"0",B850:B1509,"5 1 1 3 4 12 31111 6 M78 11000 263 00C 001 13406 015*")</f>
        <v>12254.16</v>
      </c>
      <c r="G849" s="28">
        <f>SUMIFS(G850:G1509,K850:K1509,"0",B850:B1509,"5 1 1 3 4 12 31111 6 M78 11000 263 00C 001 13406 015*")</f>
        <v>0</v>
      </c>
      <c r="H849" s="28">
        <f t="shared" si="17"/>
        <v>12254.16</v>
      </c>
      <c r="I849" s="28"/>
      <c r="K849" t="s">
        <v>15</v>
      </c>
    </row>
    <row r="850" spans="2:11" ht="22" x14ac:dyDescent="0.15">
      <c r="B850" s="27" t="s">
        <v>1155</v>
      </c>
      <c r="C850" s="27" t="s">
        <v>744</v>
      </c>
      <c r="D850" s="28">
        <f>SUMIFS(D851:D1509,K851:K1509,"0",B851:B1509,"5 1 1 3 4 12 31111 6 M78 11000 263 00C 001 13406 015 2111100*")-SUMIFS(E851:E1509,K851:K1509,"0",B851:B1509,"5 1 1 3 4 12 31111 6 M78 11000 263 00C 001 13406 015 2111100*")</f>
        <v>0</v>
      </c>
      <c r="E850" s="29"/>
      <c r="F850" s="28">
        <f>SUMIFS(F851:F1509,K851:K1509,"0",B851:B1509,"5 1 1 3 4 12 31111 6 M78 11000 263 00C 001 13406 015 2111100*")</f>
        <v>12254.16</v>
      </c>
      <c r="G850" s="28">
        <f>SUMIFS(G851:G1509,K851:K1509,"0",B851:B1509,"5 1 1 3 4 12 31111 6 M78 11000 263 00C 001 13406 015 2111100*")</f>
        <v>0</v>
      </c>
      <c r="H850" s="28">
        <f t="shared" si="17"/>
        <v>12254.16</v>
      </c>
      <c r="I850" s="28"/>
      <c r="K850" t="s">
        <v>15</v>
      </c>
    </row>
    <row r="851" spans="2:11" ht="22" x14ac:dyDescent="0.15">
      <c r="B851" s="27" t="s">
        <v>1156</v>
      </c>
      <c r="C851" s="27" t="s">
        <v>248</v>
      </c>
      <c r="D851" s="28">
        <f>SUMIFS(D852:D1509,K852:K1509,"0",B852:B1509,"5 1 1 3 4 12 31111 6 M78 11000 263 00C 001 13406 015 2111100 2024*")-SUMIFS(E852:E1509,K852:K1509,"0",B852:B1509,"5 1 1 3 4 12 31111 6 M78 11000 263 00C 001 13406 015 2111100 2024*")</f>
        <v>0</v>
      </c>
      <c r="E851" s="29"/>
      <c r="F851" s="28">
        <f>SUMIFS(F852:F1509,K852:K1509,"0",B852:B1509,"5 1 1 3 4 12 31111 6 M78 11000 263 00C 001 13406 015 2111100 2024*")</f>
        <v>12254.16</v>
      </c>
      <c r="G851" s="28">
        <f>SUMIFS(G852:G1509,K852:K1509,"0",B852:B1509,"5 1 1 3 4 12 31111 6 M78 11000 263 00C 001 13406 015 2111100 2024*")</f>
        <v>0</v>
      </c>
      <c r="H851" s="28">
        <f t="shared" si="17"/>
        <v>12254.16</v>
      </c>
      <c r="I851" s="28"/>
      <c r="K851" t="s">
        <v>15</v>
      </c>
    </row>
    <row r="852" spans="2:11" ht="22" x14ac:dyDescent="0.15">
      <c r="B852" s="27" t="s">
        <v>1157</v>
      </c>
      <c r="C852" s="27" t="s">
        <v>182</v>
      </c>
      <c r="D852" s="28">
        <f>SUMIFS(D853:D1509,K853:K1509,"0",B853:B1509,"5 1 1 3 4 12 31111 6 M78 11000 263 00C 001 13406 015 2111100 2024 00000000*")-SUMIFS(E853:E1509,K853:K1509,"0",B853:B1509,"5 1 1 3 4 12 31111 6 M78 11000 263 00C 001 13406 015 2111100 2024 00000000*")</f>
        <v>0</v>
      </c>
      <c r="E852" s="29"/>
      <c r="F852" s="28">
        <f>SUMIFS(F853:F1509,K853:K1509,"0",B853:B1509,"5 1 1 3 4 12 31111 6 M78 11000 263 00C 001 13406 015 2111100 2024 00000000*")</f>
        <v>12254.16</v>
      </c>
      <c r="G852" s="28">
        <f>SUMIFS(G853:G1509,K853:K1509,"0",B853:B1509,"5 1 1 3 4 12 31111 6 M78 11000 263 00C 001 13406 015 2111100 2024 00000000*")</f>
        <v>0</v>
      </c>
      <c r="H852" s="28">
        <f t="shared" si="17"/>
        <v>12254.16</v>
      </c>
      <c r="I852" s="28"/>
      <c r="K852" t="s">
        <v>15</v>
      </c>
    </row>
    <row r="853" spans="2:11" ht="33" x14ac:dyDescent="0.15">
      <c r="B853" s="27" t="s">
        <v>1158</v>
      </c>
      <c r="C853" s="27" t="s">
        <v>9</v>
      </c>
      <c r="D853" s="28">
        <f>SUMIFS(D854:D1509,K854:K1509,"0",B854:B1509,"5 1 1 3 4 12 31111 6 M78 11000 263 00C 001 13406 015 2111100 2024 00000000 001*")-SUMIFS(E854:E1509,K854:K1509,"0",B854:B1509,"5 1 1 3 4 12 31111 6 M78 11000 263 00C 001 13406 015 2111100 2024 00000000 001*")</f>
        <v>0</v>
      </c>
      <c r="E853" s="29"/>
      <c r="F853" s="28">
        <f>SUMIFS(F854:F1509,K854:K1509,"0",B854:B1509,"5 1 1 3 4 12 31111 6 M78 11000 263 00C 001 13406 015 2111100 2024 00000000 001*")</f>
        <v>12254.16</v>
      </c>
      <c r="G853" s="28">
        <f>SUMIFS(G854:G1509,K854:K1509,"0",B854:B1509,"5 1 1 3 4 12 31111 6 M78 11000 263 00C 001 13406 015 2111100 2024 00000000 001*")</f>
        <v>0</v>
      </c>
      <c r="H853" s="28">
        <f t="shared" si="17"/>
        <v>12254.16</v>
      </c>
      <c r="I853" s="28"/>
      <c r="K853" t="s">
        <v>15</v>
      </c>
    </row>
    <row r="854" spans="2:11" ht="33" x14ac:dyDescent="0.15">
      <c r="B854" s="27" t="s">
        <v>1159</v>
      </c>
      <c r="C854" s="27" t="s">
        <v>858</v>
      </c>
      <c r="D854" s="28">
        <f>SUMIFS(D855:D1509,K855:K1509,"0",B855:B1509,"5 1 1 3 4 12 31111 6 M78 11000 263 00C 001 13406 015 2111100 2024 00000000 001 001*")-SUMIFS(E855:E1509,K855:K1509,"0",B855:B1509,"5 1 1 3 4 12 31111 6 M78 11000 263 00C 001 13406 015 2111100 2024 00000000 001 001*")</f>
        <v>0</v>
      </c>
      <c r="E854" s="29"/>
      <c r="F854" s="28">
        <f>SUMIFS(F855:F1509,K855:K1509,"0",B855:B1509,"5 1 1 3 4 12 31111 6 M78 11000 263 00C 001 13406 015 2111100 2024 00000000 001 001*")</f>
        <v>12254.16</v>
      </c>
      <c r="G854" s="28">
        <f>SUMIFS(G855:G1509,K855:K1509,"0",B855:B1509,"5 1 1 3 4 12 31111 6 M78 11000 263 00C 001 13406 015 2111100 2024 00000000 001 001*")</f>
        <v>0</v>
      </c>
      <c r="H854" s="28">
        <f t="shared" si="17"/>
        <v>12254.16</v>
      </c>
      <c r="I854" s="28"/>
      <c r="K854" t="s">
        <v>15</v>
      </c>
    </row>
    <row r="855" spans="2:11" ht="33" x14ac:dyDescent="0.15">
      <c r="B855" s="30" t="s">
        <v>1160</v>
      </c>
      <c r="C855" s="30" t="s">
        <v>1025</v>
      </c>
      <c r="D855" s="31">
        <v>0</v>
      </c>
      <c r="E855" s="31"/>
      <c r="F855" s="31">
        <v>12254.16</v>
      </c>
      <c r="G855" s="31">
        <v>0</v>
      </c>
      <c r="H855" s="31">
        <f t="shared" si="17"/>
        <v>12254.16</v>
      </c>
      <c r="I855" s="31"/>
      <c r="K855" t="s">
        <v>38</v>
      </c>
    </row>
    <row r="856" spans="2:11" ht="13" x14ac:dyDescent="0.15">
      <c r="B856" s="27" t="s">
        <v>1161</v>
      </c>
      <c r="C856" s="27" t="s">
        <v>861</v>
      </c>
      <c r="D856" s="28">
        <f>SUMIFS(D857:D1509,K857:K1509,"0",B857:B1509,"5 1 1 3 4 12 31111 6 M78 12000*")-SUMIFS(E857:E1509,K857:K1509,"0",B857:B1509,"5 1 1 3 4 12 31111 6 M78 12000*")</f>
        <v>0</v>
      </c>
      <c r="E856" s="29"/>
      <c r="F856" s="28">
        <f>SUMIFS(F857:F1509,K857:K1509,"0",B857:B1509,"5 1 1 3 4 12 31111 6 M78 12000*")</f>
        <v>343289.08</v>
      </c>
      <c r="G856" s="28">
        <f>SUMIFS(G857:G1509,K857:K1509,"0",B857:B1509,"5 1 1 3 4 12 31111 6 M78 12000*")</f>
        <v>0</v>
      </c>
      <c r="H856" s="28">
        <f t="shared" si="17"/>
        <v>343289.08</v>
      </c>
      <c r="I856" s="28"/>
      <c r="K856" t="s">
        <v>15</v>
      </c>
    </row>
    <row r="857" spans="2:11" ht="13" x14ac:dyDescent="0.15">
      <c r="B857" s="27" t="s">
        <v>1162</v>
      </c>
      <c r="C857" s="27" t="s">
        <v>863</v>
      </c>
      <c r="D857" s="28">
        <f>SUMIFS(D858:D1509,K858:K1509,"0",B858:B1509,"5 1 1 3 4 12 31111 6 M78 12000 265*")-SUMIFS(E858:E1509,K858:K1509,"0",B858:B1509,"5 1 1 3 4 12 31111 6 M78 12000 265*")</f>
        <v>0</v>
      </c>
      <c r="E857" s="29"/>
      <c r="F857" s="28">
        <f>SUMIFS(F858:F1509,K858:K1509,"0",B858:B1509,"5 1 1 3 4 12 31111 6 M78 12000 265*")</f>
        <v>343289.08</v>
      </c>
      <c r="G857" s="28">
        <f>SUMIFS(G858:G1509,K858:K1509,"0",B858:B1509,"5 1 1 3 4 12 31111 6 M78 12000 265*")</f>
        <v>0</v>
      </c>
      <c r="H857" s="28">
        <f t="shared" si="17"/>
        <v>343289.08</v>
      </c>
      <c r="I857" s="28"/>
      <c r="K857" t="s">
        <v>15</v>
      </c>
    </row>
    <row r="858" spans="2:11" ht="13" x14ac:dyDescent="0.15">
      <c r="B858" s="27" t="s">
        <v>1163</v>
      </c>
      <c r="C858" s="27" t="s">
        <v>170</v>
      </c>
      <c r="D858" s="28">
        <f>SUMIFS(D859:D1509,K859:K1509,"0",B859:B1509,"5 1 1 3 4 12 31111 6 M78 12000 265 00C*")-SUMIFS(E859:E1509,K859:K1509,"0",B859:B1509,"5 1 1 3 4 12 31111 6 M78 12000 265 00C*")</f>
        <v>0</v>
      </c>
      <c r="E858" s="29"/>
      <c r="F858" s="28">
        <f>SUMIFS(F859:F1509,K859:K1509,"0",B859:B1509,"5 1 1 3 4 12 31111 6 M78 12000 265 00C*")</f>
        <v>343289.08</v>
      </c>
      <c r="G858" s="28">
        <f>SUMIFS(G859:G1509,K859:K1509,"0",B859:B1509,"5 1 1 3 4 12 31111 6 M78 12000 265 00C*")</f>
        <v>0</v>
      </c>
      <c r="H858" s="28">
        <f t="shared" si="17"/>
        <v>343289.08</v>
      </c>
      <c r="I858" s="28"/>
      <c r="K858" t="s">
        <v>15</v>
      </c>
    </row>
    <row r="859" spans="2:11" ht="22" x14ac:dyDescent="0.15">
      <c r="B859" s="27" t="s">
        <v>1164</v>
      </c>
      <c r="C859" s="27" t="s">
        <v>9</v>
      </c>
      <c r="D859" s="28">
        <f>SUMIFS(D860:D1509,K860:K1509,"0",B860:B1509,"5 1 1 3 4 12 31111 6 M78 12000 265 00C 001*")-SUMIFS(E860:E1509,K860:K1509,"0",B860:B1509,"5 1 1 3 4 12 31111 6 M78 12000 265 00C 001*")</f>
        <v>0</v>
      </c>
      <c r="E859" s="29"/>
      <c r="F859" s="28">
        <f>SUMIFS(F860:F1509,K860:K1509,"0",B860:B1509,"5 1 1 3 4 12 31111 6 M78 12000 265 00C 001*")</f>
        <v>343289.08</v>
      </c>
      <c r="G859" s="28">
        <f>SUMIFS(G860:G1509,K860:K1509,"0",B860:B1509,"5 1 1 3 4 12 31111 6 M78 12000 265 00C 001*")</f>
        <v>0</v>
      </c>
      <c r="H859" s="28">
        <f t="shared" si="17"/>
        <v>343289.08</v>
      </c>
      <c r="I859" s="28"/>
      <c r="K859" t="s">
        <v>15</v>
      </c>
    </row>
    <row r="860" spans="2:11" ht="22" x14ac:dyDescent="0.15">
      <c r="B860" s="27" t="s">
        <v>1165</v>
      </c>
      <c r="C860" s="27" t="s">
        <v>1007</v>
      </c>
      <c r="D860" s="28">
        <f>SUMIFS(D861:D1509,K861:K1509,"0",B861:B1509,"5 1 1 3 4 12 31111 6 M78 12000 265 00C 001 13403*")-SUMIFS(E861:E1509,K861:K1509,"0",B861:B1509,"5 1 1 3 4 12 31111 6 M78 12000 265 00C 001 13403*")</f>
        <v>0</v>
      </c>
      <c r="E860" s="29"/>
      <c r="F860" s="28">
        <f>SUMIFS(F861:F1509,K861:K1509,"0",B861:B1509,"5 1 1 3 4 12 31111 6 M78 12000 265 00C 001 13403*")</f>
        <v>305319.77</v>
      </c>
      <c r="G860" s="28">
        <f>SUMIFS(G861:G1509,K861:K1509,"0",B861:B1509,"5 1 1 3 4 12 31111 6 M78 12000 265 00C 001 13403*")</f>
        <v>0</v>
      </c>
      <c r="H860" s="28">
        <f t="shared" si="17"/>
        <v>305319.77</v>
      </c>
      <c r="I860" s="28"/>
      <c r="K860" t="s">
        <v>15</v>
      </c>
    </row>
    <row r="861" spans="2:11" ht="22" x14ac:dyDescent="0.15">
      <c r="B861" s="27" t="s">
        <v>1166</v>
      </c>
      <c r="C861" s="27" t="s">
        <v>176</v>
      </c>
      <c r="D861" s="28">
        <f>SUMIFS(D862:D1509,K862:K1509,"0",B862:B1509,"5 1 1 3 4 12 31111 6 M78 12000 265 00C 001 13403 015*")-SUMIFS(E862:E1509,K862:K1509,"0",B862:B1509,"5 1 1 3 4 12 31111 6 M78 12000 265 00C 001 13403 015*")</f>
        <v>0</v>
      </c>
      <c r="E861" s="29"/>
      <c r="F861" s="28">
        <f>SUMIFS(F862:F1509,K862:K1509,"0",B862:B1509,"5 1 1 3 4 12 31111 6 M78 12000 265 00C 001 13403 015*")</f>
        <v>305319.77</v>
      </c>
      <c r="G861" s="28">
        <f>SUMIFS(G862:G1509,K862:K1509,"0",B862:B1509,"5 1 1 3 4 12 31111 6 M78 12000 265 00C 001 13403 015*")</f>
        <v>0</v>
      </c>
      <c r="H861" s="28">
        <f t="shared" si="17"/>
        <v>305319.77</v>
      </c>
      <c r="I861" s="28"/>
      <c r="K861" t="s">
        <v>15</v>
      </c>
    </row>
    <row r="862" spans="2:11" ht="22" x14ac:dyDescent="0.15">
      <c r="B862" s="27" t="s">
        <v>1167</v>
      </c>
      <c r="C862" s="27" t="s">
        <v>744</v>
      </c>
      <c r="D862" s="28">
        <f>SUMIFS(D863:D1509,K863:K1509,"0",B863:B1509,"5 1 1 3 4 12 31111 6 M78 12000 265 00C 001 13403 015 2111100*")-SUMIFS(E863:E1509,K863:K1509,"0",B863:B1509,"5 1 1 3 4 12 31111 6 M78 12000 265 00C 001 13403 015 2111100*")</f>
        <v>0</v>
      </c>
      <c r="E862" s="29"/>
      <c r="F862" s="28">
        <f>SUMIFS(F863:F1509,K863:K1509,"0",B863:B1509,"5 1 1 3 4 12 31111 6 M78 12000 265 00C 001 13403 015 2111100*")</f>
        <v>305319.77</v>
      </c>
      <c r="G862" s="28">
        <f>SUMIFS(G863:G1509,K863:K1509,"0",B863:B1509,"5 1 1 3 4 12 31111 6 M78 12000 265 00C 001 13403 015 2111100*")</f>
        <v>0</v>
      </c>
      <c r="H862" s="28">
        <f t="shared" si="17"/>
        <v>305319.77</v>
      </c>
      <c r="I862" s="28"/>
      <c r="K862" t="s">
        <v>15</v>
      </c>
    </row>
    <row r="863" spans="2:11" ht="22" x14ac:dyDescent="0.15">
      <c r="B863" s="27" t="s">
        <v>1168</v>
      </c>
      <c r="C863" s="27" t="s">
        <v>248</v>
      </c>
      <c r="D863" s="28">
        <f>SUMIFS(D864:D1509,K864:K1509,"0",B864:B1509,"5 1 1 3 4 12 31111 6 M78 12000 265 00C 001 13403 015 2111100 2024*")-SUMIFS(E864:E1509,K864:K1509,"0",B864:B1509,"5 1 1 3 4 12 31111 6 M78 12000 265 00C 001 13403 015 2111100 2024*")</f>
        <v>0</v>
      </c>
      <c r="E863" s="29"/>
      <c r="F863" s="28">
        <f>SUMIFS(F864:F1509,K864:K1509,"0",B864:B1509,"5 1 1 3 4 12 31111 6 M78 12000 265 00C 001 13403 015 2111100 2024*")</f>
        <v>305319.77</v>
      </c>
      <c r="G863" s="28">
        <f>SUMIFS(G864:G1509,K864:K1509,"0",B864:B1509,"5 1 1 3 4 12 31111 6 M78 12000 265 00C 001 13403 015 2111100 2024*")</f>
        <v>0</v>
      </c>
      <c r="H863" s="28">
        <f t="shared" si="17"/>
        <v>305319.77</v>
      </c>
      <c r="I863" s="28"/>
      <c r="K863" t="s">
        <v>15</v>
      </c>
    </row>
    <row r="864" spans="2:11" ht="22" x14ac:dyDescent="0.15">
      <c r="B864" s="27" t="s">
        <v>1169</v>
      </c>
      <c r="C864" s="27" t="s">
        <v>182</v>
      </c>
      <c r="D864" s="28">
        <f>SUMIFS(D865:D1509,K865:K1509,"0",B865:B1509,"5 1 1 3 4 12 31111 6 M78 12000 265 00C 001 13403 015 2111100 2024 00000000*")-SUMIFS(E865:E1509,K865:K1509,"0",B865:B1509,"5 1 1 3 4 12 31111 6 M78 12000 265 00C 001 13403 015 2111100 2024 00000000*")</f>
        <v>0</v>
      </c>
      <c r="E864" s="29"/>
      <c r="F864" s="28">
        <f>SUMIFS(F865:F1509,K865:K1509,"0",B865:B1509,"5 1 1 3 4 12 31111 6 M78 12000 265 00C 001 13403 015 2111100 2024 00000000*")</f>
        <v>305319.77</v>
      </c>
      <c r="G864" s="28">
        <f>SUMIFS(G865:G1509,K865:K1509,"0",B865:B1509,"5 1 1 3 4 12 31111 6 M78 12000 265 00C 001 13403 015 2111100 2024 00000000*")</f>
        <v>0</v>
      </c>
      <c r="H864" s="28">
        <f t="shared" ref="H864:H927" si="18">D864 + F864 - G864</f>
        <v>305319.77</v>
      </c>
      <c r="I864" s="28"/>
      <c r="K864" t="s">
        <v>15</v>
      </c>
    </row>
    <row r="865" spans="2:11" ht="33" x14ac:dyDescent="0.15">
      <c r="B865" s="27" t="s">
        <v>1170</v>
      </c>
      <c r="C865" s="27" t="s">
        <v>9</v>
      </c>
      <c r="D865" s="28">
        <f>SUMIFS(D866:D1509,K866:K1509,"0",B866:B1509,"5 1 1 3 4 12 31111 6 M78 12000 265 00C 001 13403 015 2111100 2024 00000000 001*")-SUMIFS(E866:E1509,K866:K1509,"0",B866:B1509,"5 1 1 3 4 12 31111 6 M78 12000 265 00C 001 13403 015 2111100 2024 00000000 001*")</f>
        <v>0</v>
      </c>
      <c r="E865" s="29"/>
      <c r="F865" s="28">
        <f>SUMIFS(F866:F1509,K866:K1509,"0",B866:B1509,"5 1 1 3 4 12 31111 6 M78 12000 265 00C 001 13403 015 2111100 2024 00000000 001*")</f>
        <v>305319.77</v>
      </c>
      <c r="G865" s="28">
        <f>SUMIFS(G866:G1509,K866:K1509,"0",B866:B1509,"5 1 1 3 4 12 31111 6 M78 12000 265 00C 001 13403 015 2111100 2024 00000000 001*")</f>
        <v>0</v>
      </c>
      <c r="H865" s="28">
        <f t="shared" si="18"/>
        <v>305319.77</v>
      </c>
      <c r="I865" s="28"/>
      <c r="K865" t="s">
        <v>15</v>
      </c>
    </row>
    <row r="866" spans="2:11" ht="33" x14ac:dyDescent="0.15">
      <c r="B866" s="27" t="s">
        <v>1171</v>
      </c>
      <c r="C866" s="27" t="s">
        <v>873</v>
      </c>
      <c r="D866" s="28">
        <f>SUMIFS(D867:D1509,K867:K1509,"0",B867:B1509,"5 1 1 3 4 12 31111 6 M78 12000 265 00C 001 13403 015 2111100 2024 00000000 001 001*")-SUMIFS(E867:E1509,K867:K1509,"0",B867:B1509,"5 1 1 3 4 12 31111 6 M78 12000 265 00C 001 13403 015 2111100 2024 00000000 001 001*")</f>
        <v>0</v>
      </c>
      <c r="E866" s="29"/>
      <c r="F866" s="28">
        <f>SUMIFS(F867:F1509,K867:K1509,"0",B867:B1509,"5 1 1 3 4 12 31111 6 M78 12000 265 00C 001 13403 015 2111100 2024 00000000 001 001*")</f>
        <v>305319.77</v>
      </c>
      <c r="G866" s="28">
        <f>SUMIFS(G867:G1509,K867:K1509,"0",B867:B1509,"5 1 1 3 4 12 31111 6 M78 12000 265 00C 001 13403 015 2111100 2024 00000000 001 001*")</f>
        <v>0</v>
      </c>
      <c r="H866" s="28">
        <f t="shared" si="18"/>
        <v>305319.77</v>
      </c>
      <c r="I866" s="28"/>
      <c r="K866" t="s">
        <v>15</v>
      </c>
    </row>
    <row r="867" spans="2:11" ht="33" x14ac:dyDescent="0.15">
      <c r="B867" s="30" t="s">
        <v>1172</v>
      </c>
      <c r="C867" s="30" t="s">
        <v>1007</v>
      </c>
      <c r="D867" s="31">
        <v>0</v>
      </c>
      <c r="E867" s="31"/>
      <c r="F867" s="31">
        <v>305319.77</v>
      </c>
      <c r="G867" s="31">
        <v>0</v>
      </c>
      <c r="H867" s="31">
        <f t="shared" si="18"/>
        <v>305319.77</v>
      </c>
      <c r="I867" s="31"/>
      <c r="K867" t="s">
        <v>38</v>
      </c>
    </row>
    <row r="868" spans="2:11" ht="22" x14ac:dyDescent="0.15">
      <c r="B868" s="27" t="s">
        <v>1173</v>
      </c>
      <c r="C868" s="27" t="s">
        <v>1017</v>
      </c>
      <c r="D868" s="28">
        <f>SUMIFS(D869:D1509,K869:K1509,"0",B869:B1509,"5 1 1 3 4 12 31111 6 M78 12000 265 00C 001 13406*")-SUMIFS(E869:E1509,K869:K1509,"0",B869:B1509,"5 1 1 3 4 12 31111 6 M78 12000 265 00C 001 13406*")</f>
        <v>0</v>
      </c>
      <c r="E868" s="29"/>
      <c r="F868" s="28">
        <f>SUMIFS(F869:F1509,K869:K1509,"0",B869:B1509,"5 1 1 3 4 12 31111 6 M78 12000 265 00C 001 13406*")</f>
        <v>37969.31</v>
      </c>
      <c r="G868" s="28">
        <f>SUMIFS(G869:G1509,K869:K1509,"0",B869:B1509,"5 1 1 3 4 12 31111 6 M78 12000 265 00C 001 13406*")</f>
        <v>0</v>
      </c>
      <c r="H868" s="28">
        <f t="shared" si="18"/>
        <v>37969.31</v>
      </c>
      <c r="I868" s="28"/>
      <c r="K868" t="s">
        <v>15</v>
      </c>
    </row>
    <row r="869" spans="2:11" ht="22" x14ac:dyDescent="0.15">
      <c r="B869" s="27" t="s">
        <v>1174</v>
      </c>
      <c r="C869" s="27" t="s">
        <v>176</v>
      </c>
      <c r="D869" s="28">
        <f>SUMIFS(D870:D1509,K870:K1509,"0",B870:B1509,"5 1 1 3 4 12 31111 6 M78 12000 265 00C 001 13406 015*")-SUMIFS(E870:E1509,K870:K1509,"0",B870:B1509,"5 1 1 3 4 12 31111 6 M78 12000 265 00C 001 13406 015*")</f>
        <v>0</v>
      </c>
      <c r="E869" s="29"/>
      <c r="F869" s="28">
        <f>SUMIFS(F870:F1509,K870:K1509,"0",B870:B1509,"5 1 1 3 4 12 31111 6 M78 12000 265 00C 001 13406 015*")</f>
        <v>37969.31</v>
      </c>
      <c r="G869" s="28">
        <f>SUMIFS(G870:G1509,K870:K1509,"0",B870:B1509,"5 1 1 3 4 12 31111 6 M78 12000 265 00C 001 13406 015*")</f>
        <v>0</v>
      </c>
      <c r="H869" s="28">
        <f t="shared" si="18"/>
        <v>37969.31</v>
      </c>
      <c r="I869" s="28"/>
      <c r="K869" t="s">
        <v>15</v>
      </c>
    </row>
    <row r="870" spans="2:11" ht="22" x14ac:dyDescent="0.15">
      <c r="B870" s="27" t="s">
        <v>1175</v>
      </c>
      <c r="C870" s="27" t="s">
        <v>744</v>
      </c>
      <c r="D870" s="28">
        <f>SUMIFS(D871:D1509,K871:K1509,"0",B871:B1509,"5 1 1 3 4 12 31111 6 M78 12000 265 00C 001 13406 015 2111100*")-SUMIFS(E871:E1509,K871:K1509,"0",B871:B1509,"5 1 1 3 4 12 31111 6 M78 12000 265 00C 001 13406 015 2111100*")</f>
        <v>0</v>
      </c>
      <c r="E870" s="29"/>
      <c r="F870" s="28">
        <f>SUMIFS(F871:F1509,K871:K1509,"0",B871:B1509,"5 1 1 3 4 12 31111 6 M78 12000 265 00C 001 13406 015 2111100*")</f>
        <v>37969.31</v>
      </c>
      <c r="G870" s="28">
        <f>SUMIFS(G871:G1509,K871:K1509,"0",B871:B1509,"5 1 1 3 4 12 31111 6 M78 12000 265 00C 001 13406 015 2111100*")</f>
        <v>0</v>
      </c>
      <c r="H870" s="28">
        <f t="shared" si="18"/>
        <v>37969.31</v>
      </c>
      <c r="I870" s="28"/>
      <c r="K870" t="s">
        <v>15</v>
      </c>
    </row>
    <row r="871" spans="2:11" ht="22" x14ac:dyDescent="0.15">
      <c r="B871" s="27" t="s">
        <v>1176</v>
      </c>
      <c r="C871" s="27" t="s">
        <v>248</v>
      </c>
      <c r="D871" s="28">
        <f>SUMIFS(D872:D1509,K872:K1509,"0",B872:B1509,"5 1 1 3 4 12 31111 6 M78 12000 265 00C 001 13406 015 2111100 2024*")-SUMIFS(E872:E1509,K872:K1509,"0",B872:B1509,"5 1 1 3 4 12 31111 6 M78 12000 265 00C 001 13406 015 2111100 2024*")</f>
        <v>0</v>
      </c>
      <c r="E871" s="29"/>
      <c r="F871" s="28">
        <f>SUMIFS(F872:F1509,K872:K1509,"0",B872:B1509,"5 1 1 3 4 12 31111 6 M78 12000 265 00C 001 13406 015 2111100 2024*")</f>
        <v>37969.31</v>
      </c>
      <c r="G871" s="28">
        <f>SUMIFS(G872:G1509,K872:K1509,"0",B872:B1509,"5 1 1 3 4 12 31111 6 M78 12000 265 00C 001 13406 015 2111100 2024*")</f>
        <v>0</v>
      </c>
      <c r="H871" s="28">
        <f t="shared" si="18"/>
        <v>37969.31</v>
      </c>
      <c r="I871" s="28"/>
      <c r="K871" t="s">
        <v>15</v>
      </c>
    </row>
    <row r="872" spans="2:11" ht="22" x14ac:dyDescent="0.15">
      <c r="B872" s="27" t="s">
        <v>1177</v>
      </c>
      <c r="C872" s="27" t="s">
        <v>182</v>
      </c>
      <c r="D872" s="28">
        <f>SUMIFS(D873:D1509,K873:K1509,"0",B873:B1509,"5 1 1 3 4 12 31111 6 M78 12000 265 00C 001 13406 015 2111100 2024 00000000*")-SUMIFS(E873:E1509,K873:K1509,"0",B873:B1509,"5 1 1 3 4 12 31111 6 M78 12000 265 00C 001 13406 015 2111100 2024 00000000*")</f>
        <v>0</v>
      </c>
      <c r="E872" s="29"/>
      <c r="F872" s="28">
        <f>SUMIFS(F873:F1509,K873:K1509,"0",B873:B1509,"5 1 1 3 4 12 31111 6 M78 12000 265 00C 001 13406 015 2111100 2024 00000000*")</f>
        <v>37969.31</v>
      </c>
      <c r="G872" s="28">
        <f>SUMIFS(G873:G1509,K873:K1509,"0",B873:B1509,"5 1 1 3 4 12 31111 6 M78 12000 265 00C 001 13406 015 2111100 2024 00000000*")</f>
        <v>0</v>
      </c>
      <c r="H872" s="28">
        <f t="shared" si="18"/>
        <v>37969.31</v>
      </c>
      <c r="I872" s="28"/>
      <c r="K872" t="s">
        <v>15</v>
      </c>
    </row>
    <row r="873" spans="2:11" ht="33" x14ac:dyDescent="0.15">
      <c r="B873" s="27" t="s">
        <v>1178</v>
      </c>
      <c r="C873" s="27" t="s">
        <v>9</v>
      </c>
      <c r="D873" s="28">
        <f>SUMIFS(D874:D1509,K874:K1509,"0",B874:B1509,"5 1 1 3 4 12 31111 6 M78 12000 265 00C 001 13406 015 2111100 2024 00000000 001*")-SUMIFS(E874:E1509,K874:K1509,"0",B874:B1509,"5 1 1 3 4 12 31111 6 M78 12000 265 00C 001 13406 015 2111100 2024 00000000 001*")</f>
        <v>0</v>
      </c>
      <c r="E873" s="29"/>
      <c r="F873" s="28">
        <f>SUMIFS(F874:F1509,K874:K1509,"0",B874:B1509,"5 1 1 3 4 12 31111 6 M78 12000 265 00C 001 13406 015 2111100 2024 00000000 001*")</f>
        <v>37969.31</v>
      </c>
      <c r="G873" s="28">
        <f>SUMIFS(G874:G1509,K874:K1509,"0",B874:B1509,"5 1 1 3 4 12 31111 6 M78 12000 265 00C 001 13406 015 2111100 2024 00000000 001*")</f>
        <v>0</v>
      </c>
      <c r="H873" s="28">
        <f t="shared" si="18"/>
        <v>37969.31</v>
      </c>
      <c r="I873" s="28"/>
      <c r="K873" t="s">
        <v>15</v>
      </c>
    </row>
    <row r="874" spans="2:11" ht="33" x14ac:dyDescent="0.15">
      <c r="B874" s="27" t="s">
        <v>1179</v>
      </c>
      <c r="C874" s="27" t="s">
        <v>873</v>
      </c>
      <c r="D874" s="28">
        <f>SUMIFS(D875:D1509,K875:K1509,"0",B875:B1509,"5 1 1 3 4 12 31111 6 M78 12000 265 00C 001 13406 015 2111100 2024 00000000 001 001*")-SUMIFS(E875:E1509,K875:K1509,"0",B875:B1509,"5 1 1 3 4 12 31111 6 M78 12000 265 00C 001 13406 015 2111100 2024 00000000 001 001*")</f>
        <v>0</v>
      </c>
      <c r="E874" s="29"/>
      <c r="F874" s="28">
        <f>SUMIFS(F875:F1509,K875:K1509,"0",B875:B1509,"5 1 1 3 4 12 31111 6 M78 12000 265 00C 001 13406 015 2111100 2024 00000000 001 001*")</f>
        <v>37969.31</v>
      </c>
      <c r="G874" s="28">
        <f>SUMIFS(G875:G1509,K875:K1509,"0",B875:B1509,"5 1 1 3 4 12 31111 6 M78 12000 265 00C 001 13406 015 2111100 2024 00000000 001 001*")</f>
        <v>0</v>
      </c>
      <c r="H874" s="28">
        <f t="shared" si="18"/>
        <v>37969.31</v>
      </c>
      <c r="I874" s="28"/>
      <c r="K874" t="s">
        <v>15</v>
      </c>
    </row>
    <row r="875" spans="2:11" ht="33" x14ac:dyDescent="0.15">
      <c r="B875" s="30" t="s">
        <v>1180</v>
      </c>
      <c r="C875" s="30" t="s">
        <v>1025</v>
      </c>
      <c r="D875" s="31">
        <v>0</v>
      </c>
      <c r="E875" s="31"/>
      <c r="F875" s="31">
        <v>37969.31</v>
      </c>
      <c r="G875" s="31">
        <v>0</v>
      </c>
      <c r="H875" s="31">
        <f t="shared" si="18"/>
        <v>37969.31</v>
      </c>
      <c r="I875" s="31"/>
      <c r="K875" t="s">
        <v>38</v>
      </c>
    </row>
    <row r="876" spans="2:11" ht="13" x14ac:dyDescent="0.15">
      <c r="B876" s="27" t="s">
        <v>1181</v>
      </c>
      <c r="C876" s="27" t="s">
        <v>876</v>
      </c>
      <c r="D876" s="28">
        <f>SUMIFS(D877:D1509,K877:K1509,"0",B877:B1509,"5 1 1 3 4 12 31111 6 M78 13000*")-SUMIFS(E877:E1509,K877:K1509,"0",B877:B1509,"5 1 1 3 4 12 31111 6 M78 13000*")</f>
        <v>0</v>
      </c>
      <c r="E876" s="29"/>
      <c r="F876" s="28">
        <f>SUMIFS(F877:F1509,K877:K1509,"0",B877:B1509,"5 1 1 3 4 12 31111 6 M78 13000*")</f>
        <v>3095.56</v>
      </c>
      <c r="G876" s="28">
        <f>SUMIFS(G877:G1509,K877:K1509,"0",B877:B1509,"5 1 1 3 4 12 31111 6 M78 13000*")</f>
        <v>0</v>
      </c>
      <c r="H876" s="28">
        <f t="shared" si="18"/>
        <v>3095.56</v>
      </c>
      <c r="I876" s="28"/>
      <c r="K876" t="s">
        <v>15</v>
      </c>
    </row>
    <row r="877" spans="2:11" ht="13" x14ac:dyDescent="0.15">
      <c r="B877" s="27" t="s">
        <v>1182</v>
      </c>
      <c r="C877" s="27" t="s">
        <v>168</v>
      </c>
      <c r="D877" s="28">
        <f>SUMIFS(D878:D1509,K878:K1509,"0",B878:B1509,"5 1 1 3 4 12 31111 6 M78 13000 151*")-SUMIFS(E878:E1509,K878:K1509,"0",B878:B1509,"5 1 1 3 4 12 31111 6 M78 13000 151*")</f>
        <v>0</v>
      </c>
      <c r="E877" s="29"/>
      <c r="F877" s="28">
        <f>SUMIFS(F878:F1509,K878:K1509,"0",B878:B1509,"5 1 1 3 4 12 31111 6 M78 13000 151*")</f>
        <v>3095.56</v>
      </c>
      <c r="G877" s="28">
        <f>SUMIFS(G878:G1509,K878:K1509,"0",B878:B1509,"5 1 1 3 4 12 31111 6 M78 13000 151*")</f>
        <v>0</v>
      </c>
      <c r="H877" s="28">
        <f t="shared" si="18"/>
        <v>3095.56</v>
      </c>
      <c r="I877" s="28"/>
      <c r="K877" t="s">
        <v>15</v>
      </c>
    </row>
    <row r="878" spans="2:11" ht="13" x14ac:dyDescent="0.15">
      <c r="B878" s="27" t="s">
        <v>1183</v>
      </c>
      <c r="C878" s="27" t="s">
        <v>170</v>
      </c>
      <c r="D878" s="28">
        <f>SUMIFS(D879:D1509,K879:K1509,"0",B879:B1509,"5 1 1 3 4 12 31111 6 M78 13000 151 00C*")-SUMIFS(E879:E1509,K879:K1509,"0",B879:B1509,"5 1 1 3 4 12 31111 6 M78 13000 151 00C*")</f>
        <v>0</v>
      </c>
      <c r="E878" s="29"/>
      <c r="F878" s="28">
        <f>SUMIFS(F879:F1509,K879:K1509,"0",B879:B1509,"5 1 1 3 4 12 31111 6 M78 13000 151 00C*")</f>
        <v>3095.56</v>
      </c>
      <c r="G878" s="28">
        <f>SUMIFS(G879:G1509,K879:K1509,"0",B879:B1509,"5 1 1 3 4 12 31111 6 M78 13000 151 00C*")</f>
        <v>0</v>
      </c>
      <c r="H878" s="28">
        <f t="shared" si="18"/>
        <v>3095.56</v>
      </c>
      <c r="I878" s="28"/>
      <c r="K878" t="s">
        <v>15</v>
      </c>
    </row>
    <row r="879" spans="2:11" ht="22" x14ac:dyDescent="0.15">
      <c r="B879" s="27" t="s">
        <v>1184</v>
      </c>
      <c r="C879" s="27" t="s">
        <v>9</v>
      </c>
      <c r="D879" s="28">
        <f>SUMIFS(D880:D1509,K880:K1509,"0",B880:B1509,"5 1 1 3 4 12 31111 6 M78 13000 151 00C 001*")-SUMIFS(E880:E1509,K880:K1509,"0",B880:B1509,"5 1 1 3 4 12 31111 6 M78 13000 151 00C 001*")</f>
        <v>0</v>
      </c>
      <c r="E879" s="29"/>
      <c r="F879" s="28">
        <f>SUMIFS(F880:F1509,K880:K1509,"0",B880:B1509,"5 1 1 3 4 12 31111 6 M78 13000 151 00C 001*")</f>
        <v>3095.56</v>
      </c>
      <c r="G879" s="28">
        <f>SUMIFS(G880:G1509,K880:K1509,"0",B880:B1509,"5 1 1 3 4 12 31111 6 M78 13000 151 00C 001*")</f>
        <v>0</v>
      </c>
      <c r="H879" s="28">
        <f t="shared" si="18"/>
        <v>3095.56</v>
      </c>
      <c r="I879" s="28"/>
      <c r="K879" t="s">
        <v>15</v>
      </c>
    </row>
    <row r="880" spans="2:11" ht="22" x14ac:dyDescent="0.15">
      <c r="B880" s="27" t="s">
        <v>1185</v>
      </c>
      <c r="C880" s="27" t="s">
        <v>1017</v>
      </c>
      <c r="D880" s="28">
        <f>SUMIFS(D881:D1509,K881:K1509,"0",B881:B1509,"5 1 1 3 4 12 31111 6 M78 13000 151 00C 001 13406*")-SUMIFS(E881:E1509,K881:K1509,"0",B881:B1509,"5 1 1 3 4 12 31111 6 M78 13000 151 00C 001 13406*")</f>
        <v>0</v>
      </c>
      <c r="E880" s="29"/>
      <c r="F880" s="28">
        <f>SUMIFS(F881:F1509,K881:K1509,"0",B881:B1509,"5 1 1 3 4 12 31111 6 M78 13000 151 00C 001 13406*")</f>
        <v>3095.56</v>
      </c>
      <c r="G880" s="28">
        <f>SUMIFS(G881:G1509,K881:K1509,"0",B881:B1509,"5 1 1 3 4 12 31111 6 M78 13000 151 00C 001 13406*")</f>
        <v>0</v>
      </c>
      <c r="H880" s="28">
        <f t="shared" si="18"/>
        <v>3095.56</v>
      </c>
      <c r="I880" s="28"/>
      <c r="K880" t="s">
        <v>15</v>
      </c>
    </row>
    <row r="881" spans="2:11" ht="22" x14ac:dyDescent="0.15">
      <c r="B881" s="27" t="s">
        <v>1186</v>
      </c>
      <c r="C881" s="27" t="s">
        <v>176</v>
      </c>
      <c r="D881" s="28">
        <f>SUMIFS(D882:D1509,K882:K1509,"0",B882:B1509,"5 1 1 3 4 12 31111 6 M78 13000 151 00C 001 13406 015*")-SUMIFS(E882:E1509,K882:K1509,"0",B882:B1509,"5 1 1 3 4 12 31111 6 M78 13000 151 00C 001 13406 015*")</f>
        <v>0</v>
      </c>
      <c r="E881" s="29"/>
      <c r="F881" s="28">
        <f>SUMIFS(F882:F1509,K882:K1509,"0",B882:B1509,"5 1 1 3 4 12 31111 6 M78 13000 151 00C 001 13406 015*")</f>
        <v>3095.56</v>
      </c>
      <c r="G881" s="28">
        <f>SUMIFS(G882:G1509,K882:K1509,"0",B882:B1509,"5 1 1 3 4 12 31111 6 M78 13000 151 00C 001 13406 015*")</f>
        <v>0</v>
      </c>
      <c r="H881" s="28">
        <f t="shared" si="18"/>
        <v>3095.56</v>
      </c>
      <c r="I881" s="28"/>
      <c r="K881" t="s">
        <v>15</v>
      </c>
    </row>
    <row r="882" spans="2:11" ht="22" x14ac:dyDescent="0.15">
      <c r="B882" s="27" t="s">
        <v>1187</v>
      </c>
      <c r="C882" s="27" t="s">
        <v>744</v>
      </c>
      <c r="D882" s="28">
        <f>SUMIFS(D883:D1509,K883:K1509,"0",B883:B1509,"5 1 1 3 4 12 31111 6 M78 13000 151 00C 001 13406 015 2111100*")-SUMIFS(E883:E1509,K883:K1509,"0",B883:B1509,"5 1 1 3 4 12 31111 6 M78 13000 151 00C 001 13406 015 2111100*")</f>
        <v>0</v>
      </c>
      <c r="E882" s="29"/>
      <c r="F882" s="28">
        <f>SUMIFS(F883:F1509,K883:K1509,"0",B883:B1509,"5 1 1 3 4 12 31111 6 M78 13000 151 00C 001 13406 015 2111100*")</f>
        <v>3095.56</v>
      </c>
      <c r="G882" s="28">
        <f>SUMIFS(G883:G1509,K883:K1509,"0",B883:B1509,"5 1 1 3 4 12 31111 6 M78 13000 151 00C 001 13406 015 2111100*")</f>
        <v>0</v>
      </c>
      <c r="H882" s="28">
        <f t="shared" si="18"/>
        <v>3095.56</v>
      </c>
      <c r="I882" s="28"/>
      <c r="K882" t="s">
        <v>15</v>
      </c>
    </row>
    <row r="883" spans="2:11" ht="22" x14ac:dyDescent="0.15">
      <c r="B883" s="27" t="s">
        <v>1188</v>
      </c>
      <c r="C883" s="27" t="s">
        <v>248</v>
      </c>
      <c r="D883" s="28">
        <f>SUMIFS(D884:D1509,K884:K1509,"0",B884:B1509,"5 1 1 3 4 12 31111 6 M78 13000 151 00C 001 13406 015 2111100 2024*")-SUMIFS(E884:E1509,K884:K1509,"0",B884:B1509,"5 1 1 3 4 12 31111 6 M78 13000 151 00C 001 13406 015 2111100 2024*")</f>
        <v>0</v>
      </c>
      <c r="E883" s="29"/>
      <c r="F883" s="28">
        <f>SUMIFS(F884:F1509,K884:K1509,"0",B884:B1509,"5 1 1 3 4 12 31111 6 M78 13000 151 00C 001 13406 015 2111100 2024*")</f>
        <v>3095.56</v>
      </c>
      <c r="G883" s="28">
        <f>SUMIFS(G884:G1509,K884:K1509,"0",B884:B1509,"5 1 1 3 4 12 31111 6 M78 13000 151 00C 001 13406 015 2111100 2024*")</f>
        <v>0</v>
      </c>
      <c r="H883" s="28">
        <f t="shared" si="18"/>
        <v>3095.56</v>
      </c>
      <c r="I883" s="28"/>
      <c r="K883" t="s">
        <v>15</v>
      </c>
    </row>
    <row r="884" spans="2:11" ht="22" x14ac:dyDescent="0.15">
      <c r="B884" s="27" t="s">
        <v>1189</v>
      </c>
      <c r="C884" s="27" t="s">
        <v>182</v>
      </c>
      <c r="D884" s="28">
        <f>SUMIFS(D885:D1509,K885:K1509,"0",B885:B1509,"5 1 1 3 4 12 31111 6 M78 13000 151 00C 001 13406 015 2111100 2024 00000000*")-SUMIFS(E885:E1509,K885:K1509,"0",B885:B1509,"5 1 1 3 4 12 31111 6 M78 13000 151 00C 001 13406 015 2111100 2024 00000000*")</f>
        <v>0</v>
      </c>
      <c r="E884" s="29"/>
      <c r="F884" s="28">
        <f>SUMIFS(F885:F1509,K885:K1509,"0",B885:B1509,"5 1 1 3 4 12 31111 6 M78 13000 151 00C 001 13406 015 2111100 2024 00000000*")</f>
        <v>3095.56</v>
      </c>
      <c r="G884" s="28">
        <f>SUMIFS(G885:G1509,K885:K1509,"0",B885:B1509,"5 1 1 3 4 12 31111 6 M78 13000 151 00C 001 13406 015 2111100 2024 00000000*")</f>
        <v>0</v>
      </c>
      <c r="H884" s="28">
        <f t="shared" si="18"/>
        <v>3095.56</v>
      </c>
      <c r="I884" s="28"/>
      <c r="K884" t="s">
        <v>15</v>
      </c>
    </row>
    <row r="885" spans="2:11" ht="33" x14ac:dyDescent="0.15">
      <c r="B885" s="27" t="s">
        <v>1190</v>
      </c>
      <c r="C885" s="27" t="s">
        <v>9</v>
      </c>
      <c r="D885" s="28">
        <f>SUMIFS(D886:D1509,K886:K1509,"0",B886:B1509,"5 1 1 3 4 12 31111 6 M78 13000 151 00C 001 13406 015 2111100 2024 00000000 001*")-SUMIFS(E886:E1509,K886:K1509,"0",B886:B1509,"5 1 1 3 4 12 31111 6 M78 13000 151 00C 001 13406 015 2111100 2024 00000000 001*")</f>
        <v>0</v>
      </c>
      <c r="E885" s="29"/>
      <c r="F885" s="28">
        <f>SUMIFS(F886:F1509,K886:K1509,"0",B886:B1509,"5 1 1 3 4 12 31111 6 M78 13000 151 00C 001 13406 015 2111100 2024 00000000 001*")</f>
        <v>3095.56</v>
      </c>
      <c r="G885" s="28">
        <f>SUMIFS(G886:G1509,K886:K1509,"0",B886:B1509,"5 1 1 3 4 12 31111 6 M78 13000 151 00C 001 13406 015 2111100 2024 00000000 001*")</f>
        <v>0</v>
      </c>
      <c r="H885" s="28">
        <f t="shared" si="18"/>
        <v>3095.56</v>
      </c>
      <c r="I885" s="28"/>
      <c r="K885" t="s">
        <v>15</v>
      </c>
    </row>
    <row r="886" spans="2:11" ht="33" x14ac:dyDescent="0.15">
      <c r="B886" s="27" t="s">
        <v>1191</v>
      </c>
      <c r="C886" s="27" t="s">
        <v>887</v>
      </c>
      <c r="D886" s="28">
        <f>SUMIFS(D887:D1509,K887:K1509,"0",B887:B1509,"5 1 1 3 4 12 31111 6 M78 13000 151 00C 001 13406 015 2111100 2024 00000000 001 001*")-SUMIFS(E887:E1509,K887:K1509,"0",B887:B1509,"5 1 1 3 4 12 31111 6 M78 13000 151 00C 001 13406 015 2111100 2024 00000000 001 001*")</f>
        <v>0</v>
      </c>
      <c r="E886" s="29"/>
      <c r="F886" s="28">
        <f>SUMIFS(F887:F1509,K887:K1509,"0",B887:B1509,"5 1 1 3 4 12 31111 6 M78 13000 151 00C 001 13406 015 2111100 2024 00000000 001 001*")</f>
        <v>3095.56</v>
      </c>
      <c r="G886" s="28">
        <f>SUMIFS(G887:G1509,K887:K1509,"0",B887:B1509,"5 1 1 3 4 12 31111 6 M78 13000 151 00C 001 13406 015 2111100 2024 00000000 001 001*")</f>
        <v>0</v>
      </c>
      <c r="H886" s="28">
        <f t="shared" si="18"/>
        <v>3095.56</v>
      </c>
      <c r="I886" s="28"/>
      <c r="K886" t="s">
        <v>15</v>
      </c>
    </row>
    <row r="887" spans="2:11" ht="33" x14ac:dyDescent="0.15">
      <c r="B887" s="30" t="s">
        <v>1192</v>
      </c>
      <c r="C887" s="30" t="s">
        <v>1025</v>
      </c>
      <c r="D887" s="31">
        <v>0</v>
      </c>
      <c r="E887" s="31"/>
      <c r="F887" s="31">
        <v>3095.56</v>
      </c>
      <c r="G887" s="31">
        <v>0</v>
      </c>
      <c r="H887" s="31">
        <f t="shared" si="18"/>
        <v>3095.56</v>
      </c>
      <c r="I887" s="31"/>
      <c r="K887" t="s">
        <v>38</v>
      </c>
    </row>
    <row r="888" spans="2:11" ht="13" x14ac:dyDescent="0.15">
      <c r="B888" s="27" t="s">
        <v>1193</v>
      </c>
      <c r="C888" s="27" t="s">
        <v>890</v>
      </c>
      <c r="D888" s="28">
        <f>SUMIFS(D889:D1509,K889:K1509,"0",B889:B1509,"5 1 1 3 4 12 31111 6 M78 14000*")-SUMIFS(E889:E1509,K889:K1509,"0",B889:B1509,"5 1 1 3 4 12 31111 6 M78 14000*")</f>
        <v>0</v>
      </c>
      <c r="E888" s="29"/>
      <c r="F888" s="28">
        <f>SUMIFS(F889:F1509,K889:K1509,"0",B889:B1509,"5 1 1 3 4 12 31111 6 M78 14000*")</f>
        <v>5083.8900000000003</v>
      </c>
      <c r="G888" s="28">
        <f>SUMIFS(G889:G1509,K889:K1509,"0",B889:B1509,"5 1 1 3 4 12 31111 6 M78 14000*")</f>
        <v>0</v>
      </c>
      <c r="H888" s="28">
        <f t="shared" si="18"/>
        <v>5083.8900000000003</v>
      </c>
      <c r="I888" s="28"/>
      <c r="K888" t="s">
        <v>15</v>
      </c>
    </row>
    <row r="889" spans="2:11" ht="13" x14ac:dyDescent="0.15">
      <c r="B889" s="27" t="s">
        <v>1194</v>
      </c>
      <c r="C889" s="27" t="s">
        <v>892</v>
      </c>
      <c r="D889" s="28">
        <f>SUMIFS(D890:D1509,K890:K1509,"0",B890:B1509,"5 1 1 3 4 12 31111 6 M78 14000 211*")-SUMIFS(E890:E1509,K890:K1509,"0",B890:B1509,"5 1 1 3 4 12 31111 6 M78 14000 211*")</f>
        <v>0</v>
      </c>
      <c r="E889" s="29"/>
      <c r="F889" s="28">
        <f>SUMIFS(F890:F1509,K890:K1509,"0",B890:B1509,"5 1 1 3 4 12 31111 6 M78 14000 211*")</f>
        <v>5083.8900000000003</v>
      </c>
      <c r="G889" s="28">
        <f>SUMIFS(G890:G1509,K890:K1509,"0",B890:B1509,"5 1 1 3 4 12 31111 6 M78 14000 211*")</f>
        <v>0</v>
      </c>
      <c r="H889" s="28">
        <f t="shared" si="18"/>
        <v>5083.8900000000003</v>
      </c>
      <c r="I889" s="28"/>
      <c r="K889" t="s">
        <v>15</v>
      </c>
    </row>
    <row r="890" spans="2:11" ht="13" x14ac:dyDescent="0.15">
      <c r="B890" s="27" t="s">
        <v>1195</v>
      </c>
      <c r="C890" s="27" t="s">
        <v>170</v>
      </c>
      <c r="D890" s="28">
        <f>SUMIFS(D891:D1509,K891:K1509,"0",B891:B1509,"5 1 1 3 4 12 31111 6 M78 14000 211 00C*")-SUMIFS(E891:E1509,K891:K1509,"0",B891:B1509,"5 1 1 3 4 12 31111 6 M78 14000 211 00C*")</f>
        <v>0</v>
      </c>
      <c r="E890" s="29"/>
      <c r="F890" s="28">
        <f>SUMIFS(F891:F1509,K891:K1509,"0",B891:B1509,"5 1 1 3 4 12 31111 6 M78 14000 211 00C*")</f>
        <v>5083.8900000000003</v>
      </c>
      <c r="G890" s="28">
        <f>SUMIFS(G891:G1509,K891:K1509,"0",B891:B1509,"5 1 1 3 4 12 31111 6 M78 14000 211 00C*")</f>
        <v>0</v>
      </c>
      <c r="H890" s="28">
        <f t="shared" si="18"/>
        <v>5083.8900000000003</v>
      </c>
      <c r="I890" s="28"/>
      <c r="K890" t="s">
        <v>15</v>
      </c>
    </row>
    <row r="891" spans="2:11" ht="22" x14ac:dyDescent="0.15">
      <c r="B891" s="27" t="s">
        <v>1196</v>
      </c>
      <c r="C891" s="27" t="s">
        <v>9</v>
      </c>
      <c r="D891" s="28">
        <f>SUMIFS(D892:D1509,K892:K1509,"0",B892:B1509,"5 1 1 3 4 12 31111 6 M78 14000 211 00C 001*")-SUMIFS(E892:E1509,K892:K1509,"0",B892:B1509,"5 1 1 3 4 12 31111 6 M78 14000 211 00C 001*")</f>
        <v>0</v>
      </c>
      <c r="E891" s="29"/>
      <c r="F891" s="28">
        <f>SUMIFS(F892:F1509,K892:K1509,"0",B892:B1509,"5 1 1 3 4 12 31111 6 M78 14000 211 00C 001*")</f>
        <v>5083.8900000000003</v>
      </c>
      <c r="G891" s="28">
        <f>SUMIFS(G892:G1509,K892:K1509,"0",B892:B1509,"5 1 1 3 4 12 31111 6 M78 14000 211 00C 001*")</f>
        <v>0</v>
      </c>
      <c r="H891" s="28">
        <f t="shared" si="18"/>
        <v>5083.8900000000003</v>
      </c>
      <c r="I891" s="28"/>
      <c r="K891" t="s">
        <v>15</v>
      </c>
    </row>
    <row r="892" spans="2:11" ht="22" x14ac:dyDescent="0.15">
      <c r="B892" s="27" t="s">
        <v>1197</v>
      </c>
      <c r="C892" s="27" t="s">
        <v>1017</v>
      </c>
      <c r="D892" s="28">
        <f>SUMIFS(D893:D1509,K893:K1509,"0",B893:B1509,"5 1 1 3 4 12 31111 6 M78 14000 211 00C 001 13406*")-SUMIFS(E893:E1509,K893:K1509,"0",B893:B1509,"5 1 1 3 4 12 31111 6 M78 14000 211 00C 001 13406*")</f>
        <v>0</v>
      </c>
      <c r="E892" s="29"/>
      <c r="F892" s="28">
        <f>SUMIFS(F893:F1509,K893:K1509,"0",B893:B1509,"5 1 1 3 4 12 31111 6 M78 14000 211 00C 001 13406*")</f>
        <v>5083.8900000000003</v>
      </c>
      <c r="G892" s="28">
        <f>SUMIFS(G893:G1509,K893:K1509,"0",B893:B1509,"5 1 1 3 4 12 31111 6 M78 14000 211 00C 001 13406*")</f>
        <v>0</v>
      </c>
      <c r="H892" s="28">
        <f t="shared" si="18"/>
        <v>5083.8900000000003</v>
      </c>
      <c r="I892" s="28"/>
      <c r="K892" t="s">
        <v>15</v>
      </c>
    </row>
    <row r="893" spans="2:11" ht="22" x14ac:dyDescent="0.15">
      <c r="B893" s="27" t="s">
        <v>1198</v>
      </c>
      <c r="C893" s="27" t="s">
        <v>176</v>
      </c>
      <c r="D893" s="28">
        <f>SUMIFS(D894:D1509,K894:K1509,"0",B894:B1509,"5 1 1 3 4 12 31111 6 M78 14000 211 00C 001 13406 015*")-SUMIFS(E894:E1509,K894:K1509,"0",B894:B1509,"5 1 1 3 4 12 31111 6 M78 14000 211 00C 001 13406 015*")</f>
        <v>0</v>
      </c>
      <c r="E893" s="29"/>
      <c r="F893" s="28">
        <f>SUMIFS(F894:F1509,K894:K1509,"0",B894:B1509,"5 1 1 3 4 12 31111 6 M78 14000 211 00C 001 13406 015*")</f>
        <v>5083.8900000000003</v>
      </c>
      <c r="G893" s="28">
        <f>SUMIFS(G894:G1509,K894:K1509,"0",B894:B1509,"5 1 1 3 4 12 31111 6 M78 14000 211 00C 001 13406 015*")</f>
        <v>0</v>
      </c>
      <c r="H893" s="28">
        <f t="shared" si="18"/>
        <v>5083.8900000000003</v>
      </c>
      <c r="I893" s="28"/>
      <c r="K893" t="s">
        <v>15</v>
      </c>
    </row>
    <row r="894" spans="2:11" ht="22" x14ac:dyDescent="0.15">
      <c r="B894" s="27" t="s">
        <v>1199</v>
      </c>
      <c r="C894" s="27" t="s">
        <v>744</v>
      </c>
      <c r="D894" s="28">
        <f>SUMIFS(D895:D1509,K895:K1509,"0",B895:B1509,"5 1 1 3 4 12 31111 6 M78 14000 211 00C 001 13406 015 2111100*")-SUMIFS(E895:E1509,K895:K1509,"0",B895:B1509,"5 1 1 3 4 12 31111 6 M78 14000 211 00C 001 13406 015 2111100*")</f>
        <v>0</v>
      </c>
      <c r="E894" s="29"/>
      <c r="F894" s="28">
        <f>SUMIFS(F895:F1509,K895:K1509,"0",B895:B1509,"5 1 1 3 4 12 31111 6 M78 14000 211 00C 001 13406 015 2111100*")</f>
        <v>5083.8900000000003</v>
      </c>
      <c r="G894" s="28">
        <f>SUMIFS(G895:G1509,K895:K1509,"0",B895:B1509,"5 1 1 3 4 12 31111 6 M78 14000 211 00C 001 13406 015 2111100*")</f>
        <v>0</v>
      </c>
      <c r="H894" s="28">
        <f t="shared" si="18"/>
        <v>5083.8900000000003</v>
      </c>
      <c r="I894" s="28"/>
      <c r="K894" t="s">
        <v>15</v>
      </c>
    </row>
    <row r="895" spans="2:11" ht="22" x14ac:dyDescent="0.15">
      <c r="B895" s="27" t="s">
        <v>1200</v>
      </c>
      <c r="C895" s="27" t="s">
        <v>248</v>
      </c>
      <c r="D895" s="28">
        <f>SUMIFS(D896:D1509,K896:K1509,"0",B896:B1509,"5 1 1 3 4 12 31111 6 M78 14000 211 00C 001 13406 015 2111100 2024*")-SUMIFS(E896:E1509,K896:K1509,"0",B896:B1509,"5 1 1 3 4 12 31111 6 M78 14000 211 00C 001 13406 015 2111100 2024*")</f>
        <v>0</v>
      </c>
      <c r="E895" s="29"/>
      <c r="F895" s="28">
        <f>SUMIFS(F896:F1509,K896:K1509,"0",B896:B1509,"5 1 1 3 4 12 31111 6 M78 14000 211 00C 001 13406 015 2111100 2024*")</f>
        <v>5083.8900000000003</v>
      </c>
      <c r="G895" s="28">
        <f>SUMIFS(G896:G1509,K896:K1509,"0",B896:B1509,"5 1 1 3 4 12 31111 6 M78 14000 211 00C 001 13406 015 2111100 2024*")</f>
        <v>0</v>
      </c>
      <c r="H895" s="28">
        <f t="shared" si="18"/>
        <v>5083.8900000000003</v>
      </c>
      <c r="I895" s="28"/>
      <c r="K895" t="s">
        <v>15</v>
      </c>
    </row>
    <row r="896" spans="2:11" ht="22" x14ac:dyDescent="0.15">
      <c r="B896" s="27" t="s">
        <v>1201</v>
      </c>
      <c r="C896" s="27" t="s">
        <v>182</v>
      </c>
      <c r="D896" s="28">
        <f>SUMIFS(D897:D1509,K897:K1509,"0",B897:B1509,"5 1 1 3 4 12 31111 6 M78 14000 211 00C 001 13406 015 2111100 2024 00000000*")-SUMIFS(E897:E1509,K897:K1509,"0",B897:B1509,"5 1 1 3 4 12 31111 6 M78 14000 211 00C 001 13406 015 2111100 2024 00000000*")</f>
        <v>0</v>
      </c>
      <c r="E896" s="29"/>
      <c r="F896" s="28">
        <f>SUMIFS(F897:F1509,K897:K1509,"0",B897:B1509,"5 1 1 3 4 12 31111 6 M78 14000 211 00C 001 13406 015 2111100 2024 00000000*")</f>
        <v>5083.8900000000003</v>
      </c>
      <c r="G896" s="28">
        <f>SUMIFS(G897:G1509,K897:K1509,"0",B897:B1509,"5 1 1 3 4 12 31111 6 M78 14000 211 00C 001 13406 015 2111100 2024 00000000*")</f>
        <v>0</v>
      </c>
      <c r="H896" s="28">
        <f t="shared" si="18"/>
        <v>5083.8900000000003</v>
      </c>
      <c r="I896" s="28"/>
      <c r="K896" t="s">
        <v>15</v>
      </c>
    </row>
    <row r="897" spans="2:11" ht="33" x14ac:dyDescent="0.15">
      <c r="B897" s="27" t="s">
        <v>1202</v>
      </c>
      <c r="C897" s="27" t="s">
        <v>9</v>
      </c>
      <c r="D897" s="28">
        <f>SUMIFS(D898:D1509,K898:K1509,"0",B898:B1509,"5 1 1 3 4 12 31111 6 M78 14000 211 00C 001 13406 015 2111100 2024 00000000 001*")-SUMIFS(E898:E1509,K898:K1509,"0",B898:B1509,"5 1 1 3 4 12 31111 6 M78 14000 211 00C 001 13406 015 2111100 2024 00000000 001*")</f>
        <v>0</v>
      </c>
      <c r="E897" s="29"/>
      <c r="F897" s="28">
        <f>SUMIFS(F898:F1509,K898:K1509,"0",B898:B1509,"5 1 1 3 4 12 31111 6 M78 14000 211 00C 001 13406 015 2111100 2024 00000000 001*")</f>
        <v>5083.8900000000003</v>
      </c>
      <c r="G897" s="28">
        <f>SUMIFS(G898:G1509,K898:K1509,"0",B898:B1509,"5 1 1 3 4 12 31111 6 M78 14000 211 00C 001 13406 015 2111100 2024 00000000 001*")</f>
        <v>0</v>
      </c>
      <c r="H897" s="28">
        <f t="shared" si="18"/>
        <v>5083.8900000000003</v>
      </c>
      <c r="I897" s="28"/>
      <c r="K897" t="s">
        <v>15</v>
      </c>
    </row>
    <row r="898" spans="2:11" ht="33" x14ac:dyDescent="0.15">
      <c r="B898" s="27" t="s">
        <v>1203</v>
      </c>
      <c r="C898" s="27" t="s">
        <v>902</v>
      </c>
      <c r="D898" s="28">
        <f>SUMIFS(D899:D1509,K899:K1509,"0",B899:B1509,"5 1 1 3 4 12 31111 6 M78 14000 211 00C 001 13406 015 2111100 2024 00000000 001 001*")-SUMIFS(E899:E1509,K899:K1509,"0",B899:B1509,"5 1 1 3 4 12 31111 6 M78 14000 211 00C 001 13406 015 2111100 2024 00000000 001 001*")</f>
        <v>0</v>
      </c>
      <c r="E898" s="29"/>
      <c r="F898" s="28">
        <f>SUMIFS(F899:F1509,K899:K1509,"0",B899:B1509,"5 1 1 3 4 12 31111 6 M78 14000 211 00C 001 13406 015 2111100 2024 00000000 001 001*")</f>
        <v>5083.8900000000003</v>
      </c>
      <c r="G898" s="28">
        <f>SUMIFS(G899:G1509,K899:K1509,"0",B899:B1509,"5 1 1 3 4 12 31111 6 M78 14000 211 00C 001 13406 015 2111100 2024 00000000 001 001*")</f>
        <v>0</v>
      </c>
      <c r="H898" s="28">
        <f t="shared" si="18"/>
        <v>5083.8900000000003</v>
      </c>
      <c r="I898" s="28"/>
      <c r="K898" t="s">
        <v>15</v>
      </c>
    </row>
    <row r="899" spans="2:11" ht="33" x14ac:dyDescent="0.15">
      <c r="B899" s="30" t="s">
        <v>1204</v>
      </c>
      <c r="C899" s="30" t="s">
        <v>1025</v>
      </c>
      <c r="D899" s="31">
        <v>0</v>
      </c>
      <c r="E899" s="31"/>
      <c r="F899" s="31">
        <v>5083.8900000000003</v>
      </c>
      <c r="G899" s="31">
        <v>0</v>
      </c>
      <c r="H899" s="31">
        <f t="shared" si="18"/>
        <v>5083.8900000000003</v>
      </c>
      <c r="I899" s="31"/>
      <c r="K899" t="s">
        <v>38</v>
      </c>
    </row>
    <row r="900" spans="2:11" ht="13" x14ac:dyDescent="0.15">
      <c r="B900" s="27" t="s">
        <v>1205</v>
      </c>
      <c r="C900" s="27" t="s">
        <v>299</v>
      </c>
      <c r="D900" s="28">
        <f>SUMIFS(D901:D1509,K901:K1509,"0",B901:B1509,"5 1 1 3 4 12 31111 6 M78 19000*")-SUMIFS(E901:E1509,K901:K1509,"0",B901:B1509,"5 1 1 3 4 12 31111 6 M78 19000*")</f>
        <v>0</v>
      </c>
      <c r="E900" s="29"/>
      <c r="F900" s="28">
        <f>SUMIFS(F901:F1509,K901:K1509,"0",B901:B1509,"5 1 1 3 4 12 31111 6 M78 19000*")</f>
        <v>13873.41</v>
      </c>
      <c r="G900" s="28">
        <f>SUMIFS(G901:G1509,K901:K1509,"0",B901:B1509,"5 1 1 3 4 12 31111 6 M78 19000*")</f>
        <v>0</v>
      </c>
      <c r="H900" s="28">
        <f t="shared" si="18"/>
        <v>13873.41</v>
      </c>
      <c r="I900" s="28"/>
      <c r="K900" t="s">
        <v>15</v>
      </c>
    </row>
    <row r="901" spans="2:11" ht="13" x14ac:dyDescent="0.15">
      <c r="B901" s="27" t="s">
        <v>1206</v>
      </c>
      <c r="C901" s="27" t="s">
        <v>906</v>
      </c>
      <c r="D901" s="28">
        <f>SUMIFS(D902:D1509,K902:K1509,"0",B902:B1509,"5 1 1 3 4 12 31111 6 M78 19000 321*")-SUMIFS(E902:E1509,K902:K1509,"0",B902:B1509,"5 1 1 3 4 12 31111 6 M78 19000 321*")</f>
        <v>0</v>
      </c>
      <c r="E901" s="29"/>
      <c r="F901" s="28">
        <f>SUMIFS(F902:F1509,K902:K1509,"0",B902:B1509,"5 1 1 3 4 12 31111 6 M78 19000 321*")</f>
        <v>13873.41</v>
      </c>
      <c r="G901" s="28">
        <f>SUMIFS(G902:G1509,K902:K1509,"0",B902:B1509,"5 1 1 3 4 12 31111 6 M78 19000 321*")</f>
        <v>0</v>
      </c>
      <c r="H901" s="28">
        <f t="shared" si="18"/>
        <v>13873.41</v>
      </c>
      <c r="I901" s="28"/>
      <c r="K901" t="s">
        <v>15</v>
      </c>
    </row>
    <row r="902" spans="2:11" ht="13" x14ac:dyDescent="0.15">
      <c r="B902" s="27" t="s">
        <v>1207</v>
      </c>
      <c r="C902" s="27" t="s">
        <v>170</v>
      </c>
      <c r="D902" s="28">
        <f>SUMIFS(D903:D1509,K903:K1509,"0",B903:B1509,"5 1 1 3 4 12 31111 6 M78 19000 321 00C*")-SUMIFS(E903:E1509,K903:K1509,"0",B903:B1509,"5 1 1 3 4 12 31111 6 M78 19000 321 00C*")</f>
        <v>0</v>
      </c>
      <c r="E902" s="29"/>
      <c r="F902" s="28">
        <f>SUMIFS(F903:F1509,K903:K1509,"0",B903:B1509,"5 1 1 3 4 12 31111 6 M78 19000 321 00C*")</f>
        <v>13873.41</v>
      </c>
      <c r="G902" s="28">
        <f>SUMIFS(G903:G1509,K903:K1509,"0",B903:B1509,"5 1 1 3 4 12 31111 6 M78 19000 321 00C*")</f>
        <v>0</v>
      </c>
      <c r="H902" s="28">
        <f t="shared" si="18"/>
        <v>13873.41</v>
      </c>
      <c r="I902" s="28"/>
      <c r="K902" t="s">
        <v>15</v>
      </c>
    </row>
    <row r="903" spans="2:11" ht="22" x14ac:dyDescent="0.15">
      <c r="B903" s="27" t="s">
        <v>1208</v>
      </c>
      <c r="C903" s="27" t="s">
        <v>9</v>
      </c>
      <c r="D903" s="28">
        <f>SUMIFS(D904:D1509,K904:K1509,"0",B904:B1509,"5 1 1 3 4 12 31111 6 M78 19000 321 00C 001*")-SUMIFS(E904:E1509,K904:K1509,"0",B904:B1509,"5 1 1 3 4 12 31111 6 M78 19000 321 00C 001*")</f>
        <v>0</v>
      </c>
      <c r="E903" s="29"/>
      <c r="F903" s="28">
        <f>SUMIFS(F904:F1509,K904:K1509,"0",B904:B1509,"5 1 1 3 4 12 31111 6 M78 19000 321 00C 001*")</f>
        <v>13873.41</v>
      </c>
      <c r="G903" s="28">
        <f>SUMIFS(G904:G1509,K904:K1509,"0",B904:B1509,"5 1 1 3 4 12 31111 6 M78 19000 321 00C 001*")</f>
        <v>0</v>
      </c>
      <c r="H903" s="28">
        <f t="shared" si="18"/>
        <v>13873.41</v>
      </c>
      <c r="I903" s="28"/>
      <c r="K903" t="s">
        <v>15</v>
      </c>
    </row>
    <row r="904" spans="2:11" ht="22" x14ac:dyDescent="0.15">
      <c r="B904" s="27" t="s">
        <v>1209</v>
      </c>
      <c r="C904" s="27" t="s">
        <v>1007</v>
      </c>
      <c r="D904" s="28">
        <f>SUMIFS(D905:D1509,K905:K1509,"0",B905:B1509,"5 1 1 3 4 12 31111 6 M78 19000 321 00C 001 13403*")-SUMIFS(E905:E1509,K905:K1509,"0",B905:B1509,"5 1 1 3 4 12 31111 6 M78 19000 321 00C 001 13403*")</f>
        <v>0</v>
      </c>
      <c r="E904" s="29"/>
      <c r="F904" s="28">
        <f>SUMIFS(F905:F1509,K905:K1509,"0",B905:B1509,"5 1 1 3 4 12 31111 6 M78 19000 321 00C 001 13403*")</f>
        <v>5429.97</v>
      </c>
      <c r="G904" s="28">
        <f>SUMIFS(G905:G1509,K905:K1509,"0",B905:B1509,"5 1 1 3 4 12 31111 6 M78 19000 321 00C 001 13403*")</f>
        <v>0</v>
      </c>
      <c r="H904" s="28">
        <f t="shared" si="18"/>
        <v>5429.97</v>
      </c>
      <c r="I904" s="28"/>
      <c r="K904" t="s">
        <v>15</v>
      </c>
    </row>
    <row r="905" spans="2:11" ht="22" x14ac:dyDescent="0.15">
      <c r="B905" s="27" t="s">
        <v>1210</v>
      </c>
      <c r="C905" s="27" t="s">
        <v>176</v>
      </c>
      <c r="D905" s="28">
        <f>SUMIFS(D906:D1509,K906:K1509,"0",B906:B1509,"5 1 1 3 4 12 31111 6 M78 19000 321 00C 001 13403 015*")-SUMIFS(E906:E1509,K906:K1509,"0",B906:B1509,"5 1 1 3 4 12 31111 6 M78 19000 321 00C 001 13403 015*")</f>
        <v>0</v>
      </c>
      <c r="E905" s="29"/>
      <c r="F905" s="28">
        <f>SUMIFS(F906:F1509,K906:K1509,"0",B906:B1509,"5 1 1 3 4 12 31111 6 M78 19000 321 00C 001 13403 015*")</f>
        <v>5429.97</v>
      </c>
      <c r="G905" s="28">
        <f>SUMIFS(G906:G1509,K906:K1509,"0",B906:B1509,"5 1 1 3 4 12 31111 6 M78 19000 321 00C 001 13403 015*")</f>
        <v>0</v>
      </c>
      <c r="H905" s="28">
        <f t="shared" si="18"/>
        <v>5429.97</v>
      </c>
      <c r="I905" s="28"/>
      <c r="K905" t="s">
        <v>15</v>
      </c>
    </row>
    <row r="906" spans="2:11" ht="22" x14ac:dyDescent="0.15">
      <c r="B906" s="27" t="s">
        <v>1211</v>
      </c>
      <c r="C906" s="27" t="s">
        <v>744</v>
      </c>
      <c r="D906" s="28">
        <f>SUMIFS(D907:D1509,K907:K1509,"0",B907:B1509,"5 1 1 3 4 12 31111 6 M78 19000 321 00C 001 13403 015 2111100*")-SUMIFS(E907:E1509,K907:K1509,"0",B907:B1509,"5 1 1 3 4 12 31111 6 M78 19000 321 00C 001 13403 015 2111100*")</f>
        <v>0</v>
      </c>
      <c r="E906" s="29"/>
      <c r="F906" s="28">
        <f>SUMIFS(F907:F1509,K907:K1509,"0",B907:B1509,"5 1 1 3 4 12 31111 6 M78 19000 321 00C 001 13403 015 2111100*")</f>
        <v>5429.97</v>
      </c>
      <c r="G906" s="28">
        <f>SUMIFS(G907:G1509,K907:K1509,"0",B907:B1509,"5 1 1 3 4 12 31111 6 M78 19000 321 00C 001 13403 015 2111100*")</f>
        <v>0</v>
      </c>
      <c r="H906" s="28">
        <f t="shared" si="18"/>
        <v>5429.97</v>
      </c>
      <c r="I906" s="28"/>
      <c r="K906" t="s">
        <v>15</v>
      </c>
    </row>
    <row r="907" spans="2:11" ht="22" x14ac:dyDescent="0.15">
      <c r="B907" s="27" t="s">
        <v>1212</v>
      </c>
      <c r="C907" s="27" t="s">
        <v>248</v>
      </c>
      <c r="D907" s="28">
        <f>SUMIFS(D908:D1509,K908:K1509,"0",B908:B1509,"5 1 1 3 4 12 31111 6 M78 19000 321 00C 001 13403 015 2111100 2024*")-SUMIFS(E908:E1509,K908:K1509,"0",B908:B1509,"5 1 1 3 4 12 31111 6 M78 19000 321 00C 001 13403 015 2111100 2024*")</f>
        <v>0</v>
      </c>
      <c r="E907" s="29"/>
      <c r="F907" s="28">
        <f>SUMIFS(F908:F1509,K908:K1509,"0",B908:B1509,"5 1 1 3 4 12 31111 6 M78 19000 321 00C 001 13403 015 2111100 2024*")</f>
        <v>5429.97</v>
      </c>
      <c r="G907" s="28">
        <f>SUMIFS(G908:G1509,K908:K1509,"0",B908:B1509,"5 1 1 3 4 12 31111 6 M78 19000 321 00C 001 13403 015 2111100 2024*")</f>
        <v>0</v>
      </c>
      <c r="H907" s="28">
        <f t="shared" si="18"/>
        <v>5429.97</v>
      </c>
      <c r="I907" s="28"/>
      <c r="K907" t="s">
        <v>15</v>
      </c>
    </row>
    <row r="908" spans="2:11" ht="22" x14ac:dyDescent="0.15">
      <c r="B908" s="27" t="s">
        <v>1213</v>
      </c>
      <c r="C908" s="27" t="s">
        <v>182</v>
      </c>
      <c r="D908" s="28">
        <f>SUMIFS(D909:D1509,K909:K1509,"0",B909:B1509,"5 1 1 3 4 12 31111 6 M78 19000 321 00C 001 13403 015 2111100 2024 00000000*")-SUMIFS(E909:E1509,K909:K1509,"0",B909:B1509,"5 1 1 3 4 12 31111 6 M78 19000 321 00C 001 13403 015 2111100 2024 00000000*")</f>
        <v>0</v>
      </c>
      <c r="E908" s="29"/>
      <c r="F908" s="28">
        <f>SUMIFS(F909:F1509,K909:K1509,"0",B909:B1509,"5 1 1 3 4 12 31111 6 M78 19000 321 00C 001 13403 015 2111100 2024 00000000*")</f>
        <v>5429.97</v>
      </c>
      <c r="G908" s="28">
        <f>SUMIFS(G909:G1509,K909:K1509,"0",B909:B1509,"5 1 1 3 4 12 31111 6 M78 19000 321 00C 001 13403 015 2111100 2024 00000000*")</f>
        <v>0</v>
      </c>
      <c r="H908" s="28">
        <f t="shared" si="18"/>
        <v>5429.97</v>
      </c>
      <c r="I908" s="28"/>
      <c r="K908" t="s">
        <v>15</v>
      </c>
    </row>
    <row r="909" spans="2:11" ht="33" x14ac:dyDescent="0.15">
      <c r="B909" s="27" t="s">
        <v>1214</v>
      </c>
      <c r="C909" s="27" t="s">
        <v>9</v>
      </c>
      <c r="D909" s="28">
        <f>SUMIFS(D910:D1509,K910:K1509,"0",B910:B1509,"5 1 1 3 4 12 31111 6 M78 19000 321 00C 001 13403 015 2111100 2024 00000000 001*")-SUMIFS(E910:E1509,K910:K1509,"0",B910:B1509,"5 1 1 3 4 12 31111 6 M78 19000 321 00C 001 13403 015 2111100 2024 00000000 001*")</f>
        <v>0</v>
      </c>
      <c r="E909" s="29"/>
      <c r="F909" s="28">
        <f>SUMIFS(F910:F1509,K910:K1509,"0",B910:B1509,"5 1 1 3 4 12 31111 6 M78 19000 321 00C 001 13403 015 2111100 2024 00000000 001*")</f>
        <v>5429.97</v>
      </c>
      <c r="G909" s="28">
        <f>SUMIFS(G910:G1509,K910:K1509,"0",B910:B1509,"5 1 1 3 4 12 31111 6 M78 19000 321 00C 001 13403 015 2111100 2024 00000000 001*")</f>
        <v>0</v>
      </c>
      <c r="H909" s="28">
        <f t="shared" si="18"/>
        <v>5429.97</v>
      </c>
      <c r="I909" s="28"/>
      <c r="K909" t="s">
        <v>15</v>
      </c>
    </row>
    <row r="910" spans="2:11" ht="33" x14ac:dyDescent="0.15">
      <c r="B910" s="27" t="s">
        <v>1215</v>
      </c>
      <c r="C910" s="27" t="s">
        <v>916</v>
      </c>
      <c r="D910" s="28">
        <f>SUMIFS(D911:D1509,K911:K1509,"0",B911:B1509,"5 1 1 3 4 12 31111 6 M78 19000 321 00C 001 13403 015 2111100 2024 00000000 001 001*")-SUMIFS(E911:E1509,K911:K1509,"0",B911:B1509,"5 1 1 3 4 12 31111 6 M78 19000 321 00C 001 13403 015 2111100 2024 00000000 001 001*")</f>
        <v>0</v>
      </c>
      <c r="E910" s="29"/>
      <c r="F910" s="28">
        <f>SUMIFS(F911:F1509,K911:K1509,"0",B911:B1509,"5 1 1 3 4 12 31111 6 M78 19000 321 00C 001 13403 015 2111100 2024 00000000 001 001*")</f>
        <v>5429.97</v>
      </c>
      <c r="G910" s="28">
        <f>SUMIFS(G911:G1509,K911:K1509,"0",B911:B1509,"5 1 1 3 4 12 31111 6 M78 19000 321 00C 001 13403 015 2111100 2024 00000000 001 001*")</f>
        <v>0</v>
      </c>
      <c r="H910" s="28">
        <f t="shared" si="18"/>
        <v>5429.97</v>
      </c>
      <c r="I910" s="28"/>
      <c r="K910" t="s">
        <v>15</v>
      </c>
    </row>
    <row r="911" spans="2:11" ht="33" x14ac:dyDescent="0.15">
      <c r="B911" s="30" t="s">
        <v>1216</v>
      </c>
      <c r="C911" s="30" t="s">
        <v>1015</v>
      </c>
      <c r="D911" s="31">
        <v>0</v>
      </c>
      <c r="E911" s="31"/>
      <c r="F911" s="31">
        <v>5429.97</v>
      </c>
      <c r="G911" s="31">
        <v>0</v>
      </c>
      <c r="H911" s="31">
        <f t="shared" si="18"/>
        <v>5429.97</v>
      </c>
      <c r="I911" s="31"/>
      <c r="K911" t="s">
        <v>38</v>
      </c>
    </row>
    <row r="912" spans="2:11" ht="22" x14ac:dyDescent="0.15">
      <c r="B912" s="27" t="s">
        <v>1217</v>
      </c>
      <c r="C912" s="27" t="s">
        <v>1017</v>
      </c>
      <c r="D912" s="28">
        <f>SUMIFS(D913:D1509,K913:K1509,"0",B913:B1509,"5 1 1 3 4 12 31111 6 M78 19000 321 00C 001 13406*")-SUMIFS(E913:E1509,K913:K1509,"0",B913:B1509,"5 1 1 3 4 12 31111 6 M78 19000 321 00C 001 13406*")</f>
        <v>0</v>
      </c>
      <c r="E912" s="29"/>
      <c r="F912" s="28">
        <f>SUMIFS(F913:F1509,K913:K1509,"0",B913:B1509,"5 1 1 3 4 12 31111 6 M78 19000 321 00C 001 13406*")</f>
        <v>8443.44</v>
      </c>
      <c r="G912" s="28">
        <f>SUMIFS(G913:G1509,K913:K1509,"0",B913:B1509,"5 1 1 3 4 12 31111 6 M78 19000 321 00C 001 13406*")</f>
        <v>0</v>
      </c>
      <c r="H912" s="28">
        <f t="shared" si="18"/>
        <v>8443.44</v>
      </c>
      <c r="I912" s="28"/>
      <c r="K912" t="s">
        <v>15</v>
      </c>
    </row>
    <row r="913" spans="2:11" ht="22" x14ac:dyDescent="0.15">
      <c r="B913" s="27" t="s">
        <v>1218</v>
      </c>
      <c r="C913" s="27" t="s">
        <v>176</v>
      </c>
      <c r="D913" s="28">
        <f>SUMIFS(D914:D1509,K914:K1509,"0",B914:B1509,"5 1 1 3 4 12 31111 6 M78 19000 321 00C 001 13406 015*")-SUMIFS(E914:E1509,K914:K1509,"0",B914:B1509,"5 1 1 3 4 12 31111 6 M78 19000 321 00C 001 13406 015*")</f>
        <v>0</v>
      </c>
      <c r="E913" s="29"/>
      <c r="F913" s="28">
        <f>SUMIFS(F914:F1509,K914:K1509,"0",B914:B1509,"5 1 1 3 4 12 31111 6 M78 19000 321 00C 001 13406 015*")</f>
        <v>8443.44</v>
      </c>
      <c r="G913" s="28">
        <f>SUMIFS(G914:G1509,K914:K1509,"0",B914:B1509,"5 1 1 3 4 12 31111 6 M78 19000 321 00C 001 13406 015*")</f>
        <v>0</v>
      </c>
      <c r="H913" s="28">
        <f t="shared" si="18"/>
        <v>8443.44</v>
      </c>
      <c r="I913" s="28"/>
      <c r="K913" t="s">
        <v>15</v>
      </c>
    </row>
    <row r="914" spans="2:11" ht="22" x14ac:dyDescent="0.15">
      <c r="B914" s="27" t="s">
        <v>1219</v>
      </c>
      <c r="C914" s="27" t="s">
        <v>744</v>
      </c>
      <c r="D914" s="28">
        <f>SUMIFS(D915:D1509,K915:K1509,"0",B915:B1509,"5 1 1 3 4 12 31111 6 M78 19000 321 00C 001 13406 015 2111100*")-SUMIFS(E915:E1509,K915:K1509,"0",B915:B1509,"5 1 1 3 4 12 31111 6 M78 19000 321 00C 001 13406 015 2111100*")</f>
        <v>0</v>
      </c>
      <c r="E914" s="29"/>
      <c r="F914" s="28">
        <f>SUMIFS(F915:F1509,K915:K1509,"0",B915:B1509,"5 1 1 3 4 12 31111 6 M78 19000 321 00C 001 13406 015 2111100*")</f>
        <v>8443.44</v>
      </c>
      <c r="G914" s="28">
        <f>SUMIFS(G915:G1509,K915:K1509,"0",B915:B1509,"5 1 1 3 4 12 31111 6 M78 19000 321 00C 001 13406 015 2111100*")</f>
        <v>0</v>
      </c>
      <c r="H914" s="28">
        <f t="shared" si="18"/>
        <v>8443.44</v>
      </c>
      <c r="I914" s="28"/>
      <c r="K914" t="s">
        <v>15</v>
      </c>
    </row>
    <row r="915" spans="2:11" ht="22" x14ac:dyDescent="0.15">
      <c r="B915" s="27" t="s">
        <v>1220</v>
      </c>
      <c r="C915" s="27" t="s">
        <v>248</v>
      </c>
      <c r="D915" s="28">
        <f>SUMIFS(D916:D1509,K916:K1509,"0",B916:B1509,"5 1 1 3 4 12 31111 6 M78 19000 321 00C 001 13406 015 2111100 2024*")-SUMIFS(E916:E1509,K916:K1509,"0",B916:B1509,"5 1 1 3 4 12 31111 6 M78 19000 321 00C 001 13406 015 2111100 2024*")</f>
        <v>0</v>
      </c>
      <c r="E915" s="29"/>
      <c r="F915" s="28">
        <f>SUMIFS(F916:F1509,K916:K1509,"0",B916:B1509,"5 1 1 3 4 12 31111 6 M78 19000 321 00C 001 13406 015 2111100 2024*")</f>
        <v>8443.44</v>
      </c>
      <c r="G915" s="28">
        <f>SUMIFS(G916:G1509,K916:K1509,"0",B916:B1509,"5 1 1 3 4 12 31111 6 M78 19000 321 00C 001 13406 015 2111100 2024*")</f>
        <v>0</v>
      </c>
      <c r="H915" s="28">
        <f t="shared" si="18"/>
        <v>8443.44</v>
      </c>
      <c r="I915" s="28"/>
      <c r="K915" t="s">
        <v>15</v>
      </c>
    </row>
    <row r="916" spans="2:11" ht="22" x14ac:dyDescent="0.15">
      <c r="B916" s="27" t="s">
        <v>1221</v>
      </c>
      <c r="C916" s="27" t="s">
        <v>182</v>
      </c>
      <c r="D916" s="28">
        <f>SUMIFS(D917:D1509,K917:K1509,"0",B917:B1509,"5 1 1 3 4 12 31111 6 M78 19000 321 00C 001 13406 015 2111100 2024 00000000*")-SUMIFS(E917:E1509,K917:K1509,"0",B917:B1509,"5 1 1 3 4 12 31111 6 M78 19000 321 00C 001 13406 015 2111100 2024 00000000*")</f>
        <v>0</v>
      </c>
      <c r="E916" s="29"/>
      <c r="F916" s="28">
        <f>SUMIFS(F917:F1509,K917:K1509,"0",B917:B1509,"5 1 1 3 4 12 31111 6 M78 19000 321 00C 001 13406 015 2111100 2024 00000000*")</f>
        <v>8443.44</v>
      </c>
      <c r="G916" s="28">
        <f>SUMIFS(G917:G1509,K917:K1509,"0",B917:B1509,"5 1 1 3 4 12 31111 6 M78 19000 321 00C 001 13406 015 2111100 2024 00000000*")</f>
        <v>0</v>
      </c>
      <c r="H916" s="28">
        <f t="shared" si="18"/>
        <v>8443.44</v>
      </c>
      <c r="I916" s="28"/>
      <c r="K916" t="s">
        <v>15</v>
      </c>
    </row>
    <row r="917" spans="2:11" ht="33" x14ac:dyDescent="0.15">
      <c r="B917" s="27" t="s">
        <v>1222</v>
      </c>
      <c r="C917" s="27" t="s">
        <v>9</v>
      </c>
      <c r="D917" s="28">
        <f>SUMIFS(D918:D1509,K918:K1509,"0",B918:B1509,"5 1 1 3 4 12 31111 6 M78 19000 321 00C 001 13406 015 2111100 2024 00000000 001*")-SUMIFS(E918:E1509,K918:K1509,"0",B918:B1509,"5 1 1 3 4 12 31111 6 M78 19000 321 00C 001 13406 015 2111100 2024 00000000 001*")</f>
        <v>0</v>
      </c>
      <c r="E917" s="29"/>
      <c r="F917" s="28">
        <f>SUMIFS(F918:F1509,K918:K1509,"0",B918:B1509,"5 1 1 3 4 12 31111 6 M78 19000 321 00C 001 13406 015 2111100 2024 00000000 001*")</f>
        <v>8443.44</v>
      </c>
      <c r="G917" s="28">
        <f>SUMIFS(G918:G1509,K918:K1509,"0",B918:B1509,"5 1 1 3 4 12 31111 6 M78 19000 321 00C 001 13406 015 2111100 2024 00000000 001*")</f>
        <v>0</v>
      </c>
      <c r="H917" s="28">
        <f t="shared" si="18"/>
        <v>8443.44</v>
      </c>
      <c r="I917" s="28"/>
      <c r="K917" t="s">
        <v>15</v>
      </c>
    </row>
    <row r="918" spans="2:11" ht="33" x14ac:dyDescent="0.15">
      <c r="B918" s="27" t="s">
        <v>1223</v>
      </c>
      <c r="C918" s="27" t="s">
        <v>916</v>
      </c>
      <c r="D918" s="28">
        <f>SUMIFS(D919:D1509,K919:K1509,"0",B919:B1509,"5 1 1 3 4 12 31111 6 M78 19000 321 00C 001 13406 015 2111100 2024 00000000 001 001*")-SUMIFS(E919:E1509,K919:K1509,"0",B919:B1509,"5 1 1 3 4 12 31111 6 M78 19000 321 00C 001 13406 015 2111100 2024 00000000 001 001*")</f>
        <v>0</v>
      </c>
      <c r="E918" s="29"/>
      <c r="F918" s="28">
        <f>SUMIFS(F919:F1509,K919:K1509,"0",B919:B1509,"5 1 1 3 4 12 31111 6 M78 19000 321 00C 001 13406 015 2111100 2024 00000000 001 001*")</f>
        <v>8443.44</v>
      </c>
      <c r="G918" s="28">
        <f>SUMIFS(G919:G1509,K919:K1509,"0",B919:B1509,"5 1 1 3 4 12 31111 6 M78 19000 321 00C 001 13406 015 2111100 2024 00000000 001 001*")</f>
        <v>0</v>
      </c>
      <c r="H918" s="28">
        <f t="shared" si="18"/>
        <v>8443.44</v>
      </c>
      <c r="I918" s="28"/>
      <c r="K918" t="s">
        <v>15</v>
      </c>
    </row>
    <row r="919" spans="2:11" ht="33" x14ac:dyDescent="0.15">
      <c r="B919" s="30" t="s">
        <v>1224</v>
      </c>
      <c r="C919" s="30" t="s">
        <v>1025</v>
      </c>
      <c r="D919" s="31">
        <v>0</v>
      </c>
      <c r="E919" s="31"/>
      <c r="F919" s="31">
        <v>8443.44</v>
      </c>
      <c r="G919" s="31">
        <v>0</v>
      </c>
      <c r="H919" s="31">
        <f t="shared" si="18"/>
        <v>8443.44</v>
      </c>
      <c r="I919" s="31"/>
      <c r="K919" t="s">
        <v>38</v>
      </c>
    </row>
    <row r="920" spans="2:11" ht="13" x14ac:dyDescent="0.15">
      <c r="B920" s="27" t="s">
        <v>1225</v>
      </c>
      <c r="C920" s="27" t="s">
        <v>919</v>
      </c>
      <c r="D920" s="28">
        <f>SUMIFS(D921:D1509,K921:K1509,"0",B921:B1509,"5 1 1 3 4 12 31111 6 M78 20000*")-SUMIFS(E921:E1509,K921:K1509,"0",B921:B1509,"5 1 1 3 4 12 31111 6 M78 20000*")</f>
        <v>0</v>
      </c>
      <c r="E920" s="29"/>
      <c r="F920" s="28">
        <f>SUMIFS(F921:F1509,K921:K1509,"0",B921:B1509,"5 1 1 3 4 12 31111 6 M78 20000*")</f>
        <v>57912.959999999999</v>
      </c>
      <c r="G920" s="28">
        <f>SUMIFS(G921:G1509,K921:K1509,"0",B921:B1509,"5 1 1 3 4 12 31111 6 M78 20000*")</f>
        <v>0</v>
      </c>
      <c r="H920" s="28">
        <f t="shared" si="18"/>
        <v>57912.959999999999</v>
      </c>
      <c r="I920" s="28"/>
      <c r="K920" t="s">
        <v>15</v>
      </c>
    </row>
    <row r="921" spans="2:11" ht="13" x14ac:dyDescent="0.15">
      <c r="B921" s="27" t="s">
        <v>1226</v>
      </c>
      <c r="C921" s="27" t="s">
        <v>921</v>
      </c>
      <c r="D921" s="28">
        <f>SUMIFS(D922:D1509,K922:K1509,"0",B922:B1509,"5 1 1 3 4 12 31111 6 M78 20000 181*")-SUMIFS(E922:E1509,K922:K1509,"0",B922:B1509,"5 1 1 3 4 12 31111 6 M78 20000 181*")</f>
        <v>0</v>
      </c>
      <c r="E921" s="29"/>
      <c r="F921" s="28">
        <f>SUMIFS(F922:F1509,K922:K1509,"0",B922:B1509,"5 1 1 3 4 12 31111 6 M78 20000 181*")</f>
        <v>57912.959999999999</v>
      </c>
      <c r="G921" s="28">
        <f>SUMIFS(G922:G1509,K922:K1509,"0",B922:B1509,"5 1 1 3 4 12 31111 6 M78 20000 181*")</f>
        <v>0</v>
      </c>
      <c r="H921" s="28">
        <f t="shared" si="18"/>
        <v>57912.959999999999</v>
      </c>
      <c r="I921" s="28"/>
      <c r="K921" t="s">
        <v>15</v>
      </c>
    </row>
    <row r="922" spans="2:11" ht="13" x14ac:dyDescent="0.15">
      <c r="B922" s="27" t="s">
        <v>1227</v>
      </c>
      <c r="C922" s="27" t="s">
        <v>170</v>
      </c>
      <c r="D922" s="28">
        <f>SUMIFS(D923:D1509,K923:K1509,"0",B923:B1509,"5 1 1 3 4 12 31111 6 M78 20000 181 00C*")-SUMIFS(E923:E1509,K923:K1509,"0",B923:B1509,"5 1 1 3 4 12 31111 6 M78 20000 181 00C*")</f>
        <v>0</v>
      </c>
      <c r="E922" s="29"/>
      <c r="F922" s="28">
        <f>SUMIFS(F923:F1509,K923:K1509,"0",B923:B1509,"5 1 1 3 4 12 31111 6 M78 20000 181 00C*")</f>
        <v>57912.959999999999</v>
      </c>
      <c r="G922" s="28">
        <f>SUMIFS(G923:G1509,K923:K1509,"0",B923:B1509,"5 1 1 3 4 12 31111 6 M78 20000 181 00C*")</f>
        <v>0</v>
      </c>
      <c r="H922" s="28">
        <f t="shared" si="18"/>
        <v>57912.959999999999</v>
      </c>
      <c r="I922" s="28"/>
      <c r="K922" t="s">
        <v>15</v>
      </c>
    </row>
    <row r="923" spans="2:11" ht="22" x14ac:dyDescent="0.15">
      <c r="B923" s="27" t="s">
        <v>1228</v>
      </c>
      <c r="C923" s="27" t="s">
        <v>9</v>
      </c>
      <c r="D923" s="28">
        <f>SUMIFS(D924:D1509,K924:K1509,"0",B924:B1509,"5 1 1 3 4 12 31111 6 M78 20000 181 00C 001*")-SUMIFS(E924:E1509,K924:K1509,"0",B924:B1509,"5 1 1 3 4 12 31111 6 M78 20000 181 00C 001*")</f>
        <v>0</v>
      </c>
      <c r="E923" s="29"/>
      <c r="F923" s="28">
        <f>SUMIFS(F924:F1509,K924:K1509,"0",B924:B1509,"5 1 1 3 4 12 31111 6 M78 20000 181 00C 001*")</f>
        <v>57912.959999999999</v>
      </c>
      <c r="G923" s="28">
        <f>SUMIFS(G924:G1509,K924:K1509,"0",B924:B1509,"5 1 1 3 4 12 31111 6 M78 20000 181 00C 001*")</f>
        <v>0</v>
      </c>
      <c r="H923" s="28">
        <f t="shared" si="18"/>
        <v>57912.959999999999</v>
      </c>
      <c r="I923" s="28"/>
      <c r="K923" t="s">
        <v>15</v>
      </c>
    </row>
    <row r="924" spans="2:11" ht="22" x14ac:dyDescent="0.15">
      <c r="B924" s="27" t="s">
        <v>1229</v>
      </c>
      <c r="C924" s="27" t="s">
        <v>1144</v>
      </c>
      <c r="D924" s="28">
        <f>SUMIFS(D925:D1509,K925:K1509,"0",B925:B1509,"5 1 1 3 4 12 31111 6 M78 20000 181 00C 001 13403*")-SUMIFS(E925:E1509,K925:K1509,"0",B925:B1509,"5 1 1 3 4 12 31111 6 M78 20000 181 00C 001 13403*")</f>
        <v>0</v>
      </c>
      <c r="E924" s="29"/>
      <c r="F924" s="28">
        <f>SUMIFS(F925:F1509,K925:K1509,"0",B925:B1509,"5 1 1 3 4 12 31111 6 M78 20000 181 00C 001 13403*")</f>
        <v>49011.74</v>
      </c>
      <c r="G924" s="28">
        <f>SUMIFS(G925:G1509,K925:K1509,"0",B925:B1509,"5 1 1 3 4 12 31111 6 M78 20000 181 00C 001 13403*")</f>
        <v>0</v>
      </c>
      <c r="H924" s="28">
        <f t="shared" si="18"/>
        <v>49011.74</v>
      </c>
      <c r="I924" s="28"/>
      <c r="K924" t="s">
        <v>15</v>
      </c>
    </row>
    <row r="925" spans="2:11" ht="22" x14ac:dyDescent="0.15">
      <c r="B925" s="27" t="s">
        <v>1230</v>
      </c>
      <c r="C925" s="27" t="s">
        <v>1144</v>
      </c>
      <c r="D925" s="28">
        <f>SUMIFS(D926:D1509,K926:K1509,"0",B926:B1509,"5 1 1 3 4 12 31111 6 M78 20000 181 00C 001 13403 015*")-SUMIFS(E926:E1509,K926:K1509,"0",B926:B1509,"5 1 1 3 4 12 31111 6 M78 20000 181 00C 001 13403 015*")</f>
        <v>0</v>
      </c>
      <c r="E925" s="29"/>
      <c r="F925" s="28">
        <f>SUMIFS(F926:F1509,K926:K1509,"0",B926:B1509,"5 1 1 3 4 12 31111 6 M78 20000 181 00C 001 13403 015*")</f>
        <v>49011.74</v>
      </c>
      <c r="G925" s="28">
        <f>SUMIFS(G926:G1509,K926:K1509,"0",B926:B1509,"5 1 1 3 4 12 31111 6 M78 20000 181 00C 001 13403 015*")</f>
        <v>0</v>
      </c>
      <c r="H925" s="28">
        <f t="shared" si="18"/>
        <v>49011.74</v>
      </c>
      <c r="I925" s="28"/>
      <c r="K925" t="s">
        <v>15</v>
      </c>
    </row>
    <row r="926" spans="2:11" ht="22" x14ac:dyDescent="0.15">
      <c r="B926" s="27" t="s">
        <v>1231</v>
      </c>
      <c r="C926" s="27" t="s">
        <v>1144</v>
      </c>
      <c r="D926" s="28">
        <f>SUMIFS(D927:D1509,K927:K1509,"0",B927:B1509,"5 1 1 3 4 12 31111 6 M78 20000 181 00C 001 13403 015 2111100*")-SUMIFS(E927:E1509,K927:K1509,"0",B927:B1509,"5 1 1 3 4 12 31111 6 M78 20000 181 00C 001 13403 015 2111100*")</f>
        <v>0</v>
      </c>
      <c r="E926" s="29"/>
      <c r="F926" s="28">
        <f>SUMIFS(F927:F1509,K927:K1509,"0",B927:B1509,"5 1 1 3 4 12 31111 6 M78 20000 181 00C 001 13403 015 2111100*")</f>
        <v>49011.74</v>
      </c>
      <c r="G926" s="28">
        <f>SUMIFS(G927:G1509,K927:K1509,"0",B927:B1509,"5 1 1 3 4 12 31111 6 M78 20000 181 00C 001 13403 015 2111100*")</f>
        <v>0</v>
      </c>
      <c r="H926" s="28">
        <f t="shared" si="18"/>
        <v>49011.74</v>
      </c>
      <c r="I926" s="28"/>
      <c r="K926" t="s">
        <v>15</v>
      </c>
    </row>
    <row r="927" spans="2:11" ht="22" x14ac:dyDescent="0.15">
      <c r="B927" s="27" t="s">
        <v>1232</v>
      </c>
      <c r="C927" s="27" t="s">
        <v>1144</v>
      </c>
      <c r="D927" s="28">
        <f>SUMIFS(D928:D1509,K928:K1509,"0",B928:B1509,"5 1 1 3 4 12 31111 6 M78 20000 181 00C 001 13403 015 2111100 2024*")-SUMIFS(E928:E1509,K928:K1509,"0",B928:B1509,"5 1 1 3 4 12 31111 6 M78 20000 181 00C 001 13403 015 2111100 2024*")</f>
        <v>0</v>
      </c>
      <c r="E927" s="29"/>
      <c r="F927" s="28">
        <f>SUMIFS(F928:F1509,K928:K1509,"0",B928:B1509,"5 1 1 3 4 12 31111 6 M78 20000 181 00C 001 13403 015 2111100 2024*")</f>
        <v>49011.74</v>
      </c>
      <c r="G927" s="28">
        <f>SUMIFS(G928:G1509,K928:K1509,"0",B928:B1509,"5 1 1 3 4 12 31111 6 M78 20000 181 00C 001 13403 015 2111100 2024*")</f>
        <v>0</v>
      </c>
      <c r="H927" s="28">
        <f t="shared" si="18"/>
        <v>49011.74</v>
      </c>
      <c r="I927" s="28"/>
      <c r="K927" t="s">
        <v>15</v>
      </c>
    </row>
    <row r="928" spans="2:11" ht="22" x14ac:dyDescent="0.15">
      <c r="B928" s="27" t="s">
        <v>1233</v>
      </c>
      <c r="C928" s="27" t="s">
        <v>1144</v>
      </c>
      <c r="D928" s="28">
        <f>SUMIFS(D929:D1509,K929:K1509,"0",B929:B1509,"5 1 1 3 4 12 31111 6 M78 20000 181 00C 001 13403 015 2111100 2024 00000000*")-SUMIFS(E929:E1509,K929:K1509,"0",B929:B1509,"5 1 1 3 4 12 31111 6 M78 20000 181 00C 001 13403 015 2111100 2024 00000000*")</f>
        <v>0</v>
      </c>
      <c r="E928" s="29"/>
      <c r="F928" s="28">
        <f>SUMIFS(F929:F1509,K929:K1509,"0",B929:B1509,"5 1 1 3 4 12 31111 6 M78 20000 181 00C 001 13403 015 2111100 2024 00000000*")</f>
        <v>49011.74</v>
      </c>
      <c r="G928" s="28">
        <f>SUMIFS(G929:G1509,K929:K1509,"0",B929:B1509,"5 1 1 3 4 12 31111 6 M78 20000 181 00C 001 13403 015 2111100 2024 00000000*")</f>
        <v>0</v>
      </c>
      <c r="H928" s="28">
        <f t="shared" ref="H928:H991" si="19">D928 + F928 - G928</f>
        <v>49011.74</v>
      </c>
      <c r="I928" s="28"/>
      <c r="K928" t="s">
        <v>15</v>
      </c>
    </row>
    <row r="929" spans="2:11" ht="33" x14ac:dyDescent="0.15">
      <c r="B929" s="27" t="s">
        <v>1234</v>
      </c>
      <c r="C929" s="27" t="s">
        <v>1144</v>
      </c>
      <c r="D929" s="28">
        <f>SUMIFS(D930:D1509,K930:K1509,"0",B930:B1509,"5 1 1 3 4 12 31111 6 M78 20000 181 00C 001 13403 015 2111100 2024 00000000 001*")-SUMIFS(E930:E1509,K930:K1509,"0",B930:B1509,"5 1 1 3 4 12 31111 6 M78 20000 181 00C 001 13403 015 2111100 2024 00000000 001*")</f>
        <v>0</v>
      </c>
      <c r="E929" s="29"/>
      <c r="F929" s="28">
        <f>SUMIFS(F930:F1509,K930:K1509,"0",B930:B1509,"5 1 1 3 4 12 31111 6 M78 20000 181 00C 001 13403 015 2111100 2024 00000000 001*")</f>
        <v>49011.74</v>
      </c>
      <c r="G929" s="28">
        <f>SUMIFS(G930:G1509,K930:K1509,"0",B930:B1509,"5 1 1 3 4 12 31111 6 M78 20000 181 00C 001 13403 015 2111100 2024 00000000 001*")</f>
        <v>0</v>
      </c>
      <c r="H929" s="28">
        <f t="shared" si="19"/>
        <v>49011.74</v>
      </c>
      <c r="I929" s="28"/>
      <c r="K929" t="s">
        <v>15</v>
      </c>
    </row>
    <row r="930" spans="2:11" ht="33" x14ac:dyDescent="0.15">
      <c r="B930" s="27" t="s">
        <v>1235</v>
      </c>
      <c r="C930" s="27" t="s">
        <v>1144</v>
      </c>
      <c r="D930" s="28">
        <f>SUMIFS(D931:D1509,K931:K1509,"0",B931:B1509,"5 1 1 3 4 12 31111 6 M78 20000 181 00C 001 13403 015 2111100 2024 00000000 001 001*")-SUMIFS(E931:E1509,K931:K1509,"0",B931:B1509,"5 1 1 3 4 12 31111 6 M78 20000 181 00C 001 13403 015 2111100 2024 00000000 001 001*")</f>
        <v>0</v>
      </c>
      <c r="E930" s="29"/>
      <c r="F930" s="28">
        <f>SUMIFS(F931:F1509,K931:K1509,"0",B931:B1509,"5 1 1 3 4 12 31111 6 M78 20000 181 00C 001 13403 015 2111100 2024 00000000 001 001*")</f>
        <v>49011.74</v>
      </c>
      <c r="G930" s="28">
        <f>SUMIFS(G931:G1509,K931:K1509,"0",B931:B1509,"5 1 1 3 4 12 31111 6 M78 20000 181 00C 001 13403 015 2111100 2024 00000000 001 001*")</f>
        <v>0</v>
      </c>
      <c r="H930" s="28">
        <f t="shared" si="19"/>
        <v>49011.74</v>
      </c>
      <c r="I930" s="28"/>
      <c r="K930" t="s">
        <v>15</v>
      </c>
    </row>
    <row r="931" spans="2:11" ht="33" x14ac:dyDescent="0.15">
      <c r="B931" s="30" t="s">
        <v>1236</v>
      </c>
      <c r="C931" s="30" t="s">
        <v>1015</v>
      </c>
      <c r="D931" s="31">
        <v>0</v>
      </c>
      <c r="E931" s="31"/>
      <c r="F931" s="31">
        <v>49011.74</v>
      </c>
      <c r="G931" s="31">
        <v>0</v>
      </c>
      <c r="H931" s="31">
        <f t="shared" si="19"/>
        <v>49011.74</v>
      </c>
      <c r="I931" s="31"/>
      <c r="K931" t="s">
        <v>38</v>
      </c>
    </row>
    <row r="932" spans="2:11" ht="22" x14ac:dyDescent="0.15">
      <c r="B932" s="27" t="s">
        <v>1237</v>
      </c>
      <c r="C932" s="27" t="s">
        <v>1017</v>
      </c>
      <c r="D932" s="28">
        <f>SUMIFS(D933:D1509,K933:K1509,"0",B933:B1509,"5 1 1 3 4 12 31111 6 M78 20000 181 00C 001 13406*")-SUMIFS(E933:E1509,K933:K1509,"0",B933:B1509,"5 1 1 3 4 12 31111 6 M78 20000 181 00C 001 13406*")</f>
        <v>0</v>
      </c>
      <c r="E932" s="29"/>
      <c r="F932" s="28">
        <f>SUMIFS(F933:F1509,K933:K1509,"0",B933:B1509,"5 1 1 3 4 12 31111 6 M78 20000 181 00C 001 13406*")</f>
        <v>8901.2199999999993</v>
      </c>
      <c r="G932" s="28">
        <f>SUMIFS(G933:G1509,K933:K1509,"0",B933:B1509,"5 1 1 3 4 12 31111 6 M78 20000 181 00C 001 13406*")</f>
        <v>0</v>
      </c>
      <c r="H932" s="28">
        <f t="shared" si="19"/>
        <v>8901.2199999999993</v>
      </c>
      <c r="I932" s="28"/>
      <c r="K932" t="s">
        <v>15</v>
      </c>
    </row>
    <row r="933" spans="2:11" ht="22" x14ac:dyDescent="0.15">
      <c r="B933" s="27" t="s">
        <v>1238</v>
      </c>
      <c r="C933" s="27" t="s">
        <v>176</v>
      </c>
      <c r="D933" s="28">
        <f>SUMIFS(D934:D1509,K934:K1509,"0",B934:B1509,"5 1 1 3 4 12 31111 6 M78 20000 181 00C 001 13406 015*")-SUMIFS(E934:E1509,K934:K1509,"0",B934:B1509,"5 1 1 3 4 12 31111 6 M78 20000 181 00C 001 13406 015*")</f>
        <v>0</v>
      </c>
      <c r="E933" s="29"/>
      <c r="F933" s="28">
        <f>SUMIFS(F934:F1509,K934:K1509,"0",B934:B1509,"5 1 1 3 4 12 31111 6 M78 20000 181 00C 001 13406 015*")</f>
        <v>8901.2199999999993</v>
      </c>
      <c r="G933" s="28">
        <f>SUMIFS(G934:G1509,K934:K1509,"0",B934:B1509,"5 1 1 3 4 12 31111 6 M78 20000 181 00C 001 13406 015*")</f>
        <v>0</v>
      </c>
      <c r="H933" s="28">
        <f t="shared" si="19"/>
        <v>8901.2199999999993</v>
      </c>
      <c r="I933" s="28"/>
      <c r="K933" t="s">
        <v>15</v>
      </c>
    </row>
    <row r="934" spans="2:11" ht="22" x14ac:dyDescent="0.15">
      <c r="B934" s="27" t="s">
        <v>1239</v>
      </c>
      <c r="C934" s="27" t="s">
        <v>744</v>
      </c>
      <c r="D934" s="28">
        <f>SUMIFS(D935:D1509,K935:K1509,"0",B935:B1509,"5 1 1 3 4 12 31111 6 M78 20000 181 00C 001 13406 015 2111100*")-SUMIFS(E935:E1509,K935:K1509,"0",B935:B1509,"5 1 1 3 4 12 31111 6 M78 20000 181 00C 001 13406 015 2111100*")</f>
        <v>0</v>
      </c>
      <c r="E934" s="29"/>
      <c r="F934" s="28">
        <f>SUMIFS(F935:F1509,K935:K1509,"0",B935:B1509,"5 1 1 3 4 12 31111 6 M78 20000 181 00C 001 13406 015 2111100*")</f>
        <v>8901.2199999999993</v>
      </c>
      <c r="G934" s="28">
        <f>SUMIFS(G935:G1509,K935:K1509,"0",B935:B1509,"5 1 1 3 4 12 31111 6 M78 20000 181 00C 001 13406 015 2111100*")</f>
        <v>0</v>
      </c>
      <c r="H934" s="28">
        <f t="shared" si="19"/>
        <v>8901.2199999999993</v>
      </c>
      <c r="I934" s="28"/>
      <c r="K934" t="s">
        <v>15</v>
      </c>
    </row>
    <row r="935" spans="2:11" ht="22" x14ac:dyDescent="0.15">
      <c r="B935" s="27" t="s">
        <v>1240</v>
      </c>
      <c r="C935" s="27" t="s">
        <v>248</v>
      </c>
      <c r="D935" s="28">
        <f>SUMIFS(D936:D1509,K936:K1509,"0",B936:B1509,"5 1 1 3 4 12 31111 6 M78 20000 181 00C 001 13406 015 2111100 2024*")-SUMIFS(E936:E1509,K936:K1509,"0",B936:B1509,"5 1 1 3 4 12 31111 6 M78 20000 181 00C 001 13406 015 2111100 2024*")</f>
        <v>0</v>
      </c>
      <c r="E935" s="29"/>
      <c r="F935" s="28">
        <f>SUMIFS(F936:F1509,K936:K1509,"0",B936:B1509,"5 1 1 3 4 12 31111 6 M78 20000 181 00C 001 13406 015 2111100 2024*")</f>
        <v>8901.2199999999993</v>
      </c>
      <c r="G935" s="28">
        <f>SUMIFS(G936:G1509,K936:K1509,"0",B936:B1509,"5 1 1 3 4 12 31111 6 M78 20000 181 00C 001 13406 015 2111100 2024*")</f>
        <v>0</v>
      </c>
      <c r="H935" s="28">
        <f t="shared" si="19"/>
        <v>8901.2199999999993</v>
      </c>
      <c r="I935" s="28"/>
      <c r="K935" t="s">
        <v>15</v>
      </c>
    </row>
    <row r="936" spans="2:11" ht="22" x14ac:dyDescent="0.15">
      <c r="B936" s="27" t="s">
        <v>1241</v>
      </c>
      <c r="C936" s="27" t="s">
        <v>182</v>
      </c>
      <c r="D936" s="28">
        <f>SUMIFS(D937:D1509,K937:K1509,"0",B937:B1509,"5 1 1 3 4 12 31111 6 M78 20000 181 00C 001 13406 015 2111100 2024 00000000*")-SUMIFS(E937:E1509,K937:K1509,"0",B937:B1509,"5 1 1 3 4 12 31111 6 M78 20000 181 00C 001 13406 015 2111100 2024 00000000*")</f>
        <v>0</v>
      </c>
      <c r="E936" s="29"/>
      <c r="F936" s="28">
        <f>SUMIFS(F937:F1509,K937:K1509,"0",B937:B1509,"5 1 1 3 4 12 31111 6 M78 20000 181 00C 001 13406 015 2111100 2024 00000000*")</f>
        <v>8901.2199999999993</v>
      </c>
      <c r="G936" s="28">
        <f>SUMIFS(G937:G1509,K937:K1509,"0",B937:B1509,"5 1 1 3 4 12 31111 6 M78 20000 181 00C 001 13406 015 2111100 2024 00000000*")</f>
        <v>0</v>
      </c>
      <c r="H936" s="28">
        <f t="shared" si="19"/>
        <v>8901.2199999999993</v>
      </c>
      <c r="I936" s="28"/>
      <c r="K936" t="s">
        <v>15</v>
      </c>
    </row>
    <row r="937" spans="2:11" ht="33" x14ac:dyDescent="0.15">
      <c r="B937" s="27" t="s">
        <v>1242</v>
      </c>
      <c r="C937" s="27" t="s">
        <v>9</v>
      </c>
      <c r="D937" s="28">
        <f>SUMIFS(D938:D1509,K938:K1509,"0",B938:B1509,"5 1 1 3 4 12 31111 6 M78 20000 181 00C 001 13406 015 2111100 2024 00000000 001*")-SUMIFS(E938:E1509,K938:K1509,"0",B938:B1509,"5 1 1 3 4 12 31111 6 M78 20000 181 00C 001 13406 015 2111100 2024 00000000 001*")</f>
        <v>0</v>
      </c>
      <c r="E937" s="29"/>
      <c r="F937" s="28">
        <f>SUMIFS(F938:F1509,K938:K1509,"0",B938:B1509,"5 1 1 3 4 12 31111 6 M78 20000 181 00C 001 13406 015 2111100 2024 00000000 001*")</f>
        <v>8901.2199999999993</v>
      </c>
      <c r="G937" s="28">
        <f>SUMIFS(G938:G1509,K938:K1509,"0",B938:B1509,"5 1 1 3 4 12 31111 6 M78 20000 181 00C 001 13406 015 2111100 2024 00000000 001*")</f>
        <v>0</v>
      </c>
      <c r="H937" s="28">
        <f t="shared" si="19"/>
        <v>8901.2199999999993</v>
      </c>
      <c r="I937" s="28"/>
      <c r="K937" t="s">
        <v>15</v>
      </c>
    </row>
    <row r="938" spans="2:11" ht="33" x14ac:dyDescent="0.15">
      <c r="B938" s="27" t="s">
        <v>1243</v>
      </c>
      <c r="C938" s="27" t="s">
        <v>931</v>
      </c>
      <c r="D938" s="28">
        <f>SUMIFS(D939:D1509,K939:K1509,"0",B939:B1509,"5 1 1 3 4 12 31111 6 M78 20000 181 00C 001 13406 015 2111100 2024 00000000 001 001*")-SUMIFS(E939:E1509,K939:K1509,"0",B939:B1509,"5 1 1 3 4 12 31111 6 M78 20000 181 00C 001 13406 015 2111100 2024 00000000 001 001*")</f>
        <v>0</v>
      </c>
      <c r="E938" s="29"/>
      <c r="F938" s="28">
        <f>SUMIFS(F939:F1509,K939:K1509,"0",B939:B1509,"5 1 1 3 4 12 31111 6 M78 20000 181 00C 001 13406 015 2111100 2024 00000000 001 001*")</f>
        <v>8901.2199999999993</v>
      </c>
      <c r="G938" s="28">
        <f>SUMIFS(G939:G1509,K939:K1509,"0",B939:B1509,"5 1 1 3 4 12 31111 6 M78 20000 181 00C 001 13406 015 2111100 2024 00000000 001 001*")</f>
        <v>0</v>
      </c>
      <c r="H938" s="28">
        <f t="shared" si="19"/>
        <v>8901.2199999999993</v>
      </c>
      <c r="I938" s="28"/>
      <c r="K938" t="s">
        <v>15</v>
      </c>
    </row>
    <row r="939" spans="2:11" ht="33" x14ac:dyDescent="0.15">
      <c r="B939" s="30" t="s">
        <v>1244</v>
      </c>
      <c r="C939" s="30" t="s">
        <v>1025</v>
      </c>
      <c r="D939" s="31">
        <v>0</v>
      </c>
      <c r="E939" s="31"/>
      <c r="F939" s="31">
        <v>8901.2199999999993</v>
      </c>
      <c r="G939" s="31">
        <v>0</v>
      </c>
      <c r="H939" s="31">
        <f t="shared" si="19"/>
        <v>8901.2199999999993</v>
      </c>
      <c r="I939" s="31"/>
      <c r="K939" t="s">
        <v>38</v>
      </c>
    </row>
    <row r="940" spans="2:11" ht="13" x14ac:dyDescent="0.15">
      <c r="B940" s="27" t="s">
        <v>1245</v>
      </c>
      <c r="C940" s="27" t="s">
        <v>934</v>
      </c>
      <c r="D940" s="28">
        <f>SUMIFS(D941:D1509,K941:K1509,"0",B941:B1509,"5 1 1 3 4 12 31111 6 M78 21000*")-SUMIFS(E941:E1509,K941:K1509,"0",B941:B1509,"5 1 1 3 4 12 31111 6 M78 21000*")</f>
        <v>0</v>
      </c>
      <c r="E940" s="29"/>
      <c r="F940" s="28">
        <f>SUMIFS(F941:F1509,K941:K1509,"0",B941:B1509,"5 1 1 3 4 12 31111 6 M78 21000*")</f>
        <v>3948.23</v>
      </c>
      <c r="G940" s="28">
        <f>SUMIFS(G941:G1509,K941:K1509,"0",B941:B1509,"5 1 1 3 4 12 31111 6 M78 21000*")</f>
        <v>0</v>
      </c>
      <c r="H940" s="28">
        <f t="shared" si="19"/>
        <v>3948.23</v>
      </c>
      <c r="I940" s="28"/>
      <c r="K940" t="s">
        <v>15</v>
      </c>
    </row>
    <row r="941" spans="2:11" ht="13" x14ac:dyDescent="0.15">
      <c r="B941" s="27" t="s">
        <v>1246</v>
      </c>
      <c r="C941" s="27" t="s">
        <v>936</v>
      </c>
      <c r="D941" s="28">
        <f>SUMIFS(D942:D1509,K942:K1509,"0",B942:B1509,"5 1 1 3 4 12 31111 6 M78 21000 242*")-SUMIFS(E942:E1509,K942:K1509,"0",B942:B1509,"5 1 1 3 4 12 31111 6 M78 21000 242*")</f>
        <v>0</v>
      </c>
      <c r="E941" s="29"/>
      <c r="F941" s="28">
        <f>SUMIFS(F942:F1509,K942:K1509,"0",B942:B1509,"5 1 1 3 4 12 31111 6 M78 21000 242*")</f>
        <v>3948.23</v>
      </c>
      <c r="G941" s="28">
        <f>SUMIFS(G942:G1509,K942:K1509,"0",B942:B1509,"5 1 1 3 4 12 31111 6 M78 21000 242*")</f>
        <v>0</v>
      </c>
      <c r="H941" s="28">
        <f t="shared" si="19"/>
        <v>3948.23</v>
      </c>
      <c r="I941" s="28"/>
      <c r="K941" t="s">
        <v>15</v>
      </c>
    </row>
    <row r="942" spans="2:11" ht="13" x14ac:dyDescent="0.15">
      <c r="B942" s="27" t="s">
        <v>1247</v>
      </c>
      <c r="C942" s="27" t="s">
        <v>170</v>
      </c>
      <c r="D942" s="28">
        <f>SUMIFS(D943:D1509,K943:K1509,"0",B943:B1509,"5 1 1 3 4 12 31111 6 M78 21000 242 00C*")-SUMIFS(E943:E1509,K943:K1509,"0",B943:B1509,"5 1 1 3 4 12 31111 6 M78 21000 242 00C*")</f>
        <v>0</v>
      </c>
      <c r="E942" s="29"/>
      <c r="F942" s="28">
        <f>SUMIFS(F943:F1509,K943:K1509,"0",B943:B1509,"5 1 1 3 4 12 31111 6 M78 21000 242 00C*")</f>
        <v>3948.23</v>
      </c>
      <c r="G942" s="28">
        <f>SUMIFS(G943:G1509,K943:K1509,"0",B943:B1509,"5 1 1 3 4 12 31111 6 M78 21000 242 00C*")</f>
        <v>0</v>
      </c>
      <c r="H942" s="28">
        <f t="shared" si="19"/>
        <v>3948.23</v>
      </c>
      <c r="I942" s="28"/>
      <c r="K942" t="s">
        <v>15</v>
      </c>
    </row>
    <row r="943" spans="2:11" ht="22" x14ac:dyDescent="0.15">
      <c r="B943" s="27" t="s">
        <v>1248</v>
      </c>
      <c r="C943" s="27" t="s">
        <v>9</v>
      </c>
      <c r="D943" s="28">
        <f>SUMIFS(D944:D1509,K944:K1509,"0",B944:B1509,"5 1 1 3 4 12 31111 6 M78 21000 242 00C 001*")-SUMIFS(E944:E1509,K944:K1509,"0",B944:B1509,"5 1 1 3 4 12 31111 6 M78 21000 242 00C 001*")</f>
        <v>0</v>
      </c>
      <c r="E943" s="29"/>
      <c r="F943" s="28">
        <f>SUMIFS(F944:F1509,K944:K1509,"0",B944:B1509,"5 1 1 3 4 12 31111 6 M78 21000 242 00C 001*")</f>
        <v>3948.23</v>
      </c>
      <c r="G943" s="28">
        <f>SUMIFS(G944:G1509,K944:K1509,"0",B944:B1509,"5 1 1 3 4 12 31111 6 M78 21000 242 00C 001*")</f>
        <v>0</v>
      </c>
      <c r="H943" s="28">
        <f t="shared" si="19"/>
        <v>3948.23</v>
      </c>
      <c r="I943" s="28"/>
      <c r="K943" t="s">
        <v>15</v>
      </c>
    </row>
    <row r="944" spans="2:11" ht="22" x14ac:dyDescent="0.15">
      <c r="B944" s="27" t="s">
        <v>1249</v>
      </c>
      <c r="C944" s="27" t="s">
        <v>1017</v>
      </c>
      <c r="D944" s="28">
        <f>SUMIFS(D945:D1509,K945:K1509,"0",B945:B1509,"5 1 1 3 4 12 31111 6 M78 21000 242 00C 001 13406*")-SUMIFS(E945:E1509,K945:K1509,"0",B945:B1509,"5 1 1 3 4 12 31111 6 M78 21000 242 00C 001 13406*")</f>
        <v>0</v>
      </c>
      <c r="E944" s="29"/>
      <c r="F944" s="28">
        <f>SUMIFS(F945:F1509,K945:K1509,"0",B945:B1509,"5 1 1 3 4 12 31111 6 M78 21000 242 00C 001 13406*")</f>
        <v>3948.23</v>
      </c>
      <c r="G944" s="28">
        <f>SUMIFS(G945:G1509,K945:K1509,"0",B945:B1509,"5 1 1 3 4 12 31111 6 M78 21000 242 00C 001 13406*")</f>
        <v>0</v>
      </c>
      <c r="H944" s="28">
        <f t="shared" si="19"/>
        <v>3948.23</v>
      </c>
      <c r="I944" s="28"/>
      <c r="K944" t="s">
        <v>15</v>
      </c>
    </row>
    <row r="945" spans="2:11" ht="22" x14ac:dyDescent="0.15">
      <c r="B945" s="27" t="s">
        <v>1250</v>
      </c>
      <c r="C945" s="27" t="s">
        <v>176</v>
      </c>
      <c r="D945" s="28">
        <f>SUMIFS(D946:D1509,K946:K1509,"0",B946:B1509,"5 1 1 3 4 12 31111 6 M78 21000 242 00C 001 13406 015*")-SUMIFS(E946:E1509,K946:K1509,"0",B946:B1509,"5 1 1 3 4 12 31111 6 M78 21000 242 00C 001 13406 015*")</f>
        <v>0</v>
      </c>
      <c r="E945" s="29"/>
      <c r="F945" s="28">
        <f>SUMIFS(F946:F1509,K946:K1509,"0",B946:B1509,"5 1 1 3 4 12 31111 6 M78 21000 242 00C 001 13406 015*")</f>
        <v>3948.23</v>
      </c>
      <c r="G945" s="28">
        <f>SUMIFS(G946:G1509,K946:K1509,"0",B946:B1509,"5 1 1 3 4 12 31111 6 M78 21000 242 00C 001 13406 015*")</f>
        <v>0</v>
      </c>
      <c r="H945" s="28">
        <f t="shared" si="19"/>
        <v>3948.23</v>
      </c>
      <c r="I945" s="28"/>
      <c r="K945" t="s">
        <v>15</v>
      </c>
    </row>
    <row r="946" spans="2:11" ht="22" x14ac:dyDescent="0.15">
      <c r="B946" s="27" t="s">
        <v>1251</v>
      </c>
      <c r="C946" s="27" t="s">
        <v>744</v>
      </c>
      <c r="D946" s="28">
        <f>SUMIFS(D947:D1509,K947:K1509,"0",B947:B1509,"5 1 1 3 4 12 31111 6 M78 21000 242 00C 001 13406 015 2111100*")-SUMIFS(E947:E1509,K947:K1509,"0",B947:B1509,"5 1 1 3 4 12 31111 6 M78 21000 242 00C 001 13406 015 2111100*")</f>
        <v>0</v>
      </c>
      <c r="E946" s="29"/>
      <c r="F946" s="28">
        <f>SUMIFS(F947:F1509,K947:K1509,"0",B947:B1509,"5 1 1 3 4 12 31111 6 M78 21000 242 00C 001 13406 015 2111100*")</f>
        <v>3948.23</v>
      </c>
      <c r="G946" s="28">
        <f>SUMIFS(G947:G1509,K947:K1509,"0",B947:B1509,"5 1 1 3 4 12 31111 6 M78 21000 242 00C 001 13406 015 2111100*")</f>
        <v>0</v>
      </c>
      <c r="H946" s="28">
        <f t="shared" si="19"/>
        <v>3948.23</v>
      </c>
      <c r="I946" s="28"/>
      <c r="K946" t="s">
        <v>15</v>
      </c>
    </row>
    <row r="947" spans="2:11" ht="22" x14ac:dyDescent="0.15">
      <c r="B947" s="27" t="s">
        <v>1252</v>
      </c>
      <c r="C947" s="27" t="s">
        <v>248</v>
      </c>
      <c r="D947" s="28">
        <f>SUMIFS(D948:D1509,K948:K1509,"0",B948:B1509,"5 1 1 3 4 12 31111 6 M78 21000 242 00C 001 13406 015 2111100 2024*")-SUMIFS(E948:E1509,K948:K1509,"0",B948:B1509,"5 1 1 3 4 12 31111 6 M78 21000 242 00C 001 13406 015 2111100 2024*")</f>
        <v>0</v>
      </c>
      <c r="E947" s="29"/>
      <c r="F947" s="28">
        <f>SUMIFS(F948:F1509,K948:K1509,"0",B948:B1509,"5 1 1 3 4 12 31111 6 M78 21000 242 00C 001 13406 015 2111100 2024*")</f>
        <v>3948.23</v>
      </c>
      <c r="G947" s="28">
        <f>SUMIFS(G948:G1509,K948:K1509,"0",B948:B1509,"5 1 1 3 4 12 31111 6 M78 21000 242 00C 001 13406 015 2111100 2024*")</f>
        <v>0</v>
      </c>
      <c r="H947" s="28">
        <f t="shared" si="19"/>
        <v>3948.23</v>
      </c>
      <c r="I947" s="28"/>
      <c r="K947" t="s">
        <v>15</v>
      </c>
    </row>
    <row r="948" spans="2:11" ht="22" x14ac:dyDescent="0.15">
      <c r="B948" s="27" t="s">
        <v>1253</v>
      </c>
      <c r="C948" s="27" t="s">
        <v>182</v>
      </c>
      <c r="D948" s="28">
        <f>SUMIFS(D949:D1509,K949:K1509,"0",B949:B1509,"5 1 1 3 4 12 31111 6 M78 21000 242 00C 001 13406 015 2111100 2024 00000000*")-SUMIFS(E949:E1509,K949:K1509,"0",B949:B1509,"5 1 1 3 4 12 31111 6 M78 21000 242 00C 001 13406 015 2111100 2024 00000000*")</f>
        <v>0</v>
      </c>
      <c r="E948" s="29"/>
      <c r="F948" s="28">
        <f>SUMIFS(F949:F1509,K949:K1509,"0",B949:B1509,"5 1 1 3 4 12 31111 6 M78 21000 242 00C 001 13406 015 2111100 2024 00000000*")</f>
        <v>3948.23</v>
      </c>
      <c r="G948" s="28">
        <f>SUMIFS(G949:G1509,K949:K1509,"0",B949:B1509,"5 1 1 3 4 12 31111 6 M78 21000 242 00C 001 13406 015 2111100 2024 00000000*")</f>
        <v>0</v>
      </c>
      <c r="H948" s="28">
        <f t="shared" si="19"/>
        <v>3948.23</v>
      </c>
      <c r="I948" s="28"/>
      <c r="K948" t="s">
        <v>15</v>
      </c>
    </row>
    <row r="949" spans="2:11" ht="33" x14ac:dyDescent="0.15">
      <c r="B949" s="27" t="s">
        <v>1254</v>
      </c>
      <c r="C949" s="27" t="s">
        <v>945</v>
      </c>
      <c r="D949" s="28">
        <f>SUMIFS(D950:D1509,K950:K1509,"0",B950:B1509,"5 1 1 3 4 12 31111 6 M78 21000 242 00C 001 13406 015 2111100 2024 00000000 001*")-SUMIFS(E950:E1509,K950:K1509,"0",B950:B1509,"5 1 1 3 4 12 31111 6 M78 21000 242 00C 001 13406 015 2111100 2024 00000000 001*")</f>
        <v>0</v>
      </c>
      <c r="E949" s="29"/>
      <c r="F949" s="28">
        <f>SUMIFS(F950:F1509,K950:K1509,"0",B950:B1509,"5 1 1 3 4 12 31111 6 M78 21000 242 00C 001 13406 015 2111100 2024 00000000 001*")</f>
        <v>3948.23</v>
      </c>
      <c r="G949" s="28">
        <f>SUMIFS(G950:G1509,K950:K1509,"0",B950:B1509,"5 1 1 3 4 12 31111 6 M78 21000 242 00C 001 13406 015 2111100 2024 00000000 001*")</f>
        <v>0</v>
      </c>
      <c r="H949" s="28">
        <f t="shared" si="19"/>
        <v>3948.23</v>
      </c>
      <c r="I949" s="28"/>
      <c r="K949" t="s">
        <v>15</v>
      </c>
    </row>
    <row r="950" spans="2:11" ht="33" x14ac:dyDescent="0.15">
      <c r="B950" s="27" t="s">
        <v>1255</v>
      </c>
      <c r="C950" s="27" t="s">
        <v>947</v>
      </c>
      <c r="D950" s="28">
        <f>SUMIFS(D951:D1509,K951:K1509,"0",B951:B1509,"5 1 1 3 4 12 31111 6 M78 21000 242 00C 001 13406 015 2111100 2024 00000000 001 001*")-SUMIFS(E951:E1509,K951:K1509,"0",B951:B1509,"5 1 1 3 4 12 31111 6 M78 21000 242 00C 001 13406 015 2111100 2024 00000000 001 001*")</f>
        <v>0</v>
      </c>
      <c r="E950" s="29"/>
      <c r="F950" s="28">
        <f>SUMIFS(F951:F1509,K951:K1509,"0",B951:B1509,"5 1 1 3 4 12 31111 6 M78 21000 242 00C 001 13406 015 2111100 2024 00000000 001 001*")</f>
        <v>3948.23</v>
      </c>
      <c r="G950" s="28">
        <f>SUMIFS(G951:G1509,K951:K1509,"0",B951:B1509,"5 1 1 3 4 12 31111 6 M78 21000 242 00C 001 13406 015 2111100 2024 00000000 001 001*")</f>
        <v>0</v>
      </c>
      <c r="H950" s="28">
        <f t="shared" si="19"/>
        <v>3948.23</v>
      </c>
      <c r="I950" s="28"/>
      <c r="K950" t="s">
        <v>15</v>
      </c>
    </row>
    <row r="951" spans="2:11" ht="33" x14ac:dyDescent="0.15">
      <c r="B951" s="30" t="s">
        <v>1256</v>
      </c>
      <c r="C951" s="30" t="s">
        <v>1025</v>
      </c>
      <c r="D951" s="31">
        <v>0</v>
      </c>
      <c r="E951" s="31"/>
      <c r="F951" s="31">
        <v>3948.23</v>
      </c>
      <c r="G951" s="31">
        <v>0</v>
      </c>
      <c r="H951" s="31">
        <f t="shared" si="19"/>
        <v>3948.23</v>
      </c>
      <c r="I951" s="31"/>
      <c r="K951" t="s">
        <v>38</v>
      </c>
    </row>
    <row r="952" spans="2:11" ht="13" x14ac:dyDescent="0.15">
      <c r="B952" s="27" t="s">
        <v>1257</v>
      </c>
      <c r="C952" s="27" t="s">
        <v>950</v>
      </c>
      <c r="D952" s="28">
        <f>SUMIFS(D953:D1509,K953:K1509,"0",B953:B1509,"5 1 1 3 4 12 31111 6 M78 22000*")-SUMIFS(E953:E1509,K953:K1509,"0",B953:B1509,"5 1 1 3 4 12 31111 6 M78 22000*")</f>
        <v>0</v>
      </c>
      <c r="E952" s="29"/>
      <c r="F952" s="28">
        <f>SUMIFS(F953:F1509,K953:K1509,"0",B953:B1509,"5 1 1 3 4 12 31111 6 M78 22000*")</f>
        <v>8524.85</v>
      </c>
      <c r="G952" s="28">
        <f>SUMIFS(G953:G1509,K953:K1509,"0",B953:B1509,"5 1 1 3 4 12 31111 6 M78 22000*")</f>
        <v>0</v>
      </c>
      <c r="H952" s="28">
        <f t="shared" si="19"/>
        <v>8524.85</v>
      </c>
      <c r="I952" s="28"/>
      <c r="K952" t="s">
        <v>15</v>
      </c>
    </row>
    <row r="953" spans="2:11" ht="13" x14ac:dyDescent="0.15">
      <c r="B953" s="27" t="s">
        <v>1258</v>
      </c>
      <c r="C953" s="27" t="s">
        <v>952</v>
      </c>
      <c r="D953" s="28">
        <f>SUMIFS(D954:D1509,K954:K1509,"0",B954:B1509,"5 1 1 3 4 12 31111 6 M78 22000 271*")-SUMIFS(E954:E1509,K954:K1509,"0",B954:B1509,"5 1 1 3 4 12 31111 6 M78 22000 271*")</f>
        <v>0</v>
      </c>
      <c r="E953" s="29"/>
      <c r="F953" s="28">
        <f>SUMIFS(F954:F1509,K954:K1509,"0",B954:B1509,"5 1 1 3 4 12 31111 6 M78 22000 271*")</f>
        <v>8524.85</v>
      </c>
      <c r="G953" s="28">
        <f>SUMIFS(G954:G1509,K954:K1509,"0",B954:B1509,"5 1 1 3 4 12 31111 6 M78 22000 271*")</f>
        <v>0</v>
      </c>
      <c r="H953" s="28">
        <f t="shared" si="19"/>
        <v>8524.85</v>
      </c>
      <c r="I953" s="28"/>
      <c r="K953" t="s">
        <v>15</v>
      </c>
    </row>
    <row r="954" spans="2:11" ht="13" x14ac:dyDescent="0.15">
      <c r="B954" s="27" t="s">
        <v>1259</v>
      </c>
      <c r="C954" s="27" t="s">
        <v>170</v>
      </c>
      <c r="D954" s="28">
        <f>SUMIFS(D955:D1509,K955:K1509,"0",B955:B1509,"5 1 1 3 4 12 31111 6 M78 22000 271 00C*")-SUMIFS(E955:E1509,K955:K1509,"0",B955:B1509,"5 1 1 3 4 12 31111 6 M78 22000 271 00C*")</f>
        <v>0</v>
      </c>
      <c r="E954" s="29"/>
      <c r="F954" s="28">
        <f>SUMIFS(F955:F1509,K955:K1509,"0",B955:B1509,"5 1 1 3 4 12 31111 6 M78 22000 271 00C*")</f>
        <v>8524.85</v>
      </c>
      <c r="G954" s="28">
        <f>SUMIFS(G955:G1509,K955:K1509,"0",B955:B1509,"5 1 1 3 4 12 31111 6 M78 22000 271 00C*")</f>
        <v>0</v>
      </c>
      <c r="H954" s="28">
        <f t="shared" si="19"/>
        <v>8524.85</v>
      </c>
      <c r="I954" s="28"/>
      <c r="K954" t="s">
        <v>15</v>
      </c>
    </row>
    <row r="955" spans="2:11" ht="22" x14ac:dyDescent="0.15">
      <c r="B955" s="27" t="s">
        <v>1260</v>
      </c>
      <c r="C955" s="27" t="s">
        <v>9</v>
      </c>
      <c r="D955" s="28">
        <f>SUMIFS(D956:D1509,K956:K1509,"0",B956:B1509,"5 1 1 3 4 12 31111 6 M78 22000 271 00C 001*")-SUMIFS(E956:E1509,K956:K1509,"0",B956:B1509,"5 1 1 3 4 12 31111 6 M78 22000 271 00C 001*")</f>
        <v>0</v>
      </c>
      <c r="E955" s="29"/>
      <c r="F955" s="28">
        <f>SUMIFS(F956:F1509,K956:K1509,"0",B956:B1509,"5 1 1 3 4 12 31111 6 M78 22000 271 00C 001*")</f>
        <v>8524.85</v>
      </c>
      <c r="G955" s="28">
        <f>SUMIFS(G956:G1509,K956:K1509,"0",B956:B1509,"5 1 1 3 4 12 31111 6 M78 22000 271 00C 001*")</f>
        <v>0</v>
      </c>
      <c r="H955" s="28">
        <f t="shared" si="19"/>
        <v>8524.85</v>
      </c>
      <c r="I955" s="28"/>
      <c r="K955" t="s">
        <v>15</v>
      </c>
    </row>
    <row r="956" spans="2:11" ht="22" x14ac:dyDescent="0.15">
      <c r="B956" s="27" t="s">
        <v>1261</v>
      </c>
      <c r="C956" s="27" t="s">
        <v>1144</v>
      </c>
      <c r="D956" s="28">
        <f>SUMIFS(D957:D1509,K957:K1509,"0",B957:B1509,"5 1 1 3 4 12 31111 6 M78 22000 271 00C 001 13403*")-SUMIFS(E957:E1509,K957:K1509,"0",B957:B1509,"5 1 1 3 4 12 31111 6 M78 22000 271 00C 001 13403*")</f>
        <v>0</v>
      </c>
      <c r="E956" s="29"/>
      <c r="F956" s="28">
        <f>SUMIFS(F957:F1509,K957:K1509,"0",B957:B1509,"5 1 1 3 4 12 31111 6 M78 22000 271 00C 001 13403*")</f>
        <v>3571.22</v>
      </c>
      <c r="G956" s="28">
        <f>SUMIFS(G957:G1509,K957:K1509,"0",B957:B1509,"5 1 1 3 4 12 31111 6 M78 22000 271 00C 001 13403*")</f>
        <v>0</v>
      </c>
      <c r="H956" s="28">
        <f t="shared" si="19"/>
        <v>3571.22</v>
      </c>
      <c r="I956" s="28"/>
      <c r="K956" t="s">
        <v>15</v>
      </c>
    </row>
    <row r="957" spans="2:11" ht="22" x14ac:dyDescent="0.15">
      <c r="B957" s="27" t="s">
        <v>1262</v>
      </c>
      <c r="C957" s="27" t="s">
        <v>1144</v>
      </c>
      <c r="D957" s="28">
        <f>SUMIFS(D958:D1509,K958:K1509,"0",B958:B1509,"5 1 1 3 4 12 31111 6 M78 22000 271 00C 001 13403 015*")-SUMIFS(E958:E1509,K958:K1509,"0",B958:B1509,"5 1 1 3 4 12 31111 6 M78 22000 271 00C 001 13403 015*")</f>
        <v>0</v>
      </c>
      <c r="E957" s="29"/>
      <c r="F957" s="28">
        <f>SUMIFS(F958:F1509,K958:K1509,"0",B958:B1509,"5 1 1 3 4 12 31111 6 M78 22000 271 00C 001 13403 015*")</f>
        <v>3571.22</v>
      </c>
      <c r="G957" s="28">
        <f>SUMIFS(G958:G1509,K958:K1509,"0",B958:B1509,"5 1 1 3 4 12 31111 6 M78 22000 271 00C 001 13403 015*")</f>
        <v>0</v>
      </c>
      <c r="H957" s="28">
        <f t="shared" si="19"/>
        <v>3571.22</v>
      </c>
      <c r="I957" s="28"/>
      <c r="K957" t="s">
        <v>15</v>
      </c>
    </row>
    <row r="958" spans="2:11" ht="22" x14ac:dyDescent="0.15">
      <c r="B958" s="27" t="s">
        <v>1263</v>
      </c>
      <c r="C958" s="27" t="s">
        <v>1144</v>
      </c>
      <c r="D958" s="28">
        <f>SUMIFS(D959:D1509,K959:K1509,"0",B959:B1509,"5 1 1 3 4 12 31111 6 M78 22000 271 00C 001 13403 015 2111100*")-SUMIFS(E959:E1509,K959:K1509,"0",B959:B1509,"5 1 1 3 4 12 31111 6 M78 22000 271 00C 001 13403 015 2111100*")</f>
        <v>0</v>
      </c>
      <c r="E958" s="29"/>
      <c r="F958" s="28">
        <f>SUMIFS(F959:F1509,K959:K1509,"0",B959:B1509,"5 1 1 3 4 12 31111 6 M78 22000 271 00C 001 13403 015 2111100*")</f>
        <v>3571.22</v>
      </c>
      <c r="G958" s="28">
        <f>SUMIFS(G959:G1509,K959:K1509,"0",B959:B1509,"5 1 1 3 4 12 31111 6 M78 22000 271 00C 001 13403 015 2111100*")</f>
        <v>0</v>
      </c>
      <c r="H958" s="28">
        <f t="shared" si="19"/>
        <v>3571.22</v>
      </c>
      <c r="I958" s="28"/>
      <c r="K958" t="s">
        <v>15</v>
      </c>
    </row>
    <row r="959" spans="2:11" ht="22" x14ac:dyDescent="0.15">
      <c r="B959" s="27" t="s">
        <v>1264</v>
      </c>
      <c r="C959" s="27" t="s">
        <v>1144</v>
      </c>
      <c r="D959" s="28">
        <f>SUMIFS(D960:D1509,K960:K1509,"0",B960:B1509,"5 1 1 3 4 12 31111 6 M78 22000 271 00C 001 13403 015 2111100 2024*")-SUMIFS(E960:E1509,K960:K1509,"0",B960:B1509,"5 1 1 3 4 12 31111 6 M78 22000 271 00C 001 13403 015 2111100 2024*")</f>
        <v>0</v>
      </c>
      <c r="E959" s="29"/>
      <c r="F959" s="28">
        <f>SUMIFS(F960:F1509,K960:K1509,"0",B960:B1509,"5 1 1 3 4 12 31111 6 M78 22000 271 00C 001 13403 015 2111100 2024*")</f>
        <v>3571.22</v>
      </c>
      <c r="G959" s="28">
        <f>SUMIFS(G960:G1509,K960:K1509,"0",B960:B1509,"5 1 1 3 4 12 31111 6 M78 22000 271 00C 001 13403 015 2111100 2024*")</f>
        <v>0</v>
      </c>
      <c r="H959" s="28">
        <f t="shared" si="19"/>
        <v>3571.22</v>
      </c>
      <c r="I959" s="28"/>
      <c r="K959" t="s">
        <v>15</v>
      </c>
    </row>
    <row r="960" spans="2:11" ht="22" x14ac:dyDescent="0.15">
      <c r="B960" s="27" t="s">
        <v>1265</v>
      </c>
      <c r="C960" s="27" t="s">
        <v>1144</v>
      </c>
      <c r="D960" s="28">
        <f>SUMIFS(D961:D1509,K961:K1509,"0",B961:B1509,"5 1 1 3 4 12 31111 6 M78 22000 271 00C 001 13403 015 2111100 2024 00000000*")-SUMIFS(E961:E1509,K961:K1509,"0",B961:B1509,"5 1 1 3 4 12 31111 6 M78 22000 271 00C 001 13403 015 2111100 2024 00000000*")</f>
        <v>0</v>
      </c>
      <c r="E960" s="29"/>
      <c r="F960" s="28">
        <f>SUMIFS(F961:F1509,K961:K1509,"0",B961:B1509,"5 1 1 3 4 12 31111 6 M78 22000 271 00C 001 13403 015 2111100 2024 00000000*")</f>
        <v>3571.22</v>
      </c>
      <c r="G960" s="28">
        <f>SUMIFS(G961:G1509,K961:K1509,"0",B961:B1509,"5 1 1 3 4 12 31111 6 M78 22000 271 00C 001 13403 015 2111100 2024 00000000*")</f>
        <v>0</v>
      </c>
      <c r="H960" s="28">
        <f t="shared" si="19"/>
        <v>3571.22</v>
      </c>
      <c r="I960" s="28"/>
      <c r="K960" t="s">
        <v>15</v>
      </c>
    </row>
    <row r="961" spans="2:11" ht="33" x14ac:dyDescent="0.15">
      <c r="B961" s="27" t="s">
        <v>1266</v>
      </c>
      <c r="C961" s="27" t="s">
        <v>1144</v>
      </c>
      <c r="D961" s="28">
        <f>SUMIFS(D962:D1509,K962:K1509,"0",B962:B1509,"5 1 1 3 4 12 31111 6 M78 22000 271 00C 001 13403 015 2111100 2024 00000000 001*")-SUMIFS(E962:E1509,K962:K1509,"0",B962:B1509,"5 1 1 3 4 12 31111 6 M78 22000 271 00C 001 13403 015 2111100 2024 00000000 001*")</f>
        <v>0</v>
      </c>
      <c r="E961" s="29"/>
      <c r="F961" s="28">
        <f>SUMIFS(F962:F1509,K962:K1509,"0",B962:B1509,"5 1 1 3 4 12 31111 6 M78 22000 271 00C 001 13403 015 2111100 2024 00000000 001*")</f>
        <v>3571.22</v>
      </c>
      <c r="G961" s="28">
        <f>SUMIFS(G962:G1509,K962:K1509,"0",B962:B1509,"5 1 1 3 4 12 31111 6 M78 22000 271 00C 001 13403 015 2111100 2024 00000000 001*")</f>
        <v>0</v>
      </c>
      <c r="H961" s="28">
        <f t="shared" si="19"/>
        <v>3571.22</v>
      </c>
      <c r="I961" s="28"/>
      <c r="K961" t="s">
        <v>15</v>
      </c>
    </row>
    <row r="962" spans="2:11" ht="33" x14ac:dyDescent="0.15">
      <c r="B962" s="27" t="s">
        <v>1267</v>
      </c>
      <c r="C962" s="27" t="s">
        <v>1268</v>
      </c>
      <c r="D962" s="28">
        <f>SUMIFS(D963:D1509,K963:K1509,"0",B963:B1509,"5 1 1 3 4 12 31111 6 M78 22000 271 00C 001 13403 015 2111100 2024 00000000 001 001*")-SUMIFS(E963:E1509,K963:K1509,"0",B963:B1509,"5 1 1 3 4 12 31111 6 M78 22000 271 00C 001 13403 015 2111100 2024 00000000 001 001*")</f>
        <v>0</v>
      </c>
      <c r="E962" s="29"/>
      <c r="F962" s="28">
        <f>SUMIFS(F963:F1509,K963:K1509,"0",B963:B1509,"5 1 1 3 4 12 31111 6 M78 22000 271 00C 001 13403 015 2111100 2024 00000000 001 001*")</f>
        <v>3571.22</v>
      </c>
      <c r="G962" s="28">
        <f>SUMIFS(G963:G1509,K963:K1509,"0",B963:B1509,"5 1 1 3 4 12 31111 6 M78 22000 271 00C 001 13403 015 2111100 2024 00000000 001 001*")</f>
        <v>0</v>
      </c>
      <c r="H962" s="28">
        <f t="shared" si="19"/>
        <v>3571.22</v>
      </c>
      <c r="I962" s="28"/>
      <c r="K962" t="s">
        <v>15</v>
      </c>
    </row>
    <row r="963" spans="2:11" ht="33" x14ac:dyDescent="0.15">
      <c r="B963" s="30" t="s">
        <v>1269</v>
      </c>
      <c r="C963" s="30" t="s">
        <v>1015</v>
      </c>
      <c r="D963" s="31">
        <v>0</v>
      </c>
      <c r="E963" s="31"/>
      <c r="F963" s="31">
        <v>3571.22</v>
      </c>
      <c r="G963" s="31">
        <v>0</v>
      </c>
      <c r="H963" s="31">
        <f t="shared" si="19"/>
        <v>3571.22</v>
      </c>
      <c r="I963" s="31"/>
      <c r="K963" t="s">
        <v>38</v>
      </c>
    </row>
    <row r="964" spans="2:11" ht="22" x14ac:dyDescent="0.15">
      <c r="B964" s="27" t="s">
        <v>1270</v>
      </c>
      <c r="C964" s="27" t="s">
        <v>1017</v>
      </c>
      <c r="D964" s="28">
        <f>SUMIFS(D965:D1509,K965:K1509,"0",B965:B1509,"5 1 1 3 4 12 31111 6 M78 22000 271 00C 001 13406*")-SUMIFS(E965:E1509,K965:K1509,"0",B965:B1509,"5 1 1 3 4 12 31111 6 M78 22000 271 00C 001 13406*")</f>
        <v>0</v>
      </c>
      <c r="E964" s="29"/>
      <c r="F964" s="28">
        <f>SUMIFS(F965:F1509,K965:K1509,"0",B965:B1509,"5 1 1 3 4 12 31111 6 M78 22000 271 00C 001 13406*")</f>
        <v>4953.63</v>
      </c>
      <c r="G964" s="28">
        <f>SUMIFS(G965:G1509,K965:K1509,"0",B965:B1509,"5 1 1 3 4 12 31111 6 M78 22000 271 00C 001 13406*")</f>
        <v>0</v>
      </c>
      <c r="H964" s="28">
        <f t="shared" si="19"/>
        <v>4953.63</v>
      </c>
      <c r="I964" s="28"/>
      <c r="K964" t="s">
        <v>15</v>
      </c>
    </row>
    <row r="965" spans="2:11" ht="22" x14ac:dyDescent="0.15">
      <c r="B965" s="27" t="s">
        <v>1271</v>
      </c>
      <c r="C965" s="27" t="s">
        <v>176</v>
      </c>
      <c r="D965" s="28">
        <f>SUMIFS(D966:D1509,K966:K1509,"0",B966:B1509,"5 1 1 3 4 12 31111 6 M78 22000 271 00C 001 13406 015*")-SUMIFS(E966:E1509,K966:K1509,"0",B966:B1509,"5 1 1 3 4 12 31111 6 M78 22000 271 00C 001 13406 015*")</f>
        <v>0</v>
      </c>
      <c r="E965" s="29"/>
      <c r="F965" s="28">
        <f>SUMIFS(F966:F1509,K966:K1509,"0",B966:B1509,"5 1 1 3 4 12 31111 6 M78 22000 271 00C 001 13406 015*")</f>
        <v>4953.63</v>
      </c>
      <c r="G965" s="28">
        <f>SUMIFS(G966:G1509,K966:K1509,"0",B966:B1509,"5 1 1 3 4 12 31111 6 M78 22000 271 00C 001 13406 015*")</f>
        <v>0</v>
      </c>
      <c r="H965" s="28">
        <f t="shared" si="19"/>
        <v>4953.63</v>
      </c>
      <c r="I965" s="28"/>
      <c r="K965" t="s">
        <v>15</v>
      </c>
    </row>
    <row r="966" spans="2:11" ht="22" x14ac:dyDescent="0.15">
      <c r="B966" s="27" t="s">
        <v>1272</v>
      </c>
      <c r="C966" s="27" t="s">
        <v>744</v>
      </c>
      <c r="D966" s="28">
        <f>SUMIFS(D967:D1509,K967:K1509,"0",B967:B1509,"5 1 1 3 4 12 31111 6 M78 22000 271 00C 001 13406 015 2111100*")-SUMIFS(E967:E1509,K967:K1509,"0",B967:B1509,"5 1 1 3 4 12 31111 6 M78 22000 271 00C 001 13406 015 2111100*")</f>
        <v>0</v>
      </c>
      <c r="E966" s="29"/>
      <c r="F966" s="28">
        <f>SUMIFS(F967:F1509,K967:K1509,"0",B967:B1509,"5 1 1 3 4 12 31111 6 M78 22000 271 00C 001 13406 015 2111100*")</f>
        <v>4953.63</v>
      </c>
      <c r="G966" s="28">
        <f>SUMIFS(G967:G1509,K967:K1509,"0",B967:B1509,"5 1 1 3 4 12 31111 6 M78 22000 271 00C 001 13406 015 2111100*")</f>
        <v>0</v>
      </c>
      <c r="H966" s="28">
        <f t="shared" si="19"/>
        <v>4953.63</v>
      </c>
      <c r="I966" s="28"/>
      <c r="K966" t="s">
        <v>15</v>
      </c>
    </row>
    <row r="967" spans="2:11" ht="22" x14ac:dyDescent="0.15">
      <c r="B967" s="27" t="s">
        <v>1273</v>
      </c>
      <c r="C967" s="27" t="s">
        <v>248</v>
      </c>
      <c r="D967" s="28">
        <f>SUMIFS(D968:D1509,K968:K1509,"0",B968:B1509,"5 1 1 3 4 12 31111 6 M78 22000 271 00C 001 13406 015 2111100 2024*")-SUMIFS(E968:E1509,K968:K1509,"0",B968:B1509,"5 1 1 3 4 12 31111 6 M78 22000 271 00C 001 13406 015 2111100 2024*")</f>
        <v>0</v>
      </c>
      <c r="E967" s="29"/>
      <c r="F967" s="28">
        <f>SUMIFS(F968:F1509,K968:K1509,"0",B968:B1509,"5 1 1 3 4 12 31111 6 M78 22000 271 00C 001 13406 015 2111100 2024*")</f>
        <v>4953.63</v>
      </c>
      <c r="G967" s="28">
        <f>SUMIFS(G968:G1509,K968:K1509,"0",B968:B1509,"5 1 1 3 4 12 31111 6 M78 22000 271 00C 001 13406 015 2111100 2024*")</f>
        <v>0</v>
      </c>
      <c r="H967" s="28">
        <f t="shared" si="19"/>
        <v>4953.63</v>
      </c>
      <c r="I967" s="28"/>
      <c r="K967" t="s">
        <v>15</v>
      </c>
    </row>
    <row r="968" spans="2:11" ht="22" x14ac:dyDescent="0.15">
      <c r="B968" s="27" t="s">
        <v>1274</v>
      </c>
      <c r="C968" s="27" t="s">
        <v>182</v>
      </c>
      <c r="D968" s="28">
        <f>SUMIFS(D969:D1509,K969:K1509,"0",B969:B1509,"5 1 1 3 4 12 31111 6 M78 22000 271 00C 001 13406 015 2111100 2024 00000000*")-SUMIFS(E969:E1509,K969:K1509,"0",B969:B1509,"5 1 1 3 4 12 31111 6 M78 22000 271 00C 001 13406 015 2111100 2024 00000000*")</f>
        <v>0</v>
      </c>
      <c r="E968" s="29"/>
      <c r="F968" s="28">
        <f>SUMIFS(F969:F1509,K969:K1509,"0",B969:B1509,"5 1 1 3 4 12 31111 6 M78 22000 271 00C 001 13406 015 2111100 2024 00000000*")</f>
        <v>4953.63</v>
      </c>
      <c r="G968" s="28">
        <f>SUMIFS(G969:G1509,K969:K1509,"0",B969:B1509,"5 1 1 3 4 12 31111 6 M78 22000 271 00C 001 13406 015 2111100 2024 00000000*")</f>
        <v>0</v>
      </c>
      <c r="H968" s="28">
        <f t="shared" si="19"/>
        <v>4953.63</v>
      </c>
      <c r="I968" s="28"/>
      <c r="K968" t="s">
        <v>15</v>
      </c>
    </row>
    <row r="969" spans="2:11" ht="33" x14ac:dyDescent="0.15">
      <c r="B969" s="27" t="s">
        <v>1275</v>
      </c>
      <c r="C969" s="27" t="s">
        <v>945</v>
      </c>
      <c r="D969" s="28">
        <f>SUMIFS(D970:D1509,K970:K1509,"0",B970:B1509,"5 1 1 3 4 12 31111 6 M78 22000 271 00C 001 13406 015 2111100 2024 00000000 001*")-SUMIFS(E970:E1509,K970:K1509,"0",B970:B1509,"5 1 1 3 4 12 31111 6 M78 22000 271 00C 001 13406 015 2111100 2024 00000000 001*")</f>
        <v>0</v>
      </c>
      <c r="E969" s="29"/>
      <c r="F969" s="28">
        <f>SUMIFS(F970:F1509,K970:K1509,"0",B970:B1509,"5 1 1 3 4 12 31111 6 M78 22000 271 00C 001 13406 015 2111100 2024 00000000 001*")</f>
        <v>4953.63</v>
      </c>
      <c r="G969" s="28">
        <f>SUMIFS(G970:G1509,K970:K1509,"0",B970:B1509,"5 1 1 3 4 12 31111 6 M78 22000 271 00C 001 13406 015 2111100 2024 00000000 001*")</f>
        <v>0</v>
      </c>
      <c r="H969" s="28">
        <f t="shared" si="19"/>
        <v>4953.63</v>
      </c>
      <c r="I969" s="28"/>
      <c r="K969" t="s">
        <v>15</v>
      </c>
    </row>
    <row r="970" spans="2:11" ht="33" x14ac:dyDescent="0.15">
      <c r="B970" s="27" t="s">
        <v>1276</v>
      </c>
      <c r="C970" s="27" t="s">
        <v>962</v>
      </c>
      <c r="D970" s="28">
        <f>SUMIFS(D971:D1509,K971:K1509,"0",B971:B1509,"5 1 1 3 4 12 31111 6 M78 22000 271 00C 001 13406 015 2111100 2024 00000000 001 001*")-SUMIFS(E971:E1509,K971:K1509,"0",B971:B1509,"5 1 1 3 4 12 31111 6 M78 22000 271 00C 001 13406 015 2111100 2024 00000000 001 001*")</f>
        <v>0</v>
      </c>
      <c r="E970" s="29"/>
      <c r="F970" s="28">
        <f>SUMIFS(F971:F1509,K971:K1509,"0",B971:B1509,"5 1 1 3 4 12 31111 6 M78 22000 271 00C 001 13406 015 2111100 2024 00000000 001 001*")</f>
        <v>4953.63</v>
      </c>
      <c r="G970" s="28">
        <f>SUMIFS(G971:G1509,K971:K1509,"0",B971:B1509,"5 1 1 3 4 12 31111 6 M78 22000 271 00C 001 13406 015 2111100 2024 00000000 001 001*")</f>
        <v>0</v>
      </c>
      <c r="H970" s="28">
        <f t="shared" si="19"/>
        <v>4953.63</v>
      </c>
      <c r="I970" s="28"/>
      <c r="K970" t="s">
        <v>15</v>
      </c>
    </row>
    <row r="971" spans="2:11" ht="33" x14ac:dyDescent="0.15">
      <c r="B971" s="30" t="s">
        <v>1277</v>
      </c>
      <c r="C971" s="30" t="s">
        <v>1025</v>
      </c>
      <c r="D971" s="31">
        <v>0</v>
      </c>
      <c r="E971" s="31"/>
      <c r="F971" s="31">
        <v>4953.63</v>
      </c>
      <c r="G971" s="31">
        <v>0</v>
      </c>
      <c r="H971" s="31">
        <f t="shared" si="19"/>
        <v>4953.63</v>
      </c>
      <c r="I971" s="31"/>
      <c r="K971" t="s">
        <v>38</v>
      </c>
    </row>
    <row r="972" spans="2:11" ht="13" x14ac:dyDescent="0.15">
      <c r="B972" s="27" t="s">
        <v>1278</v>
      </c>
      <c r="C972" s="27" t="s">
        <v>965</v>
      </c>
      <c r="D972" s="28">
        <f>SUMIFS(D973:D1509,K973:K1509,"0",B973:B1509,"5 1 1 3 4 12 31111 6 M78 26000*")-SUMIFS(E973:E1509,K973:K1509,"0",B973:B1509,"5 1 1 3 4 12 31111 6 M78 26000*")</f>
        <v>0</v>
      </c>
      <c r="E972" s="29"/>
      <c r="F972" s="28">
        <f>SUMIFS(F973:F1509,K973:K1509,"0",B973:B1509,"5 1 1 3 4 12 31111 6 M78 26000*")</f>
        <v>4175.28</v>
      </c>
      <c r="G972" s="28">
        <f>SUMIFS(G973:G1509,K973:K1509,"0",B973:B1509,"5 1 1 3 4 12 31111 6 M78 26000*")</f>
        <v>0</v>
      </c>
      <c r="H972" s="28">
        <f t="shared" si="19"/>
        <v>4175.28</v>
      </c>
      <c r="I972" s="28"/>
      <c r="K972" t="s">
        <v>15</v>
      </c>
    </row>
    <row r="973" spans="2:11" ht="13" x14ac:dyDescent="0.15">
      <c r="B973" s="27" t="s">
        <v>1279</v>
      </c>
      <c r="C973" s="27" t="s">
        <v>967</v>
      </c>
      <c r="D973" s="28">
        <f>SUMIFS(D974:D1509,K974:K1509,"0",B974:B1509,"5 1 1 3 4 12 31111 6 M78 26000 183*")-SUMIFS(E974:E1509,K974:K1509,"0",B974:B1509,"5 1 1 3 4 12 31111 6 M78 26000 183*")</f>
        <v>0</v>
      </c>
      <c r="E973" s="29"/>
      <c r="F973" s="28">
        <f>SUMIFS(F974:F1509,K974:K1509,"0",B974:B1509,"5 1 1 3 4 12 31111 6 M78 26000 183*")</f>
        <v>4175.28</v>
      </c>
      <c r="G973" s="28">
        <f>SUMIFS(G974:G1509,K974:K1509,"0",B974:B1509,"5 1 1 3 4 12 31111 6 M78 26000 183*")</f>
        <v>0</v>
      </c>
      <c r="H973" s="28">
        <f t="shared" si="19"/>
        <v>4175.28</v>
      </c>
      <c r="I973" s="28"/>
      <c r="K973" t="s">
        <v>15</v>
      </c>
    </row>
    <row r="974" spans="2:11" ht="13" x14ac:dyDescent="0.15">
      <c r="B974" s="27" t="s">
        <v>1280</v>
      </c>
      <c r="C974" s="27" t="s">
        <v>170</v>
      </c>
      <c r="D974" s="28">
        <f>SUMIFS(D975:D1509,K975:K1509,"0",B975:B1509,"5 1 1 3 4 12 31111 6 M78 26000 183 00C*")-SUMIFS(E975:E1509,K975:K1509,"0",B975:B1509,"5 1 1 3 4 12 31111 6 M78 26000 183 00C*")</f>
        <v>0</v>
      </c>
      <c r="E974" s="29"/>
      <c r="F974" s="28">
        <f>SUMIFS(F975:F1509,K975:K1509,"0",B975:B1509,"5 1 1 3 4 12 31111 6 M78 26000 183 00C*")</f>
        <v>4175.28</v>
      </c>
      <c r="G974" s="28">
        <f>SUMIFS(G975:G1509,K975:K1509,"0",B975:B1509,"5 1 1 3 4 12 31111 6 M78 26000 183 00C*")</f>
        <v>0</v>
      </c>
      <c r="H974" s="28">
        <f t="shared" si="19"/>
        <v>4175.28</v>
      </c>
      <c r="I974" s="28"/>
      <c r="K974" t="s">
        <v>15</v>
      </c>
    </row>
    <row r="975" spans="2:11" ht="22" x14ac:dyDescent="0.15">
      <c r="B975" s="27" t="s">
        <v>1281</v>
      </c>
      <c r="C975" s="27" t="s">
        <v>9</v>
      </c>
      <c r="D975" s="28">
        <f>SUMIFS(D976:D1509,K976:K1509,"0",B976:B1509,"5 1 1 3 4 12 31111 6 M78 26000 183 00C 001*")-SUMIFS(E976:E1509,K976:K1509,"0",B976:B1509,"5 1 1 3 4 12 31111 6 M78 26000 183 00C 001*")</f>
        <v>0</v>
      </c>
      <c r="E975" s="29"/>
      <c r="F975" s="28">
        <f>SUMIFS(F976:F1509,K976:K1509,"0",B976:B1509,"5 1 1 3 4 12 31111 6 M78 26000 183 00C 001*")</f>
        <v>4175.28</v>
      </c>
      <c r="G975" s="28">
        <f>SUMIFS(G976:G1509,K976:K1509,"0",B976:B1509,"5 1 1 3 4 12 31111 6 M78 26000 183 00C 001*")</f>
        <v>0</v>
      </c>
      <c r="H975" s="28">
        <f t="shared" si="19"/>
        <v>4175.28</v>
      </c>
      <c r="I975" s="28"/>
      <c r="K975" t="s">
        <v>15</v>
      </c>
    </row>
    <row r="976" spans="2:11" ht="22" x14ac:dyDescent="0.15">
      <c r="B976" s="27" t="s">
        <v>1282</v>
      </c>
      <c r="C976" s="27" t="s">
        <v>1017</v>
      </c>
      <c r="D976" s="28">
        <f>SUMIFS(D977:D1509,K977:K1509,"0",B977:B1509,"5 1 1 3 4 12 31111 6 M78 26000 183 00C 001 13406*")-SUMIFS(E977:E1509,K977:K1509,"0",B977:B1509,"5 1 1 3 4 12 31111 6 M78 26000 183 00C 001 13406*")</f>
        <v>0</v>
      </c>
      <c r="E976" s="29"/>
      <c r="F976" s="28">
        <f>SUMIFS(F977:F1509,K977:K1509,"0",B977:B1509,"5 1 1 3 4 12 31111 6 M78 26000 183 00C 001 13406*")</f>
        <v>4175.28</v>
      </c>
      <c r="G976" s="28">
        <f>SUMIFS(G977:G1509,K977:K1509,"0",B977:B1509,"5 1 1 3 4 12 31111 6 M78 26000 183 00C 001 13406*")</f>
        <v>0</v>
      </c>
      <c r="H976" s="28">
        <f t="shared" si="19"/>
        <v>4175.28</v>
      </c>
      <c r="I976" s="28"/>
      <c r="K976" t="s">
        <v>15</v>
      </c>
    </row>
    <row r="977" spans="2:11" ht="22" x14ac:dyDescent="0.15">
      <c r="B977" s="27" t="s">
        <v>1283</v>
      </c>
      <c r="C977" s="27" t="s">
        <v>176</v>
      </c>
      <c r="D977" s="28">
        <f>SUMIFS(D978:D1509,K978:K1509,"0",B978:B1509,"5 1 1 3 4 12 31111 6 M78 26000 183 00C 001 13406 015*")-SUMIFS(E978:E1509,K978:K1509,"0",B978:B1509,"5 1 1 3 4 12 31111 6 M78 26000 183 00C 001 13406 015*")</f>
        <v>0</v>
      </c>
      <c r="E977" s="29"/>
      <c r="F977" s="28">
        <f>SUMIFS(F978:F1509,K978:K1509,"0",B978:B1509,"5 1 1 3 4 12 31111 6 M78 26000 183 00C 001 13406 015*")</f>
        <v>4175.28</v>
      </c>
      <c r="G977" s="28">
        <f>SUMIFS(G978:G1509,K978:K1509,"0",B978:B1509,"5 1 1 3 4 12 31111 6 M78 26000 183 00C 001 13406 015*")</f>
        <v>0</v>
      </c>
      <c r="H977" s="28">
        <f t="shared" si="19"/>
        <v>4175.28</v>
      </c>
      <c r="I977" s="28"/>
      <c r="K977" t="s">
        <v>15</v>
      </c>
    </row>
    <row r="978" spans="2:11" ht="22" x14ac:dyDescent="0.15">
      <c r="B978" s="27" t="s">
        <v>1284</v>
      </c>
      <c r="C978" s="27" t="s">
        <v>744</v>
      </c>
      <c r="D978" s="28">
        <f>SUMIFS(D979:D1509,K979:K1509,"0",B979:B1509,"5 1 1 3 4 12 31111 6 M78 26000 183 00C 001 13406 015 2111100*")-SUMIFS(E979:E1509,K979:K1509,"0",B979:B1509,"5 1 1 3 4 12 31111 6 M78 26000 183 00C 001 13406 015 2111100*")</f>
        <v>0</v>
      </c>
      <c r="E978" s="29"/>
      <c r="F978" s="28">
        <f>SUMIFS(F979:F1509,K979:K1509,"0",B979:B1509,"5 1 1 3 4 12 31111 6 M78 26000 183 00C 001 13406 015 2111100*")</f>
        <v>4175.28</v>
      </c>
      <c r="G978" s="28">
        <f>SUMIFS(G979:G1509,K979:K1509,"0",B979:B1509,"5 1 1 3 4 12 31111 6 M78 26000 183 00C 001 13406 015 2111100*")</f>
        <v>0</v>
      </c>
      <c r="H978" s="28">
        <f t="shared" si="19"/>
        <v>4175.28</v>
      </c>
      <c r="I978" s="28"/>
      <c r="K978" t="s">
        <v>15</v>
      </c>
    </row>
    <row r="979" spans="2:11" ht="22" x14ac:dyDescent="0.15">
      <c r="B979" s="27" t="s">
        <v>1285</v>
      </c>
      <c r="C979" s="27" t="s">
        <v>248</v>
      </c>
      <c r="D979" s="28">
        <f>SUMIFS(D980:D1509,K980:K1509,"0",B980:B1509,"5 1 1 3 4 12 31111 6 M78 26000 183 00C 001 13406 015 2111100 2024*")-SUMIFS(E980:E1509,K980:K1509,"0",B980:B1509,"5 1 1 3 4 12 31111 6 M78 26000 183 00C 001 13406 015 2111100 2024*")</f>
        <v>0</v>
      </c>
      <c r="E979" s="29"/>
      <c r="F979" s="28">
        <f>SUMIFS(F980:F1509,K980:K1509,"0",B980:B1509,"5 1 1 3 4 12 31111 6 M78 26000 183 00C 001 13406 015 2111100 2024*")</f>
        <v>4175.28</v>
      </c>
      <c r="G979" s="28">
        <f>SUMIFS(G980:G1509,K980:K1509,"0",B980:B1509,"5 1 1 3 4 12 31111 6 M78 26000 183 00C 001 13406 015 2111100 2024*")</f>
        <v>0</v>
      </c>
      <c r="H979" s="28">
        <f t="shared" si="19"/>
        <v>4175.28</v>
      </c>
      <c r="I979" s="28"/>
      <c r="K979" t="s">
        <v>15</v>
      </c>
    </row>
    <row r="980" spans="2:11" ht="22" x14ac:dyDescent="0.15">
      <c r="B980" s="27" t="s">
        <v>1286</v>
      </c>
      <c r="C980" s="27" t="s">
        <v>182</v>
      </c>
      <c r="D980" s="28">
        <f>SUMIFS(D981:D1509,K981:K1509,"0",B981:B1509,"5 1 1 3 4 12 31111 6 M78 26000 183 00C 001 13406 015 2111100 2024 00000000*")-SUMIFS(E981:E1509,K981:K1509,"0",B981:B1509,"5 1 1 3 4 12 31111 6 M78 26000 183 00C 001 13406 015 2111100 2024 00000000*")</f>
        <v>0</v>
      </c>
      <c r="E980" s="29"/>
      <c r="F980" s="28">
        <f>SUMIFS(F981:F1509,K981:K1509,"0",B981:B1509,"5 1 1 3 4 12 31111 6 M78 26000 183 00C 001 13406 015 2111100 2024 00000000*")</f>
        <v>4175.28</v>
      </c>
      <c r="G980" s="28">
        <f>SUMIFS(G981:G1509,K981:K1509,"0",B981:B1509,"5 1 1 3 4 12 31111 6 M78 26000 183 00C 001 13406 015 2111100 2024 00000000*")</f>
        <v>0</v>
      </c>
      <c r="H980" s="28">
        <f t="shared" si="19"/>
        <v>4175.28</v>
      </c>
      <c r="I980" s="28"/>
      <c r="K980" t="s">
        <v>15</v>
      </c>
    </row>
    <row r="981" spans="2:11" ht="33" x14ac:dyDescent="0.15">
      <c r="B981" s="27" t="s">
        <v>1287</v>
      </c>
      <c r="C981" s="27" t="s">
        <v>9</v>
      </c>
      <c r="D981" s="28">
        <f>SUMIFS(D982:D1509,K982:K1509,"0",B982:B1509,"5 1 1 3 4 12 31111 6 M78 26000 183 00C 001 13406 015 2111100 2024 00000000 001*")-SUMIFS(E982:E1509,K982:K1509,"0",B982:B1509,"5 1 1 3 4 12 31111 6 M78 26000 183 00C 001 13406 015 2111100 2024 00000000 001*")</f>
        <v>0</v>
      </c>
      <c r="E981" s="29"/>
      <c r="F981" s="28">
        <f>SUMIFS(F982:F1509,K982:K1509,"0",B982:B1509,"5 1 1 3 4 12 31111 6 M78 26000 183 00C 001 13406 015 2111100 2024 00000000 001*")</f>
        <v>4175.28</v>
      </c>
      <c r="G981" s="28">
        <f>SUMIFS(G982:G1509,K982:K1509,"0",B982:B1509,"5 1 1 3 4 12 31111 6 M78 26000 183 00C 001 13406 015 2111100 2024 00000000 001*")</f>
        <v>0</v>
      </c>
      <c r="H981" s="28">
        <f t="shared" si="19"/>
        <v>4175.28</v>
      </c>
      <c r="I981" s="28"/>
      <c r="K981" t="s">
        <v>15</v>
      </c>
    </row>
    <row r="982" spans="2:11" ht="33" x14ac:dyDescent="0.15">
      <c r="B982" s="27" t="s">
        <v>1288</v>
      </c>
      <c r="C982" s="27" t="s">
        <v>977</v>
      </c>
      <c r="D982" s="28">
        <f>SUMIFS(D983:D1509,K983:K1509,"0",B983:B1509,"5 1 1 3 4 12 31111 6 M78 26000 183 00C 001 13406 015 2111100 2024 00000000 001 001*")-SUMIFS(E983:E1509,K983:K1509,"0",B983:B1509,"5 1 1 3 4 12 31111 6 M78 26000 183 00C 001 13406 015 2111100 2024 00000000 001 001*")</f>
        <v>0</v>
      </c>
      <c r="E982" s="29"/>
      <c r="F982" s="28">
        <f>SUMIFS(F983:F1509,K983:K1509,"0",B983:B1509,"5 1 1 3 4 12 31111 6 M78 26000 183 00C 001 13406 015 2111100 2024 00000000 001 001*")</f>
        <v>4175.28</v>
      </c>
      <c r="G982" s="28">
        <f>SUMIFS(G983:G1509,K983:K1509,"0",B983:B1509,"5 1 1 3 4 12 31111 6 M78 26000 183 00C 001 13406 015 2111100 2024 00000000 001 001*")</f>
        <v>0</v>
      </c>
      <c r="H982" s="28">
        <f t="shared" si="19"/>
        <v>4175.28</v>
      </c>
      <c r="I982" s="28"/>
      <c r="K982" t="s">
        <v>15</v>
      </c>
    </row>
    <row r="983" spans="2:11" ht="33" x14ac:dyDescent="0.15">
      <c r="B983" s="30" t="s">
        <v>1289</v>
      </c>
      <c r="C983" s="30" t="s">
        <v>1025</v>
      </c>
      <c r="D983" s="31">
        <v>0</v>
      </c>
      <c r="E983" s="31"/>
      <c r="F983" s="31">
        <v>4175.28</v>
      </c>
      <c r="G983" s="31">
        <v>0</v>
      </c>
      <c r="H983" s="31">
        <f t="shared" si="19"/>
        <v>4175.28</v>
      </c>
      <c r="I983" s="31"/>
      <c r="K983" t="s">
        <v>38</v>
      </c>
    </row>
    <row r="984" spans="2:11" ht="13" x14ac:dyDescent="0.15">
      <c r="B984" s="27" t="s">
        <v>1290</v>
      </c>
      <c r="C984" s="27" t="s">
        <v>980</v>
      </c>
      <c r="D984" s="28">
        <f>SUMIFS(D985:D1509,K985:K1509,"0",B985:B1509,"5 1 1 3 4 12 31111 6 M78 27000*")-SUMIFS(E985:E1509,K985:K1509,"0",B985:B1509,"5 1 1 3 4 12 31111 6 M78 27000*")</f>
        <v>0</v>
      </c>
      <c r="E984" s="29"/>
      <c r="F984" s="28">
        <f>SUMIFS(F985:F1509,K985:K1509,"0",B985:B1509,"5 1 1 3 4 12 31111 6 M78 27000*")</f>
        <v>60506.399999999994</v>
      </c>
      <c r="G984" s="28">
        <f>SUMIFS(G985:G1509,K985:K1509,"0",B985:B1509,"5 1 1 3 4 12 31111 6 M78 27000*")</f>
        <v>0</v>
      </c>
      <c r="H984" s="28">
        <f t="shared" si="19"/>
        <v>60506.399999999994</v>
      </c>
      <c r="I984" s="28"/>
      <c r="K984" t="s">
        <v>15</v>
      </c>
    </row>
    <row r="985" spans="2:11" ht="13" x14ac:dyDescent="0.15">
      <c r="B985" s="27" t="s">
        <v>1291</v>
      </c>
      <c r="C985" s="27" t="s">
        <v>982</v>
      </c>
      <c r="D985" s="28">
        <f>SUMIFS(D986:D1509,K986:K1509,"0",B986:B1509,"5 1 1 3 4 12 31111 6 M78 27000 184*")-SUMIFS(E986:E1509,K986:K1509,"0",B986:B1509,"5 1 1 3 4 12 31111 6 M78 27000 184*")</f>
        <v>0</v>
      </c>
      <c r="E985" s="29"/>
      <c r="F985" s="28">
        <f>SUMIFS(F986:F1509,K986:K1509,"0",B986:B1509,"5 1 1 3 4 12 31111 6 M78 27000 184*")</f>
        <v>60506.399999999994</v>
      </c>
      <c r="G985" s="28">
        <f>SUMIFS(G986:G1509,K986:K1509,"0",B986:B1509,"5 1 1 3 4 12 31111 6 M78 27000 184*")</f>
        <v>0</v>
      </c>
      <c r="H985" s="28">
        <f t="shared" si="19"/>
        <v>60506.399999999994</v>
      </c>
      <c r="I985" s="28"/>
      <c r="K985" t="s">
        <v>15</v>
      </c>
    </row>
    <row r="986" spans="2:11" ht="13" x14ac:dyDescent="0.15">
      <c r="B986" s="27" t="s">
        <v>1292</v>
      </c>
      <c r="C986" s="27" t="s">
        <v>170</v>
      </c>
      <c r="D986" s="28">
        <f>SUMIFS(D987:D1509,K987:K1509,"0",B987:B1509,"5 1 1 3 4 12 31111 6 M78 27000 184 00C*")-SUMIFS(E987:E1509,K987:K1509,"0",B987:B1509,"5 1 1 3 4 12 31111 6 M78 27000 184 00C*")</f>
        <v>0</v>
      </c>
      <c r="E986" s="29"/>
      <c r="F986" s="28">
        <f>SUMIFS(F987:F1509,K987:K1509,"0",B987:B1509,"5 1 1 3 4 12 31111 6 M78 27000 184 00C*")</f>
        <v>60506.399999999994</v>
      </c>
      <c r="G986" s="28">
        <f>SUMIFS(G987:G1509,K987:K1509,"0",B987:B1509,"5 1 1 3 4 12 31111 6 M78 27000 184 00C*")</f>
        <v>0</v>
      </c>
      <c r="H986" s="28">
        <f t="shared" si="19"/>
        <v>60506.399999999994</v>
      </c>
      <c r="I986" s="28"/>
      <c r="K986" t="s">
        <v>15</v>
      </c>
    </row>
    <row r="987" spans="2:11" ht="22" x14ac:dyDescent="0.15">
      <c r="B987" s="27" t="s">
        <v>1293</v>
      </c>
      <c r="C987" s="27" t="s">
        <v>9</v>
      </c>
      <c r="D987" s="28">
        <f>SUMIFS(D988:D1509,K988:K1509,"0",B988:B1509,"5 1 1 3 4 12 31111 6 M78 27000 184 00C 001*")-SUMIFS(E988:E1509,K988:K1509,"0",B988:B1509,"5 1 1 3 4 12 31111 6 M78 27000 184 00C 001*")</f>
        <v>0</v>
      </c>
      <c r="E987" s="29"/>
      <c r="F987" s="28">
        <f>SUMIFS(F988:F1509,K988:K1509,"0",B988:B1509,"5 1 1 3 4 12 31111 6 M78 27000 184 00C 001*")</f>
        <v>60506.399999999994</v>
      </c>
      <c r="G987" s="28">
        <f>SUMIFS(G988:G1509,K988:K1509,"0",B988:B1509,"5 1 1 3 4 12 31111 6 M78 27000 184 00C 001*")</f>
        <v>0</v>
      </c>
      <c r="H987" s="28">
        <f t="shared" si="19"/>
        <v>60506.399999999994</v>
      </c>
      <c r="I987" s="28"/>
      <c r="K987" t="s">
        <v>15</v>
      </c>
    </row>
    <row r="988" spans="2:11" ht="22" x14ac:dyDescent="0.15">
      <c r="B988" s="27" t="s">
        <v>1294</v>
      </c>
      <c r="C988" s="27" t="s">
        <v>1007</v>
      </c>
      <c r="D988" s="28">
        <f>SUMIFS(D989:D1509,K989:K1509,"0",B989:B1509,"5 1 1 3 4 12 31111 6 M78 27000 184 00C 001 13403*")-SUMIFS(E989:E1509,K989:K1509,"0",B989:B1509,"5 1 1 3 4 12 31111 6 M78 27000 184 00C 001 13403*")</f>
        <v>0</v>
      </c>
      <c r="E988" s="29"/>
      <c r="F988" s="28">
        <f>SUMIFS(F989:F1509,K989:K1509,"0",B989:B1509,"5 1 1 3 4 12 31111 6 M78 27000 184 00C 001 13403*")</f>
        <v>44709.84</v>
      </c>
      <c r="G988" s="28">
        <f>SUMIFS(G989:G1509,K989:K1509,"0",B989:B1509,"5 1 1 3 4 12 31111 6 M78 27000 184 00C 001 13403*")</f>
        <v>0</v>
      </c>
      <c r="H988" s="28">
        <f t="shared" si="19"/>
        <v>44709.84</v>
      </c>
      <c r="I988" s="28"/>
      <c r="K988" t="s">
        <v>15</v>
      </c>
    </row>
    <row r="989" spans="2:11" ht="22" x14ac:dyDescent="0.15">
      <c r="B989" s="27" t="s">
        <v>1295</v>
      </c>
      <c r="C989" s="27" t="s">
        <v>176</v>
      </c>
      <c r="D989" s="28">
        <f>SUMIFS(D990:D1509,K990:K1509,"0",B990:B1509,"5 1 1 3 4 12 31111 6 M78 27000 184 00C 001 13403 015*")-SUMIFS(E990:E1509,K990:K1509,"0",B990:B1509,"5 1 1 3 4 12 31111 6 M78 27000 184 00C 001 13403 015*")</f>
        <v>0</v>
      </c>
      <c r="E989" s="29"/>
      <c r="F989" s="28">
        <f>SUMIFS(F990:F1509,K990:K1509,"0",B990:B1509,"5 1 1 3 4 12 31111 6 M78 27000 184 00C 001 13403 015*")</f>
        <v>44709.84</v>
      </c>
      <c r="G989" s="28">
        <f>SUMIFS(G990:G1509,K990:K1509,"0",B990:B1509,"5 1 1 3 4 12 31111 6 M78 27000 184 00C 001 13403 015*")</f>
        <v>0</v>
      </c>
      <c r="H989" s="28">
        <f t="shared" si="19"/>
        <v>44709.84</v>
      </c>
      <c r="I989" s="28"/>
      <c r="K989" t="s">
        <v>15</v>
      </c>
    </row>
    <row r="990" spans="2:11" ht="22" x14ac:dyDescent="0.15">
      <c r="B990" s="27" t="s">
        <v>1296</v>
      </c>
      <c r="C990" s="27" t="s">
        <v>744</v>
      </c>
      <c r="D990" s="28">
        <f>SUMIFS(D991:D1509,K991:K1509,"0",B991:B1509,"5 1 1 3 4 12 31111 6 M78 27000 184 00C 001 13403 015 2111100*")-SUMIFS(E991:E1509,K991:K1509,"0",B991:B1509,"5 1 1 3 4 12 31111 6 M78 27000 184 00C 001 13403 015 2111100*")</f>
        <v>0</v>
      </c>
      <c r="E990" s="29"/>
      <c r="F990" s="28">
        <f>SUMIFS(F991:F1509,K991:K1509,"0",B991:B1509,"5 1 1 3 4 12 31111 6 M78 27000 184 00C 001 13403 015 2111100*")</f>
        <v>44709.84</v>
      </c>
      <c r="G990" s="28">
        <f>SUMIFS(G991:G1509,K991:K1509,"0",B991:B1509,"5 1 1 3 4 12 31111 6 M78 27000 184 00C 001 13403 015 2111100*")</f>
        <v>0</v>
      </c>
      <c r="H990" s="28">
        <f t="shared" si="19"/>
        <v>44709.84</v>
      </c>
      <c r="I990" s="28"/>
      <c r="K990" t="s">
        <v>15</v>
      </c>
    </row>
    <row r="991" spans="2:11" ht="22" x14ac:dyDescent="0.15">
      <c r="B991" s="27" t="s">
        <v>1297</v>
      </c>
      <c r="C991" s="27" t="s">
        <v>248</v>
      </c>
      <c r="D991" s="28">
        <f>SUMIFS(D992:D1509,K992:K1509,"0",B992:B1509,"5 1 1 3 4 12 31111 6 M78 27000 184 00C 001 13403 015 2111100 2024*")-SUMIFS(E992:E1509,K992:K1509,"0",B992:B1509,"5 1 1 3 4 12 31111 6 M78 27000 184 00C 001 13403 015 2111100 2024*")</f>
        <v>0</v>
      </c>
      <c r="E991" s="29"/>
      <c r="F991" s="28">
        <f>SUMIFS(F992:F1509,K992:K1509,"0",B992:B1509,"5 1 1 3 4 12 31111 6 M78 27000 184 00C 001 13403 015 2111100 2024*")</f>
        <v>44709.84</v>
      </c>
      <c r="G991" s="28">
        <f>SUMIFS(G992:G1509,K992:K1509,"0",B992:B1509,"5 1 1 3 4 12 31111 6 M78 27000 184 00C 001 13403 015 2111100 2024*")</f>
        <v>0</v>
      </c>
      <c r="H991" s="28">
        <f t="shared" si="19"/>
        <v>44709.84</v>
      </c>
      <c r="I991" s="28"/>
      <c r="K991" t="s">
        <v>15</v>
      </c>
    </row>
    <row r="992" spans="2:11" ht="22" x14ac:dyDescent="0.15">
      <c r="B992" s="27" t="s">
        <v>1298</v>
      </c>
      <c r="C992" s="27" t="s">
        <v>182</v>
      </c>
      <c r="D992" s="28">
        <f>SUMIFS(D993:D1509,K993:K1509,"0",B993:B1509,"5 1 1 3 4 12 31111 6 M78 27000 184 00C 001 13403 015 2111100 2024 00000000*")-SUMIFS(E993:E1509,K993:K1509,"0",B993:B1509,"5 1 1 3 4 12 31111 6 M78 27000 184 00C 001 13403 015 2111100 2024 00000000*")</f>
        <v>0</v>
      </c>
      <c r="E992" s="29"/>
      <c r="F992" s="28">
        <f>SUMIFS(F993:F1509,K993:K1509,"0",B993:B1509,"5 1 1 3 4 12 31111 6 M78 27000 184 00C 001 13403 015 2111100 2024 00000000*")</f>
        <v>44709.84</v>
      </c>
      <c r="G992" s="28">
        <f>SUMIFS(G993:G1509,K993:K1509,"0",B993:B1509,"5 1 1 3 4 12 31111 6 M78 27000 184 00C 001 13403 015 2111100 2024 00000000*")</f>
        <v>0</v>
      </c>
      <c r="H992" s="28">
        <f t="shared" ref="H992:H1055" si="20">D992 + F992 - G992</f>
        <v>44709.84</v>
      </c>
      <c r="I992" s="28"/>
      <c r="K992" t="s">
        <v>15</v>
      </c>
    </row>
    <row r="993" spans="2:11" ht="33" x14ac:dyDescent="0.15">
      <c r="B993" s="27" t="s">
        <v>1299</v>
      </c>
      <c r="C993" s="27" t="s">
        <v>9</v>
      </c>
      <c r="D993" s="28">
        <f>SUMIFS(D994:D1509,K994:K1509,"0",B994:B1509,"5 1 1 3 4 12 31111 6 M78 27000 184 00C 001 13403 015 2111100 2024 00000000 001*")-SUMIFS(E994:E1509,K994:K1509,"0",B994:B1509,"5 1 1 3 4 12 31111 6 M78 27000 184 00C 001 13403 015 2111100 2024 00000000 001*")</f>
        <v>0</v>
      </c>
      <c r="E993" s="29"/>
      <c r="F993" s="28">
        <f>SUMIFS(F994:F1509,K994:K1509,"0",B994:B1509,"5 1 1 3 4 12 31111 6 M78 27000 184 00C 001 13403 015 2111100 2024 00000000 001*")</f>
        <v>44709.84</v>
      </c>
      <c r="G993" s="28">
        <f>SUMIFS(G994:G1509,K994:K1509,"0",B994:B1509,"5 1 1 3 4 12 31111 6 M78 27000 184 00C 001 13403 015 2111100 2024 00000000 001*")</f>
        <v>0</v>
      </c>
      <c r="H993" s="28">
        <f t="shared" si="20"/>
        <v>44709.84</v>
      </c>
      <c r="I993" s="28"/>
      <c r="K993" t="s">
        <v>15</v>
      </c>
    </row>
    <row r="994" spans="2:11" ht="33" x14ac:dyDescent="0.15">
      <c r="B994" s="27" t="s">
        <v>1300</v>
      </c>
      <c r="C994" s="27" t="s">
        <v>992</v>
      </c>
      <c r="D994" s="28">
        <f>SUMIFS(D995:D1509,K995:K1509,"0",B995:B1509,"5 1 1 3 4 12 31111 6 M78 27000 184 00C 001 13403 015 2111100 2024 00000000 001 001*")-SUMIFS(E995:E1509,K995:K1509,"0",B995:B1509,"5 1 1 3 4 12 31111 6 M78 27000 184 00C 001 13403 015 2111100 2024 00000000 001 001*")</f>
        <v>0</v>
      </c>
      <c r="E994" s="29"/>
      <c r="F994" s="28">
        <f>SUMIFS(F995:F1509,K995:K1509,"0",B995:B1509,"5 1 1 3 4 12 31111 6 M78 27000 184 00C 001 13403 015 2111100 2024 00000000 001 001*")</f>
        <v>44709.84</v>
      </c>
      <c r="G994" s="28">
        <f>SUMIFS(G995:G1509,K995:K1509,"0",B995:B1509,"5 1 1 3 4 12 31111 6 M78 27000 184 00C 001 13403 015 2111100 2024 00000000 001 001*")</f>
        <v>0</v>
      </c>
      <c r="H994" s="28">
        <f t="shared" si="20"/>
        <v>44709.84</v>
      </c>
      <c r="I994" s="28"/>
      <c r="K994" t="s">
        <v>15</v>
      </c>
    </row>
    <row r="995" spans="2:11" ht="33" x14ac:dyDescent="0.15">
      <c r="B995" s="30" t="s">
        <v>1301</v>
      </c>
      <c r="C995" s="30" t="s">
        <v>1015</v>
      </c>
      <c r="D995" s="31">
        <v>0</v>
      </c>
      <c r="E995" s="31"/>
      <c r="F995" s="31">
        <v>44709.84</v>
      </c>
      <c r="G995" s="31">
        <v>0</v>
      </c>
      <c r="H995" s="31">
        <f t="shared" si="20"/>
        <v>44709.84</v>
      </c>
      <c r="I995" s="31"/>
      <c r="K995" t="s">
        <v>38</v>
      </c>
    </row>
    <row r="996" spans="2:11" ht="22" x14ac:dyDescent="0.15">
      <c r="B996" s="27" t="s">
        <v>1302</v>
      </c>
      <c r="C996" s="27" t="s">
        <v>1017</v>
      </c>
      <c r="D996" s="28">
        <f>SUMIFS(D997:D1509,K997:K1509,"0",B997:B1509,"5 1 1 3 4 12 31111 6 M78 27000 184 00C 001 13406*")-SUMIFS(E997:E1509,K997:K1509,"0",B997:B1509,"5 1 1 3 4 12 31111 6 M78 27000 184 00C 001 13406*")</f>
        <v>0</v>
      </c>
      <c r="E996" s="29"/>
      <c r="F996" s="28">
        <f>SUMIFS(F997:F1509,K997:K1509,"0",B997:B1509,"5 1 1 3 4 12 31111 6 M78 27000 184 00C 001 13406*")</f>
        <v>15796.56</v>
      </c>
      <c r="G996" s="28">
        <f>SUMIFS(G997:G1509,K997:K1509,"0",B997:B1509,"5 1 1 3 4 12 31111 6 M78 27000 184 00C 001 13406*")</f>
        <v>0</v>
      </c>
      <c r="H996" s="28">
        <f t="shared" si="20"/>
        <v>15796.56</v>
      </c>
      <c r="I996" s="28"/>
      <c r="K996" t="s">
        <v>15</v>
      </c>
    </row>
    <row r="997" spans="2:11" ht="22" x14ac:dyDescent="0.15">
      <c r="B997" s="27" t="s">
        <v>1303</v>
      </c>
      <c r="C997" s="27" t="s">
        <v>176</v>
      </c>
      <c r="D997" s="28">
        <f>SUMIFS(D998:D1509,K998:K1509,"0",B998:B1509,"5 1 1 3 4 12 31111 6 M78 27000 184 00C 001 13406 015*")-SUMIFS(E998:E1509,K998:K1509,"0",B998:B1509,"5 1 1 3 4 12 31111 6 M78 27000 184 00C 001 13406 015*")</f>
        <v>0</v>
      </c>
      <c r="E997" s="29"/>
      <c r="F997" s="28">
        <f>SUMIFS(F998:F1509,K998:K1509,"0",B998:B1509,"5 1 1 3 4 12 31111 6 M78 27000 184 00C 001 13406 015*")</f>
        <v>15796.56</v>
      </c>
      <c r="G997" s="28">
        <f>SUMIFS(G998:G1509,K998:K1509,"0",B998:B1509,"5 1 1 3 4 12 31111 6 M78 27000 184 00C 001 13406 015*")</f>
        <v>0</v>
      </c>
      <c r="H997" s="28">
        <f t="shared" si="20"/>
        <v>15796.56</v>
      </c>
      <c r="I997" s="28"/>
      <c r="K997" t="s">
        <v>15</v>
      </c>
    </row>
    <row r="998" spans="2:11" ht="22" x14ac:dyDescent="0.15">
      <c r="B998" s="27" t="s">
        <v>1304</v>
      </c>
      <c r="C998" s="27" t="s">
        <v>744</v>
      </c>
      <c r="D998" s="28">
        <f>SUMIFS(D999:D1509,K999:K1509,"0",B999:B1509,"5 1 1 3 4 12 31111 6 M78 27000 184 00C 001 13406 015 2111100*")-SUMIFS(E999:E1509,K999:K1509,"0",B999:B1509,"5 1 1 3 4 12 31111 6 M78 27000 184 00C 001 13406 015 2111100*")</f>
        <v>0</v>
      </c>
      <c r="E998" s="29"/>
      <c r="F998" s="28">
        <f>SUMIFS(F999:F1509,K999:K1509,"0",B999:B1509,"5 1 1 3 4 12 31111 6 M78 27000 184 00C 001 13406 015 2111100*")</f>
        <v>15796.56</v>
      </c>
      <c r="G998" s="28">
        <f>SUMIFS(G999:G1509,K999:K1509,"0",B999:B1509,"5 1 1 3 4 12 31111 6 M78 27000 184 00C 001 13406 015 2111100*")</f>
        <v>0</v>
      </c>
      <c r="H998" s="28">
        <f t="shared" si="20"/>
        <v>15796.56</v>
      </c>
      <c r="I998" s="28"/>
      <c r="K998" t="s">
        <v>15</v>
      </c>
    </row>
    <row r="999" spans="2:11" ht="22" x14ac:dyDescent="0.15">
      <c r="B999" s="27" t="s">
        <v>1305</v>
      </c>
      <c r="C999" s="27" t="s">
        <v>248</v>
      </c>
      <c r="D999" s="28">
        <f>SUMIFS(D1000:D1509,K1000:K1509,"0",B1000:B1509,"5 1 1 3 4 12 31111 6 M78 27000 184 00C 001 13406 015 2111100 2024*")-SUMIFS(E1000:E1509,K1000:K1509,"0",B1000:B1509,"5 1 1 3 4 12 31111 6 M78 27000 184 00C 001 13406 015 2111100 2024*")</f>
        <v>0</v>
      </c>
      <c r="E999" s="29"/>
      <c r="F999" s="28">
        <f>SUMIFS(F1000:F1509,K1000:K1509,"0",B1000:B1509,"5 1 1 3 4 12 31111 6 M78 27000 184 00C 001 13406 015 2111100 2024*")</f>
        <v>15796.56</v>
      </c>
      <c r="G999" s="28">
        <f>SUMIFS(G1000:G1509,K1000:K1509,"0",B1000:B1509,"5 1 1 3 4 12 31111 6 M78 27000 184 00C 001 13406 015 2111100 2024*")</f>
        <v>0</v>
      </c>
      <c r="H999" s="28">
        <f t="shared" si="20"/>
        <v>15796.56</v>
      </c>
      <c r="I999" s="28"/>
      <c r="K999" t="s">
        <v>15</v>
      </c>
    </row>
    <row r="1000" spans="2:11" ht="22" x14ac:dyDescent="0.15">
      <c r="B1000" s="27" t="s">
        <v>1306</v>
      </c>
      <c r="C1000" s="27" t="s">
        <v>182</v>
      </c>
      <c r="D1000" s="28">
        <f>SUMIFS(D1001:D1509,K1001:K1509,"0",B1001:B1509,"5 1 1 3 4 12 31111 6 M78 27000 184 00C 001 13406 015 2111100 2024 00000000*")-SUMIFS(E1001:E1509,K1001:K1509,"0",B1001:B1509,"5 1 1 3 4 12 31111 6 M78 27000 184 00C 001 13406 015 2111100 2024 00000000*")</f>
        <v>0</v>
      </c>
      <c r="E1000" s="29"/>
      <c r="F1000" s="28">
        <f>SUMIFS(F1001:F1509,K1001:K1509,"0",B1001:B1509,"5 1 1 3 4 12 31111 6 M78 27000 184 00C 001 13406 015 2111100 2024 00000000*")</f>
        <v>15796.56</v>
      </c>
      <c r="G1000" s="28">
        <f>SUMIFS(G1001:G1509,K1001:K1509,"0",B1001:B1509,"5 1 1 3 4 12 31111 6 M78 27000 184 00C 001 13406 015 2111100 2024 00000000*")</f>
        <v>0</v>
      </c>
      <c r="H1000" s="28">
        <f t="shared" si="20"/>
        <v>15796.56</v>
      </c>
      <c r="I1000" s="28"/>
      <c r="K1000" t="s">
        <v>15</v>
      </c>
    </row>
    <row r="1001" spans="2:11" ht="33" x14ac:dyDescent="0.15">
      <c r="B1001" s="27" t="s">
        <v>1307</v>
      </c>
      <c r="C1001" s="27" t="s">
        <v>9</v>
      </c>
      <c r="D1001" s="28">
        <f>SUMIFS(D1002:D1509,K1002:K1509,"0",B1002:B1509,"5 1 1 3 4 12 31111 6 M78 27000 184 00C 001 13406 015 2111100 2024 00000000 001*")-SUMIFS(E1002:E1509,K1002:K1509,"0",B1002:B1509,"5 1 1 3 4 12 31111 6 M78 27000 184 00C 001 13406 015 2111100 2024 00000000 001*")</f>
        <v>0</v>
      </c>
      <c r="E1001" s="29"/>
      <c r="F1001" s="28">
        <f>SUMIFS(F1002:F1509,K1002:K1509,"0",B1002:B1509,"5 1 1 3 4 12 31111 6 M78 27000 184 00C 001 13406 015 2111100 2024 00000000 001*")</f>
        <v>15796.56</v>
      </c>
      <c r="G1001" s="28">
        <f>SUMIFS(G1002:G1509,K1002:K1509,"0",B1002:B1509,"5 1 1 3 4 12 31111 6 M78 27000 184 00C 001 13406 015 2111100 2024 00000000 001*")</f>
        <v>0</v>
      </c>
      <c r="H1001" s="28">
        <f t="shared" si="20"/>
        <v>15796.56</v>
      </c>
      <c r="I1001" s="28"/>
      <c r="K1001" t="s">
        <v>15</v>
      </c>
    </row>
    <row r="1002" spans="2:11" ht="33" x14ac:dyDescent="0.15">
      <c r="B1002" s="27" t="s">
        <v>1308</v>
      </c>
      <c r="C1002" s="27" t="s">
        <v>992</v>
      </c>
      <c r="D1002" s="28">
        <f>SUMIFS(D1003:D1509,K1003:K1509,"0",B1003:B1509,"5 1 1 3 4 12 31111 6 M78 27000 184 00C 001 13406 015 2111100 2024 00000000 001 001*")-SUMIFS(E1003:E1509,K1003:K1509,"0",B1003:B1509,"5 1 1 3 4 12 31111 6 M78 27000 184 00C 001 13406 015 2111100 2024 00000000 001 001*")</f>
        <v>0</v>
      </c>
      <c r="E1002" s="29"/>
      <c r="F1002" s="28">
        <f>SUMIFS(F1003:F1509,K1003:K1509,"0",B1003:B1509,"5 1 1 3 4 12 31111 6 M78 27000 184 00C 001 13406 015 2111100 2024 00000000 001 001*")</f>
        <v>15796.56</v>
      </c>
      <c r="G1002" s="28">
        <f>SUMIFS(G1003:G1509,K1003:K1509,"0",B1003:B1509,"5 1 1 3 4 12 31111 6 M78 27000 184 00C 001 13406 015 2111100 2024 00000000 001 001*")</f>
        <v>0</v>
      </c>
      <c r="H1002" s="28">
        <f t="shared" si="20"/>
        <v>15796.56</v>
      </c>
      <c r="I1002" s="28"/>
      <c r="K1002" t="s">
        <v>15</v>
      </c>
    </row>
    <row r="1003" spans="2:11" ht="33" x14ac:dyDescent="0.15">
      <c r="B1003" s="30" t="s">
        <v>1309</v>
      </c>
      <c r="C1003" s="30" t="s">
        <v>1025</v>
      </c>
      <c r="D1003" s="31">
        <v>0</v>
      </c>
      <c r="E1003" s="31"/>
      <c r="F1003" s="31">
        <v>15796.56</v>
      </c>
      <c r="G1003" s="31">
        <v>0</v>
      </c>
      <c r="H1003" s="31">
        <f t="shared" si="20"/>
        <v>15796.56</v>
      </c>
      <c r="I1003" s="31"/>
      <c r="K1003" t="s">
        <v>38</v>
      </c>
    </row>
    <row r="1004" spans="2:11" ht="13" x14ac:dyDescent="0.15">
      <c r="B1004" s="27" t="s">
        <v>1310</v>
      </c>
      <c r="C1004" s="27" t="s">
        <v>1311</v>
      </c>
      <c r="D1004" s="28">
        <f>SUMIFS(D1005:D1509,K1005:K1509,"0",B1005:B1509,"5 1 2*")-SUMIFS(E1005:E1509,K1005:K1509,"0",B1005:B1509,"5 1 2*")</f>
        <v>0</v>
      </c>
      <c r="E1004" s="29"/>
      <c r="F1004" s="28">
        <f>SUMIFS(F1005:F1509,K1005:K1509,"0",B1005:B1509,"5 1 2*")</f>
        <v>2295009.8899999997</v>
      </c>
      <c r="G1004" s="28">
        <f>SUMIFS(G1005:G1509,K1005:K1509,"0",B1005:B1509,"5 1 2*")</f>
        <v>0</v>
      </c>
      <c r="H1004" s="28">
        <f t="shared" si="20"/>
        <v>2295009.8899999997</v>
      </c>
      <c r="I1004" s="28"/>
      <c r="K1004" t="s">
        <v>15</v>
      </c>
    </row>
    <row r="1005" spans="2:11" ht="22" x14ac:dyDescent="0.15">
      <c r="B1005" s="27" t="s">
        <v>1312</v>
      </c>
      <c r="C1005" s="27" t="s">
        <v>1313</v>
      </c>
      <c r="D1005" s="28">
        <f>SUMIFS(D1006:D1509,K1006:K1509,"0",B1006:B1509,"5 1 2 1*")-SUMIFS(E1006:E1509,K1006:K1509,"0",B1006:B1509,"5 1 2 1*")</f>
        <v>0</v>
      </c>
      <c r="E1005" s="29"/>
      <c r="F1005" s="28">
        <f>SUMIFS(F1006:F1509,K1006:K1509,"0",B1006:B1509,"5 1 2 1*")</f>
        <v>987108.85</v>
      </c>
      <c r="G1005" s="28">
        <f>SUMIFS(G1006:G1509,K1006:K1509,"0",B1006:B1509,"5 1 2 1*")</f>
        <v>0</v>
      </c>
      <c r="H1005" s="28">
        <f t="shared" si="20"/>
        <v>987108.85</v>
      </c>
      <c r="I1005" s="28"/>
      <c r="K1005" t="s">
        <v>15</v>
      </c>
    </row>
    <row r="1006" spans="2:11" ht="13" x14ac:dyDescent="0.15">
      <c r="B1006" s="27" t="s">
        <v>1314</v>
      </c>
      <c r="C1006" s="27" t="s">
        <v>1315</v>
      </c>
      <c r="D1006" s="28">
        <f>SUMIFS(D1007:D1509,K1007:K1509,"0",B1007:B1509,"5 1 2 1 1*")-SUMIFS(E1007:E1509,K1007:K1509,"0",B1007:B1509,"5 1 2 1 1*")</f>
        <v>0</v>
      </c>
      <c r="E1006" s="29"/>
      <c r="F1006" s="28">
        <f>SUMIFS(F1007:F1509,K1007:K1509,"0",B1007:B1509,"5 1 2 1 1*")</f>
        <v>372899.72</v>
      </c>
      <c r="G1006" s="28">
        <f>SUMIFS(G1007:G1509,K1007:K1509,"0",B1007:B1509,"5 1 2 1 1*")</f>
        <v>0</v>
      </c>
      <c r="H1006" s="28">
        <f t="shared" si="20"/>
        <v>372899.72</v>
      </c>
      <c r="I1006" s="28"/>
      <c r="K1006" t="s">
        <v>15</v>
      </c>
    </row>
    <row r="1007" spans="2:11" ht="13" x14ac:dyDescent="0.15">
      <c r="B1007" s="27" t="s">
        <v>1316</v>
      </c>
      <c r="C1007" s="27" t="s">
        <v>26</v>
      </c>
      <c r="D1007" s="28">
        <f>SUMIFS(D1008:D1509,K1008:K1509,"0",B1008:B1509,"5 1 2 1 1 12*")-SUMIFS(E1008:E1509,K1008:K1509,"0",B1008:B1509,"5 1 2 1 1 12*")</f>
        <v>0</v>
      </c>
      <c r="E1007" s="29"/>
      <c r="F1007" s="28">
        <f>SUMIFS(F1008:F1509,K1008:K1509,"0",B1008:B1509,"5 1 2 1 1 12*")</f>
        <v>372899.72</v>
      </c>
      <c r="G1007" s="28">
        <f>SUMIFS(G1008:G1509,K1008:K1509,"0",B1008:B1509,"5 1 2 1 1 12*")</f>
        <v>0</v>
      </c>
      <c r="H1007" s="28">
        <f t="shared" si="20"/>
        <v>372899.72</v>
      </c>
      <c r="I1007" s="28"/>
      <c r="K1007" t="s">
        <v>15</v>
      </c>
    </row>
    <row r="1008" spans="2:11" ht="13" x14ac:dyDescent="0.15">
      <c r="B1008" s="27" t="s">
        <v>1317</v>
      </c>
      <c r="C1008" s="27" t="s">
        <v>28</v>
      </c>
      <c r="D1008" s="28">
        <f>SUMIFS(D1009:D1509,K1009:K1509,"0",B1009:B1509,"5 1 2 1 1 12 31111*")-SUMIFS(E1009:E1509,K1009:K1509,"0",B1009:B1509,"5 1 2 1 1 12 31111*")</f>
        <v>0</v>
      </c>
      <c r="E1008" s="29"/>
      <c r="F1008" s="28">
        <f>SUMIFS(F1009:F1509,K1009:K1509,"0",B1009:B1509,"5 1 2 1 1 12 31111*")</f>
        <v>372899.72</v>
      </c>
      <c r="G1008" s="28">
        <f>SUMIFS(G1009:G1509,K1009:K1509,"0",B1009:B1509,"5 1 2 1 1 12 31111*")</f>
        <v>0</v>
      </c>
      <c r="H1008" s="28">
        <f t="shared" si="20"/>
        <v>372899.72</v>
      </c>
      <c r="I1008" s="28"/>
      <c r="K1008" t="s">
        <v>15</v>
      </c>
    </row>
    <row r="1009" spans="2:11" ht="13" x14ac:dyDescent="0.15">
      <c r="B1009" s="27" t="s">
        <v>1318</v>
      </c>
      <c r="C1009" s="27" t="s">
        <v>30</v>
      </c>
      <c r="D1009" s="28">
        <f>SUMIFS(D1010:D1509,K1010:K1509,"0",B1010:B1509,"5 1 2 1 1 12 31111 6*")-SUMIFS(E1010:E1509,K1010:K1509,"0",B1010:B1509,"5 1 2 1 1 12 31111 6*")</f>
        <v>0</v>
      </c>
      <c r="E1009" s="29"/>
      <c r="F1009" s="28">
        <f>SUMIFS(F1010:F1509,K1010:K1509,"0",B1010:B1509,"5 1 2 1 1 12 31111 6*")</f>
        <v>372899.72</v>
      </c>
      <c r="G1009" s="28">
        <f>SUMIFS(G1010:G1509,K1010:K1509,"0",B1010:B1509,"5 1 2 1 1 12 31111 6*")</f>
        <v>0</v>
      </c>
      <c r="H1009" s="28">
        <f t="shared" si="20"/>
        <v>372899.72</v>
      </c>
      <c r="I1009" s="28"/>
      <c r="K1009" t="s">
        <v>15</v>
      </c>
    </row>
    <row r="1010" spans="2:11" ht="13" x14ac:dyDescent="0.15">
      <c r="B1010" s="27" t="s">
        <v>1319</v>
      </c>
      <c r="C1010" s="27" t="s">
        <v>733</v>
      </c>
      <c r="D1010" s="28">
        <f>SUMIFS(D1011:D1509,K1011:K1509,"0",B1011:B1509,"5 1 2 1 1 12 31111 6 M78*")-SUMIFS(E1011:E1509,K1011:K1509,"0",B1011:B1509,"5 1 2 1 1 12 31111 6 M78*")</f>
        <v>0</v>
      </c>
      <c r="E1010" s="29"/>
      <c r="F1010" s="28">
        <f>SUMIFS(F1011:F1509,K1011:K1509,"0",B1011:B1509,"5 1 2 1 1 12 31111 6 M78*")</f>
        <v>372899.72</v>
      </c>
      <c r="G1010" s="28">
        <f>SUMIFS(G1011:G1509,K1011:K1509,"0",B1011:B1509,"5 1 2 1 1 12 31111 6 M78*")</f>
        <v>0</v>
      </c>
      <c r="H1010" s="28">
        <f t="shared" si="20"/>
        <v>372899.72</v>
      </c>
      <c r="I1010" s="28"/>
      <c r="K1010" t="s">
        <v>15</v>
      </c>
    </row>
    <row r="1011" spans="2:11" ht="13" x14ac:dyDescent="0.15">
      <c r="B1011" s="27" t="s">
        <v>1320</v>
      </c>
      <c r="C1011" s="27" t="s">
        <v>8</v>
      </c>
      <c r="D1011" s="28">
        <f>SUMIFS(D1012:D1509,K1012:K1509,"0",B1012:B1509,"5 1 2 1 1 12 31111 6 M78 07000*")-SUMIFS(E1012:E1509,K1012:K1509,"0",B1012:B1509,"5 1 2 1 1 12 31111 6 M78 07000*")</f>
        <v>0</v>
      </c>
      <c r="E1011" s="29"/>
      <c r="F1011" s="28">
        <f>SUMIFS(F1012:F1509,K1012:K1509,"0",B1012:B1509,"5 1 2 1 1 12 31111 6 M78 07000*")</f>
        <v>372899.72</v>
      </c>
      <c r="G1011" s="28">
        <f>SUMIFS(G1012:G1509,K1012:K1509,"0",B1012:B1509,"5 1 2 1 1 12 31111 6 M78 07000*")</f>
        <v>0</v>
      </c>
      <c r="H1011" s="28">
        <f t="shared" si="20"/>
        <v>372899.72</v>
      </c>
      <c r="I1011" s="28"/>
      <c r="K1011" t="s">
        <v>15</v>
      </c>
    </row>
    <row r="1012" spans="2:11" ht="13" x14ac:dyDescent="0.15">
      <c r="B1012" s="27" t="s">
        <v>1321</v>
      </c>
      <c r="C1012" s="27" t="s">
        <v>168</v>
      </c>
      <c r="D1012" s="28">
        <f>SUMIFS(D1013:D1509,K1013:K1509,"0",B1013:B1509,"5 1 2 1 1 12 31111 6 M78 07000 151*")-SUMIFS(E1013:E1509,K1013:K1509,"0",B1013:B1509,"5 1 2 1 1 12 31111 6 M78 07000 151*")</f>
        <v>0</v>
      </c>
      <c r="E1012" s="29"/>
      <c r="F1012" s="28">
        <f>SUMIFS(F1013:F1509,K1013:K1509,"0",B1013:B1509,"5 1 2 1 1 12 31111 6 M78 07000 151*")</f>
        <v>372899.72</v>
      </c>
      <c r="G1012" s="28">
        <f>SUMIFS(G1013:G1509,K1013:K1509,"0",B1013:B1509,"5 1 2 1 1 12 31111 6 M78 07000 151*")</f>
        <v>0</v>
      </c>
      <c r="H1012" s="28">
        <f t="shared" si="20"/>
        <v>372899.72</v>
      </c>
      <c r="I1012" s="28"/>
      <c r="K1012" t="s">
        <v>15</v>
      </c>
    </row>
    <row r="1013" spans="2:11" ht="13" x14ac:dyDescent="0.15">
      <c r="B1013" s="27" t="s">
        <v>1322</v>
      </c>
      <c r="C1013" s="27" t="s">
        <v>170</v>
      </c>
      <c r="D1013" s="28">
        <f>SUMIFS(D1014:D1509,K1014:K1509,"0",B1014:B1509,"5 1 2 1 1 12 31111 6 M78 07000 151 00C*")-SUMIFS(E1014:E1509,K1014:K1509,"0",B1014:B1509,"5 1 2 1 1 12 31111 6 M78 07000 151 00C*")</f>
        <v>0</v>
      </c>
      <c r="E1013" s="29"/>
      <c r="F1013" s="28">
        <f>SUMIFS(F1014:F1509,K1014:K1509,"0",B1014:B1509,"5 1 2 1 1 12 31111 6 M78 07000 151 00C*")</f>
        <v>372899.72</v>
      </c>
      <c r="G1013" s="28">
        <f>SUMIFS(G1014:G1509,K1014:K1509,"0",B1014:B1509,"5 1 2 1 1 12 31111 6 M78 07000 151 00C*")</f>
        <v>0</v>
      </c>
      <c r="H1013" s="28">
        <f t="shared" si="20"/>
        <v>372899.72</v>
      </c>
      <c r="I1013" s="28"/>
      <c r="K1013" t="s">
        <v>15</v>
      </c>
    </row>
    <row r="1014" spans="2:11" ht="22" x14ac:dyDescent="0.15">
      <c r="B1014" s="27" t="s">
        <v>1323</v>
      </c>
      <c r="C1014" s="27" t="s">
        <v>9</v>
      </c>
      <c r="D1014" s="28">
        <f>SUMIFS(D1015:D1509,K1015:K1509,"0",B1015:B1509,"5 1 2 1 1 12 31111 6 M78 07000 151 00C 001*")-SUMIFS(E1015:E1509,K1015:K1509,"0",B1015:B1509,"5 1 2 1 1 12 31111 6 M78 07000 151 00C 001*")</f>
        <v>0</v>
      </c>
      <c r="E1014" s="29"/>
      <c r="F1014" s="28">
        <f>SUMIFS(F1015:F1509,K1015:K1509,"0",B1015:B1509,"5 1 2 1 1 12 31111 6 M78 07000 151 00C 001*")</f>
        <v>372899.72</v>
      </c>
      <c r="G1014" s="28">
        <f>SUMIFS(G1015:G1509,K1015:K1509,"0",B1015:B1509,"5 1 2 1 1 12 31111 6 M78 07000 151 00C 001*")</f>
        <v>0</v>
      </c>
      <c r="H1014" s="28">
        <f t="shared" si="20"/>
        <v>372899.72</v>
      </c>
      <c r="I1014" s="28"/>
      <c r="K1014" t="s">
        <v>15</v>
      </c>
    </row>
    <row r="1015" spans="2:11" ht="22" x14ac:dyDescent="0.15">
      <c r="B1015" s="27" t="s">
        <v>1324</v>
      </c>
      <c r="C1015" s="27" t="s">
        <v>1325</v>
      </c>
      <c r="D1015" s="28">
        <f>SUMIFS(D1016:D1509,K1016:K1509,"0",B1016:B1509,"5 1 2 1 1 12 31111 6 M78 07000 151 00C 001 21101*")-SUMIFS(E1016:E1509,K1016:K1509,"0",B1016:B1509,"5 1 2 1 1 12 31111 6 M78 07000 151 00C 001 21101*")</f>
        <v>0</v>
      </c>
      <c r="E1015" s="29"/>
      <c r="F1015" s="28">
        <f>SUMIFS(F1016:F1509,K1016:K1509,"0",B1016:B1509,"5 1 2 1 1 12 31111 6 M78 07000 151 00C 001 21101*")</f>
        <v>372899.72</v>
      </c>
      <c r="G1015" s="28">
        <f>SUMIFS(G1016:G1509,K1016:K1509,"0",B1016:B1509,"5 1 2 1 1 12 31111 6 M78 07000 151 00C 001 21101*")</f>
        <v>0</v>
      </c>
      <c r="H1015" s="28">
        <f t="shared" si="20"/>
        <v>372899.72</v>
      </c>
      <c r="I1015" s="28"/>
      <c r="K1015" t="s">
        <v>15</v>
      </c>
    </row>
    <row r="1016" spans="2:11" ht="22" x14ac:dyDescent="0.15">
      <c r="B1016" s="27" t="s">
        <v>1326</v>
      </c>
      <c r="C1016" s="27" t="s">
        <v>176</v>
      </c>
      <c r="D1016" s="28">
        <f>SUMIFS(D1017:D1509,K1017:K1509,"0",B1017:B1509,"5 1 2 1 1 12 31111 6 M78 07000 151 00C 001 21101 015*")-SUMIFS(E1017:E1509,K1017:K1509,"0",B1017:B1509,"5 1 2 1 1 12 31111 6 M78 07000 151 00C 001 21101 015*")</f>
        <v>0</v>
      </c>
      <c r="E1016" s="29"/>
      <c r="F1016" s="28">
        <f>SUMIFS(F1017:F1509,K1017:K1509,"0",B1017:B1509,"5 1 2 1 1 12 31111 6 M78 07000 151 00C 001 21101 015*")</f>
        <v>372899.72</v>
      </c>
      <c r="G1016" s="28">
        <f>SUMIFS(G1017:G1509,K1017:K1509,"0",B1017:B1509,"5 1 2 1 1 12 31111 6 M78 07000 151 00C 001 21101 015*")</f>
        <v>0</v>
      </c>
      <c r="H1016" s="28">
        <f t="shared" si="20"/>
        <v>372899.72</v>
      </c>
      <c r="I1016" s="28"/>
      <c r="K1016" t="s">
        <v>15</v>
      </c>
    </row>
    <row r="1017" spans="2:11" ht="22" x14ac:dyDescent="0.15">
      <c r="B1017" s="27" t="s">
        <v>1327</v>
      </c>
      <c r="C1017" s="27" t="s">
        <v>178</v>
      </c>
      <c r="D1017" s="28">
        <f>SUMIFS(D1018:D1509,K1018:K1509,"0",B1018:B1509,"5 1 2 1 1 12 31111 6 M78 07000 151 00C 001 21101 015 2112000*")-SUMIFS(E1018:E1509,K1018:K1509,"0",B1018:B1509,"5 1 2 1 1 12 31111 6 M78 07000 151 00C 001 21101 015 2112000*")</f>
        <v>0</v>
      </c>
      <c r="E1017" s="29"/>
      <c r="F1017" s="28">
        <f>SUMIFS(F1018:F1509,K1018:K1509,"0",B1018:B1509,"5 1 2 1 1 12 31111 6 M78 07000 151 00C 001 21101 015 2112000*")</f>
        <v>372899.72</v>
      </c>
      <c r="G1017" s="28">
        <f>SUMIFS(G1018:G1509,K1018:K1509,"0",B1018:B1509,"5 1 2 1 1 12 31111 6 M78 07000 151 00C 001 21101 015 2112000*")</f>
        <v>0</v>
      </c>
      <c r="H1017" s="28">
        <f t="shared" si="20"/>
        <v>372899.72</v>
      </c>
      <c r="I1017" s="28"/>
      <c r="K1017" t="s">
        <v>15</v>
      </c>
    </row>
    <row r="1018" spans="2:11" ht="22" x14ac:dyDescent="0.15">
      <c r="B1018" s="27" t="s">
        <v>1328</v>
      </c>
      <c r="C1018" s="27" t="s">
        <v>248</v>
      </c>
      <c r="D1018" s="28">
        <f>SUMIFS(D1019:D1509,K1019:K1509,"0",B1019:B1509,"5 1 2 1 1 12 31111 6 M78 07000 151 00C 001 21101 015 2112000 2024*")-SUMIFS(E1019:E1509,K1019:K1509,"0",B1019:B1509,"5 1 2 1 1 12 31111 6 M78 07000 151 00C 001 21101 015 2112000 2024*")</f>
        <v>0</v>
      </c>
      <c r="E1018" s="29"/>
      <c r="F1018" s="28">
        <f>SUMIFS(F1019:F1509,K1019:K1509,"0",B1019:B1509,"5 1 2 1 1 12 31111 6 M78 07000 151 00C 001 21101 015 2112000 2024*")</f>
        <v>372899.72</v>
      </c>
      <c r="G1018" s="28">
        <f>SUMIFS(G1019:G1509,K1019:K1509,"0",B1019:B1509,"5 1 2 1 1 12 31111 6 M78 07000 151 00C 001 21101 015 2112000 2024*")</f>
        <v>0</v>
      </c>
      <c r="H1018" s="28">
        <f t="shared" si="20"/>
        <v>372899.72</v>
      </c>
      <c r="I1018" s="28"/>
      <c r="K1018" t="s">
        <v>15</v>
      </c>
    </row>
    <row r="1019" spans="2:11" ht="22" x14ac:dyDescent="0.15">
      <c r="B1019" s="27" t="s">
        <v>1329</v>
      </c>
      <c r="C1019" s="27" t="s">
        <v>182</v>
      </c>
      <c r="D1019" s="28">
        <f>SUMIFS(D1020:D1509,K1020:K1509,"0",B1020:B1509,"5 1 2 1 1 12 31111 6 M78 07000 151 00C 001 21101 015 2112000 2024 00000000*")-SUMIFS(E1020:E1509,K1020:K1509,"0",B1020:B1509,"5 1 2 1 1 12 31111 6 M78 07000 151 00C 001 21101 015 2112000 2024 00000000*")</f>
        <v>0</v>
      </c>
      <c r="E1019" s="29"/>
      <c r="F1019" s="28">
        <f>SUMIFS(F1020:F1509,K1020:K1509,"0",B1020:B1509,"5 1 2 1 1 12 31111 6 M78 07000 151 00C 001 21101 015 2112000 2024 00000000*")</f>
        <v>372899.72</v>
      </c>
      <c r="G1019" s="28">
        <f>SUMIFS(G1020:G1509,K1020:K1509,"0",B1020:B1509,"5 1 2 1 1 12 31111 6 M78 07000 151 00C 001 21101 015 2112000 2024 00000000*")</f>
        <v>0</v>
      </c>
      <c r="H1019" s="28">
        <f t="shared" si="20"/>
        <v>372899.72</v>
      </c>
      <c r="I1019" s="28"/>
      <c r="K1019" t="s">
        <v>15</v>
      </c>
    </row>
    <row r="1020" spans="2:11" ht="33" x14ac:dyDescent="0.15">
      <c r="B1020" s="27" t="s">
        <v>1330</v>
      </c>
      <c r="C1020" s="27" t="s">
        <v>9</v>
      </c>
      <c r="D1020" s="28">
        <f>SUMIFS(D1021:D1509,K1021:K1509,"0",B1021:B1509,"5 1 2 1 1 12 31111 6 M78 07000 151 00C 001 21101 015 2112000 2024 00000000 001*")-SUMIFS(E1021:E1509,K1021:K1509,"0",B1021:B1509,"5 1 2 1 1 12 31111 6 M78 07000 151 00C 001 21101 015 2112000 2024 00000000 001*")</f>
        <v>0</v>
      </c>
      <c r="E1020" s="29"/>
      <c r="F1020" s="28">
        <f>SUMIFS(F1021:F1509,K1021:K1509,"0",B1021:B1509,"5 1 2 1 1 12 31111 6 M78 07000 151 00C 001 21101 015 2112000 2024 00000000 001*")</f>
        <v>372899.72</v>
      </c>
      <c r="G1020" s="28">
        <f>SUMIFS(G1021:G1509,K1021:K1509,"0",B1021:B1509,"5 1 2 1 1 12 31111 6 M78 07000 151 00C 001 21101 015 2112000 2024 00000000 001*")</f>
        <v>0</v>
      </c>
      <c r="H1020" s="28">
        <f t="shared" si="20"/>
        <v>372899.72</v>
      </c>
      <c r="I1020" s="28"/>
      <c r="K1020" t="s">
        <v>15</v>
      </c>
    </row>
    <row r="1021" spans="2:11" ht="33" x14ac:dyDescent="0.15">
      <c r="B1021" s="30" t="s">
        <v>1331</v>
      </c>
      <c r="C1021" s="30" t="s">
        <v>1332</v>
      </c>
      <c r="D1021" s="31">
        <v>0</v>
      </c>
      <c r="E1021" s="31"/>
      <c r="F1021" s="31">
        <v>372899.72</v>
      </c>
      <c r="G1021" s="31">
        <v>0</v>
      </c>
      <c r="H1021" s="31">
        <f t="shared" si="20"/>
        <v>372899.72</v>
      </c>
      <c r="I1021" s="31"/>
      <c r="K1021" t="s">
        <v>38</v>
      </c>
    </row>
    <row r="1022" spans="2:11" ht="13" x14ac:dyDescent="0.15">
      <c r="B1022" s="27" t="s">
        <v>1333</v>
      </c>
      <c r="C1022" s="27" t="s">
        <v>1334</v>
      </c>
      <c r="D1022" s="28">
        <f>SUMIFS(D1023:D1509,K1023:K1509,"0",B1023:B1509,"5 1 2 1 2*")-SUMIFS(E1023:E1509,K1023:K1509,"0",B1023:B1509,"5 1 2 1 2*")</f>
        <v>0</v>
      </c>
      <c r="E1022" s="29"/>
      <c r="F1022" s="28">
        <f>SUMIFS(F1023:F1509,K1023:K1509,"0",B1023:B1509,"5 1 2 1 2*")</f>
        <v>287312.03000000003</v>
      </c>
      <c r="G1022" s="28">
        <f>SUMIFS(G1023:G1509,K1023:K1509,"0",B1023:B1509,"5 1 2 1 2*")</f>
        <v>0</v>
      </c>
      <c r="H1022" s="28">
        <f t="shared" si="20"/>
        <v>287312.03000000003</v>
      </c>
      <c r="I1022" s="28"/>
      <c r="K1022" t="s">
        <v>15</v>
      </c>
    </row>
    <row r="1023" spans="2:11" ht="13" x14ac:dyDescent="0.15">
      <c r="B1023" s="27" t="s">
        <v>1335</v>
      </c>
      <c r="C1023" s="27" t="s">
        <v>26</v>
      </c>
      <c r="D1023" s="28">
        <f>SUMIFS(D1024:D1509,K1024:K1509,"0",B1024:B1509,"5 1 2 1 2 12*")-SUMIFS(E1024:E1509,K1024:K1509,"0",B1024:B1509,"5 1 2 1 2 12*")</f>
        <v>0</v>
      </c>
      <c r="E1023" s="29"/>
      <c r="F1023" s="28">
        <f>SUMIFS(F1024:F1509,K1024:K1509,"0",B1024:B1509,"5 1 2 1 2 12*")</f>
        <v>287312.03000000003</v>
      </c>
      <c r="G1023" s="28">
        <f>SUMIFS(G1024:G1509,K1024:K1509,"0",B1024:B1509,"5 1 2 1 2 12*")</f>
        <v>0</v>
      </c>
      <c r="H1023" s="28">
        <f t="shared" si="20"/>
        <v>287312.03000000003</v>
      </c>
      <c r="I1023" s="28"/>
      <c r="K1023" t="s">
        <v>15</v>
      </c>
    </row>
    <row r="1024" spans="2:11" ht="13" x14ac:dyDescent="0.15">
      <c r="B1024" s="27" t="s">
        <v>1336</v>
      </c>
      <c r="C1024" s="27" t="s">
        <v>28</v>
      </c>
      <c r="D1024" s="28">
        <f>SUMIFS(D1025:D1509,K1025:K1509,"0",B1025:B1509,"5 1 2 1 2 12 31111*")-SUMIFS(E1025:E1509,K1025:K1509,"0",B1025:B1509,"5 1 2 1 2 12 31111*")</f>
        <v>0</v>
      </c>
      <c r="E1024" s="29"/>
      <c r="F1024" s="28">
        <f>SUMIFS(F1025:F1509,K1025:K1509,"0",B1025:B1509,"5 1 2 1 2 12 31111*")</f>
        <v>287312.03000000003</v>
      </c>
      <c r="G1024" s="28">
        <f>SUMIFS(G1025:G1509,K1025:K1509,"0",B1025:B1509,"5 1 2 1 2 12 31111*")</f>
        <v>0</v>
      </c>
      <c r="H1024" s="28">
        <f t="shared" si="20"/>
        <v>287312.03000000003</v>
      </c>
      <c r="I1024" s="28"/>
      <c r="K1024" t="s">
        <v>15</v>
      </c>
    </row>
    <row r="1025" spans="2:11" ht="13" x14ac:dyDescent="0.15">
      <c r="B1025" s="27" t="s">
        <v>1337</v>
      </c>
      <c r="C1025" s="27" t="s">
        <v>30</v>
      </c>
      <c r="D1025" s="28">
        <f>SUMIFS(D1026:D1509,K1026:K1509,"0",B1026:B1509,"5 1 2 1 2 12 31111 6*")-SUMIFS(E1026:E1509,K1026:K1509,"0",B1026:B1509,"5 1 2 1 2 12 31111 6*")</f>
        <v>0</v>
      </c>
      <c r="E1025" s="29"/>
      <c r="F1025" s="28">
        <f>SUMIFS(F1026:F1509,K1026:K1509,"0",B1026:B1509,"5 1 2 1 2 12 31111 6*")</f>
        <v>287312.03000000003</v>
      </c>
      <c r="G1025" s="28">
        <f>SUMIFS(G1026:G1509,K1026:K1509,"0",B1026:B1509,"5 1 2 1 2 12 31111 6*")</f>
        <v>0</v>
      </c>
      <c r="H1025" s="28">
        <f t="shared" si="20"/>
        <v>287312.03000000003</v>
      </c>
      <c r="I1025" s="28"/>
      <c r="K1025" t="s">
        <v>15</v>
      </c>
    </row>
    <row r="1026" spans="2:11" ht="13" x14ac:dyDescent="0.15">
      <c r="B1026" s="27" t="s">
        <v>1338</v>
      </c>
      <c r="C1026" s="27" t="s">
        <v>733</v>
      </c>
      <c r="D1026" s="28">
        <f>SUMIFS(D1027:D1509,K1027:K1509,"0",B1027:B1509,"5 1 2 1 2 12 31111 6 M78*")-SUMIFS(E1027:E1509,K1027:K1509,"0",B1027:B1509,"5 1 2 1 2 12 31111 6 M78*")</f>
        <v>0</v>
      </c>
      <c r="E1026" s="29"/>
      <c r="F1026" s="28">
        <f>SUMIFS(F1027:F1509,K1027:K1509,"0",B1027:B1509,"5 1 2 1 2 12 31111 6 M78*")</f>
        <v>287312.03000000003</v>
      </c>
      <c r="G1026" s="28">
        <f>SUMIFS(G1027:G1509,K1027:K1509,"0",B1027:B1509,"5 1 2 1 2 12 31111 6 M78*")</f>
        <v>0</v>
      </c>
      <c r="H1026" s="28">
        <f t="shared" si="20"/>
        <v>287312.03000000003</v>
      </c>
      <c r="I1026" s="28"/>
      <c r="K1026" t="s">
        <v>15</v>
      </c>
    </row>
    <row r="1027" spans="2:11" ht="13" x14ac:dyDescent="0.15">
      <c r="B1027" s="27" t="s">
        <v>1339</v>
      </c>
      <c r="C1027" s="27" t="s">
        <v>8</v>
      </c>
      <c r="D1027" s="28">
        <f>SUMIFS(D1028:D1509,K1028:K1509,"0",B1028:B1509,"5 1 2 1 2 12 31111 6 M78 07000*")-SUMIFS(E1028:E1509,K1028:K1509,"0",B1028:B1509,"5 1 2 1 2 12 31111 6 M78 07000*")</f>
        <v>0</v>
      </c>
      <c r="E1027" s="29"/>
      <c r="F1027" s="28">
        <f>SUMIFS(F1028:F1509,K1028:K1509,"0",B1028:B1509,"5 1 2 1 2 12 31111 6 M78 07000*")</f>
        <v>287312.03000000003</v>
      </c>
      <c r="G1027" s="28">
        <f>SUMIFS(G1028:G1509,K1028:K1509,"0",B1028:B1509,"5 1 2 1 2 12 31111 6 M78 07000*")</f>
        <v>0</v>
      </c>
      <c r="H1027" s="28">
        <f t="shared" si="20"/>
        <v>287312.03000000003</v>
      </c>
      <c r="I1027" s="28"/>
      <c r="K1027" t="s">
        <v>15</v>
      </c>
    </row>
    <row r="1028" spans="2:11" ht="13" x14ac:dyDescent="0.15">
      <c r="B1028" s="27" t="s">
        <v>1340</v>
      </c>
      <c r="C1028" s="27" t="s">
        <v>168</v>
      </c>
      <c r="D1028" s="28">
        <f>SUMIFS(D1029:D1509,K1029:K1509,"0",B1029:B1509,"5 1 2 1 2 12 31111 6 M78 07000 151*")-SUMIFS(E1029:E1509,K1029:K1509,"0",B1029:B1509,"5 1 2 1 2 12 31111 6 M78 07000 151*")</f>
        <v>0</v>
      </c>
      <c r="E1028" s="29"/>
      <c r="F1028" s="28">
        <f>SUMIFS(F1029:F1509,K1029:K1509,"0",B1029:B1509,"5 1 2 1 2 12 31111 6 M78 07000 151*")</f>
        <v>287312.03000000003</v>
      </c>
      <c r="G1028" s="28">
        <f>SUMIFS(G1029:G1509,K1029:K1509,"0",B1029:B1509,"5 1 2 1 2 12 31111 6 M78 07000 151*")</f>
        <v>0</v>
      </c>
      <c r="H1028" s="28">
        <f t="shared" si="20"/>
        <v>287312.03000000003</v>
      </c>
      <c r="I1028" s="28"/>
      <c r="K1028" t="s">
        <v>15</v>
      </c>
    </row>
    <row r="1029" spans="2:11" ht="13" x14ac:dyDescent="0.15">
      <c r="B1029" s="27" t="s">
        <v>1341</v>
      </c>
      <c r="C1029" s="27" t="s">
        <v>170</v>
      </c>
      <c r="D1029" s="28">
        <f>SUMIFS(D1030:D1509,K1030:K1509,"0",B1030:B1509,"5 1 2 1 2 12 31111 6 M78 07000 151 00C*")-SUMIFS(E1030:E1509,K1030:K1509,"0",B1030:B1509,"5 1 2 1 2 12 31111 6 M78 07000 151 00C*")</f>
        <v>0</v>
      </c>
      <c r="E1029" s="29"/>
      <c r="F1029" s="28">
        <f>SUMIFS(F1030:F1509,K1030:K1509,"0",B1030:B1509,"5 1 2 1 2 12 31111 6 M78 07000 151 00C*")</f>
        <v>287312.03000000003</v>
      </c>
      <c r="G1029" s="28">
        <f>SUMIFS(G1030:G1509,K1030:K1509,"0",B1030:B1509,"5 1 2 1 2 12 31111 6 M78 07000 151 00C*")</f>
        <v>0</v>
      </c>
      <c r="H1029" s="28">
        <f t="shared" si="20"/>
        <v>287312.03000000003</v>
      </c>
      <c r="I1029" s="28"/>
      <c r="K1029" t="s">
        <v>15</v>
      </c>
    </row>
    <row r="1030" spans="2:11" ht="22" x14ac:dyDescent="0.15">
      <c r="B1030" s="27" t="s">
        <v>1342</v>
      </c>
      <c r="C1030" s="27" t="s">
        <v>9</v>
      </c>
      <c r="D1030" s="28">
        <f>SUMIFS(D1031:D1509,K1031:K1509,"0",B1031:B1509,"5 1 2 1 2 12 31111 6 M78 07000 151 00C 001*")-SUMIFS(E1031:E1509,K1031:K1509,"0",B1031:B1509,"5 1 2 1 2 12 31111 6 M78 07000 151 00C 001*")</f>
        <v>0</v>
      </c>
      <c r="E1030" s="29"/>
      <c r="F1030" s="28">
        <f>SUMIFS(F1031:F1509,K1031:K1509,"0",B1031:B1509,"5 1 2 1 2 12 31111 6 M78 07000 151 00C 001*")</f>
        <v>287312.03000000003</v>
      </c>
      <c r="G1030" s="28">
        <f>SUMIFS(G1031:G1509,K1031:K1509,"0",B1031:B1509,"5 1 2 1 2 12 31111 6 M78 07000 151 00C 001*")</f>
        <v>0</v>
      </c>
      <c r="H1030" s="28">
        <f t="shared" si="20"/>
        <v>287312.03000000003</v>
      </c>
      <c r="I1030" s="28"/>
      <c r="K1030" t="s">
        <v>15</v>
      </c>
    </row>
    <row r="1031" spans="2:11" ht="22" x14ac:dyDescent="0.15">
      <c r="B1031" s="27" t="s">
        <v>1343</v>
      </c>
      <c r="C1031" s="27" t="s">
        <v>1344</v>
      </c>
      <c r="D1031" s="28">
        <f>SUMIFS(D1032:D1509,K1032:K1509,"0",B1032:B1509,"5 1 2 1 2 12 31111 6 M78 07000 151 00C 001 21201*")-SUMIFS(E1032:E1509,K1032:K1509,"0",B1032:B1509,"5 1 2 1 2 12 31111 6 M78 07000 151 00C 001 21201*")</f>
        <v>0</v>
      </c>
      <c r="E1031" s="29"/>
      <c r="F1031" s="28">
        <f>SUMIFS(F1032:F1509,K1032:K1509,"0",B1032:B1509,"5 1 2 1 2 12 31111 6 M78 07000 151 00C 001 21201*")</f>
        <v>287312.03000000003</v>
      </c>
      <c r="G1031" s="28">
        <f>SUMIFS(G1032:G1509,K1032:K1509,"0",B1032:B1509,"5 1 2 1 2 12 31111 6 M78 07000 151 00C 001 21201*")</f>
        <v>0</v>
      </c>
      <c r="H1031" s="28">
        <f t="shared" si="20"/>
        <v>287312.03000000003</v>
      </c>
      <c r="I1031" s="28"/>
      <c r="K1031" t="s">
        <v>15</v>
      </c>
    </row>
    <row r="1032" spans="2:11" ht="22" x14ac:dyDescent="0.15">
      <c r="B1032" s="27" t="s">
        <v>1345</v>
      </c>
      <c r="C1032" s="27" t="s">
        <v>176</v>
      </c>
      <c r="D1032" s="28">
        <f>SUMIFS(D1033:D1509,K1033:K1509,"0",B1033:B1509,"5 1 2 1 2 12 31111 6 M78 07000 151 00C 001 21201 015*")-SUMIFS(E1033:E1509,K1033:K1509,"0",B1033:B1509,"5 1 2 1 2 12 31111 6 M78 07000 151 00C 001 21201 015*")</f>
        <v>0</v>
      </c>
      <c r="E1032" s="29"/>
      <c r="F1032" s="28">
        <f>SUMIFS(F1033:F1509,K1033:K1509,"0",B1033:B1509,"5 1 2 1 2 12 31111 6 M78 07000 151 00C 001 21201 015*")</f>
        <v>287312.03000000003</v>
      </c>
      <c r="G1032" s="28">
        <f>SUMIFS(G1033:G1509,K1033:K1509,"0",B1033:B1509,"5 1 2 1 2 12 31111 6 M78 07000 151 00C 001 21201 015*")</f>
        <v>0</v>
      </c>
      <c r="H1032" s="28">
        <f t="shared" si="20"/>
        <v>287312.03000000003</v>
      </c>
      <c r="I1032" s="28"/>
      <c r="K1032" t="s">
        <v>15</v>
      </c>
    </row>
    <row r="1033" spans="2:11" ht="22" x14ac:dyDescent="0.15">
      <c r="B1033" s="27" t="s">
        <v>1346</v>
      </c>
      <c r="C1033" s="27" t="s">
        <v>178</v>
      </c>
      <c r="D1033" s="28">
        <f>SUMIFS(D1034:D1509,K1034:K1509,"0",B1034:B1509,"5 1 2 1 2 12 31111 6 M78 07000 151 00C 001 21201 015 2112000*")-SUMIFS(E1034:E1509,K1034:K1509,"0",B1034:B1509,"5 1 2 1 2 12 31111 6 M78 07000 151 00C 001 21201 015 2112000*")</f>
        <v>0</v>
      </c>
      <c r="E1033" s="29"/>
      <c r="F1033" s="28">
        <f>SUMIFS(F1034:F1509,K1034:K1509,"0",B1034:B1509,"5 1 2 1 2 12 31111 6 M78 07000 151 00C 001 21201 015 2112000*")</f>
        <v>287312.03000000003</v>
      </c>
      <c r="G1033" s="28">
        <f>SUMIFS(G1034:G1509,K1034:K1509,"0",B1034:B1509,"5 1 2 1 2 12 31111 6 M78 07000 151 00C 001 21201 015 2112000*")</f>
        <v>0</v>
      </c>
      <c r="H1033" s="28">
        <f t="shared" si="20"/>
        <v>287312.03000000003</v>
      </c>
      <c r="I1033" s="28"/>
      <c r="K1033" t="s">
        <v>15</v>
      </c>
    </row>
    <row r="1034" spans="2:11" ht="22" x14ac:dyDescent="0.15">
      <c r="B1034" s="27" t="s">
        <v>1347</v>
      </c>
      <c r="C1034" s="27" t="s">
        <v>248</v>
      </c>
      <c r="D1034" s="28">
        <f>SUMIFS(D1035:D1509,K1035:K1509,"0",B1035:B1509,"5 1 2 1 2 12 31111 6 M78 07000 151 00C 001 21201 015 2112000 2024*")-SUMIFS(E1035:E1509,K1035:K1509,"0",B1035:B1509,"5 1 2 1 2 12 31111 6 M78 07000 151 00C 001 21201 015 2112000 2024*")</f>
        <v>0</v>
      </c>
      <c r="E1034" s="29"/>
      <c r="F1034" s="28">
        <f>SUMIFS(F1035:F1509,K1035:K1509,"0",B1035:B1509,"5 1 2 1 2 12 31111 6 M78 07000 151 00C 001 21201 015 2112000 2024*")</f>
        <v>287312.03000000003</v>
      </c>
      <c r="G1034" s="28">
        <f>SUMIFS(G1035:G1509,K1035:K1509,"0",B1035:B1509,"5 1 2 1 2 12 31111 6 M78 07000 151 00C 001 21201 015 2112000 2024*")</f>
        <v>0</v>
      </c>
      <c r="H1034" s="28">
        <f t="shared" si="20"/>
        <v>287312.03000000003</v>
      </c>
      <c r="I1034" s="28"/>
      <c r="K1034" t="s">
        <v>15</v>
      </c>
    </row>
    <row r="1035" spans="2:11" ht="22" x14ac:dyDescent="0.15">
      <c r="B1035" s="27" t="s">
        <v>1348</v>
      </c>
      <c r="C1035" s="27" t="s">
        <v>182</v>
      </c>
      <c r="D1035" s="28">
        <f>SUMIFS(D1036:D1509,K1036:K1509,"0",B1036:B1509,"5 1 2 1 2 12 31111 6 M78 07000 151 00C 001 21201 015 2112000 2024 00000000*")-SUMIFS(E1036:E1509,K1036:K1509,"0",B1036:B1509,"5 1 2 1 2 12 31111 6 M78 07000 151 00C 001 21201 015 2112000 2024 00000000*")</f>
        <v>0</v>
      </c>
      <c r="E1035" s="29"/>
      <c r="F1035" s="28">
        <f>SUMIFS(F1036:F1509,K1036:K1509,"0",B1036:B1509,"5 1 2 1 2 12 31111 6 M78 07000 151 00C 001 21201 015 2112000 2024 00000000*")</f>
        <v>287312.03000000003</v>
      </c>
      <c r="G1035" s="28">
        <f>SUMIFS(G1036:G1509,K1036:K1509,"0",B1036:B1509,"5 1 2 1 2 12 31111 6 M78 07000 151 00C 001 21201 015 2112000 2024 00000000*")</f>
        <v>0</v>
      </c>
      <c r="H1035" s="28">
        <f t="shared" si="20"/>
        <v>287312.03000000003</v>
      </c>
      <c r="I1035" s="28"/>
      <c r="K1035" t="s">
        <v>15</v>
      </c>
    </row>
    <row r="1036" spans="2:11" ht="33" x14ac:dyDescent="0.15">
      <c r="B1036" s="27" t="s">
        <v>1349</v>
      </c>
      <c r="C1036" s="27" t="s">
        <v>9</v>
      </c>
      <c r="D1036" s="28">
        <f>SUMIFS(D1037:D1509,K1037:K1509,"0",B1037:B1509,"5 1 2 1 2 12 31111 6 M78 07000 151 00C 001 21201 015 2112000 2024 00000000 001*")-SUMIFS(E1037:E1509,K1037:K1509,"0",B1037:B1509,"5 1 2 1 2 12 31111 6 M78 07000 151 00C 001 21201 015 2112000 2024 00000000 001*")</f>
        <v>0</v>
      </c>
      <c r="E1036" s="29"/>
      <c r="F1036" s="28">
        <f>SUMIFS(F1037:F1509,K1037:K1509,"0",B1037:B1509,"5 1 2 1 2 12 31111 6 M78 07000 151 00C 001 21201 015 2112000 2024 00000000 001*")</f>
        <v>287312.03000000003</v>
      </c>
      <c r="G1036" s="28">
        <f>SUMIFS(G1037:G1509,K1037:K1509,"0",B1037:B1509,"5 1 2 1 2 12 31111 6 M78 07000 151 00C 001 21201 015 2112000 2024 00000000 001*")</f>
        <v>0</v>
      </c>
      <c r="H1036" s="28">
        <f t="shared" si="20"/>
        <v>287312.03000000003</v>
      </c>
      <c r="I1036" s="28"/>
      <c r="K1036" t="s">
        <v>15</v>
      </c>
    </row>
    <row r="1037" spans="2:11" ht="33" x14ac:dyDescent="0.15">
      <c r="B1037" s="30" t="s">
        <v>1350</v>
      </c>
      <c r="C1037" s="30" t="s">
        <v>1334</v>
      </c>
      <c r="D1037" s="31">
        <v>0</v>
      </c>
      <c r="E1037" s="31"/>
      <c r="F1037" s="31">
        <v>287312.03000000003</v>
      </c>
      <c r="G1037" s="31">
        <v>0</v>
      </c>
      <c r="H1037" s="31">
        <f t="shared" si="20"/>
        <v>287312.03000000003</v>
      </c>
      <c r="I1037" s="31"/>
      <c r="K1037" t="s">
        <v>38</v>
      </c>
    </row>
    <row r="1038" spans="2:11" ht="22" x14ac:dyDescent="0.15">
      <c r="B1038" s="27" t="s">
        <v>1351</v>
      </c>
      <c r="C1038" s="27" t="s">
        <v>1352</v>
      </c>
      <c r="D1038" s="28">
        <f>SUMIFS(D1039:D1509,K1039:K1509,"0",B1039:B1509,"5 1 2 1 4*")-SUMIFS(E1039:E1509,K1039:K1509,"0",B1039:B1509,"5 1 2 1 4*")</f>
        <v>0</v>
      </c>
      <c r="E1038" s="29"/>
      <c r="F1038" s="28">
        <f>SUMIFS(F1039:F1509,K1039:K1509,"0",B1039:B1509,"5 1 2 1 4*")</f>
        <v>79353.119999999995</v>
      </c>
      <c r="G1038" s="28">
        <f>SUMIFS(G1039:G1509,K1039:K1509,"0",B1039:B1509,"5 1 2 1 4*")</f>
        <v>0</v>
      </c>
      <c r="H1038" s="28">
        <f t="shared" si="20"/>
        <v>79353.119999999995</v>
      </c>
      <c r="I1038" s="28"/>
      <c r="K1038" t="s">
        <v>15</v>
      </c>
    </row>
    <row r="1039" spans="2:11" ht="13" x14ac:dyDescent="0.15">
      <c r="B1039" s="27" t="s">
        <v>1353</v>
      </c>
      <c r="C1039" s="27" t="s">
        <v>26</v>
      </c>
      <c r="D1039" s="28">
        <f>SUMIFS(D1040:D1509,K1040:K1509,"0",B1040:B1509,"5 1 2 1 4 12*")-SUMIFS(E1040:E1509,K1040:K1509,"0",B1040:B1509,"5 1 2 1 4 12*")</f>
        <v>0</v>
      </c>
      <c r="E1039" s="29"/>
      <c r="F1039" s="28">
        <f>SUMIFS(F1040:F1509,K1040:K1509,"0",B1040:B1509,"5 1 2 1 4 12*")</f>
        <v>79353.119999999995</v>
      </c>
      <c r="G1039" s="28">
        <f>SUMIFS(G1040:G1509,K1040:K1509,"0",B1040:B1509,"5 1 2 1 4 12*")</f>
        <v>0</v>
      </c>
      <c r="H1039" s="28">
        <f t="shared" si="20"/>
        <v>79353.119999999995</v>
      </c>
      <c r="I1039" s="28"/>
      <c r="K1039" t="s">
        <v>15</v>
      </c>
    </row>
    <row r="1040" spans="2:11" ht="13" x14ac:dyDescent="0.15">
      <c r="B1040" s="27" t="s">
        <v>1354</v>
      </c>
      <c r="C1040" s="27" t="s">
        <v>28</v>
      </c>
      <c r="D1040" s="28">
        <f>SUMIFS(D1041:D1509,K1041:K1509,"0",B1041:B1509,"5 1 2 1 4 12 31111*")-SUMIFS(E1041:E1509,K1041:K1509,"0",B1041:B1509,"5 1 2 1 4 12 31111*")</f>
        <v>0</v>
      </c>
      <c r="E1040" s="29"/>
      <c r="F1040" s="28">
        <f>SUMIFS(F1041:F1509,K1041:K1509,"0",B1041:B1509,"5 1 2 1 4 12 31111*")</f>
        <v>79353.119999999995</v>
      </c>
      <c r="G1040" s="28">
        <f>SUMIFS(G1041:G1509,K1041:K1509,"0",B1041:B1509,"5 1 2 1 4 12 31111*")</f>
        <v>0</v>
      </c>
      <c r="H1040" s="28">
        <f t="shared" si="20"/>
        <v>79353.119999999995</v>
      </c>
      <c r="I1040" s="28"/>
      <c r="K1040" t="s">
        <v>15</v>
      </c>
    </row>
    <row r="1041" spans="2:11" ht="13" x14ac:dyDescent="0.15">
      <c r="B1041" s="27" t="s">
        <v>1355</v>
      </c>
      <c r="C1041" s="27" t="s">
        <v>30</v>
      </c>
      <c r="D1041" s="28">
        <f>SUMIFS(D1042:D1509,K1042:K1509,"0",B1042:B1509,"5 1 2 1 4 12 31111 6*")-SUMIFS(E1042:E1509,K1042:K1509,"0",B1042:B1509,"5 1 2 1 4 12 31111 6*")</f>
        <v>0</v>
      </c>
      <c r="E1041" s="29"/>
      <c r="F1041" s="28">
        <f>SUMIFS(F1042:F1509,K1042:K1509,"0",B1042:B1509,"5 1 2 1 4 12 31111 6*")</f>
        <v>79353.119999999995</v>
      </c>
      <c r="G1041" s="28">
        <f>SUMIFS(G1042:G1509,K1042:K1509,"0",B1042:B1509,"5 1 2 1 4 12 31111 6*")</f>
        <v>0</v>
      </c>
      <c r="H1041" s="28">
        <f t="shared" si="20"/>
        <v>79353.119999999995</v>
      </c>
      <c r="I1041" s="28"/>
      <c r="K1041" t="s">
        <v>15</v>
      </c>
    </row>
    <row r="1042" spans="2:11" ht="13" x14ac:dyDescent="0.15">
      <c r="B1042" s="27" t="s">
        <v>1356</v>
      </c>
      <c r="C1042" s="27" t="s">
        <v>733</v>
      </c>
      <c r="D1042" s="28">
        <f>SUMIFS(D1043:D1509,K1043:K1509,"0",B1043:B1509,"5 1 2 1 4 12 31111 6 M78*")-SUMIFS(E1043:E1509,K1043:K1509,"0",B1043:B1509,"5 1 2 1 4 12 31111 6 M78*")</f>
        <v>0</v>
      </c>
      <c r="E1042" s="29"/>
      <c r="F1042" s="28">
        <f>SUMIFS(F1043:F1509,K1043:K1509,"0",B1043:B1509,"5 1 2 1 4 12 31111 6 M78*")</f>
        <v>79353.119999999995</v>
      </c>
      <c r="G1042" s="28">
        <f>SUMIFS(G1043:G1509,K1043:K1509,"0",B1043:B1509,"5 1 2 1 4 12 31111 6 M78*")</f>
        <v>0</v>
      </c>
      <c r="H1042" s="28">
        <f t="shared" si="20"/>
        <v>79353.119999999995</v>
      </c>
      <c r="I1042" s="28"/>
      <c r="K1042" t="s">
        <v>15</v>
      </c>
    </row>
    <row r="1043" spans="2:11" ht="13" x14ac:dyDescent="0.15">
      <c r="B1043" s="27" t="s">
        <v>1357</v>
      </c>
      <c r="C1043" s="27" t="s">
        <v>8</v>
      </c>
      <c r="D1043" s="28">
        <f>SUMIFS(D1044:D1509,K1044:K1509,"0",B1044:B1509,"5 1 2 1 4 12 31111 6 M78 07000*")-SUMIFS(E1044:E1509,K1044:K1509,"0",B1044:B1509,"5 1 2 1 4 12 31111 6 M78 07000*")</f>
        <v>0</v>
      </c>
      <c r="E1043" s="29"/>
      <c r="F1043" s="28">
        <f>SUMIFS(F1044:F1509,K1044:K1509,"0",B1044:B1509,"5 1 2 1 4 12 31111 6 M78 07000*")</f>
        <v>79353.119999999995</v>
      </c>
      <c r="G1043" s="28">
        <f>SUMIFS(G1044:G1509,K1044:K1509,"0",B1044:B1509,"5 1 2 1 4 12 31111 6 M78 07000*")</f>
        <v>0</v>
      </c>
      <c r="H1043" s="28">
        <f t="shared" si="20"/>
        <v>79353.119999999995</v>
      </c>
      <c r="I1043" s="28"/>
      <c r="K1043" t="s">
        <v>15</v>
      </c>
    </row>
    <row r="1044" spans="2:11" ht="13" x14ac:dyDescent="0.15">
      <c r="B1044" s="27" t="s">
        <v>1358</v>
      </c>
      <c r="C1044" s="27" t="s">
        <v>168</v>
      </c>
      <c r="D1044" s="28">
        <f>SUMIFS(D1045:D1509,K1045:K1509,"0",B1045:B1509,"5 1 2 1 4 12 31111 6 M78 07000 151*")-SUMIFS(E1045:E1509,K1045:K1509,"0",B1045:B1509,"5 1 2 1 4 12 31111 6 M78 07000 151*")</f>
        <v>0</v>
      </c>
      <c r="E1044" s="29"/>
      <c r="F1044" s="28">
        <f>SUMIFS(F1045:F1509,K1045:K1509,"0",B1045:B1509,"5 1 2 1 4 12 31111 6 M78 07000 151*")</f>
        <v>79353.119999999995</v>
      </c>
      <c r="G1044" s="28">
        <f>SUMIFS(G1045:G1509,K1045:K1509,"0",B1045:B1509,"5 1 2 1 4 12 31111 6 M78 07000 151*")</f>
        <v>0</v>
      </c>
      <c r="H1044" s="28">
        <f t="shared" si="20"/>
        <v>79353.119999999995</v>
      </c>
      <c r="I1044" s="28"/>
      <c r="K1044" t="s">
        <v>15</v>
      </c>
    </row>
    <row r="1045" spans="2:11" ht="13" x14ac:dyDescent="0.15">
      <c r="B1045" s="27" t="s">
        <v>1359</v>
      </c>
      <c r="C1045" s="27" t="s">
        <v>170</v>
      </c>
      <c r="D1045" s="28">
        <f>SUMIFS(D1046:D1509,K1046:K1509,"0",B1046:B1509,"5 1 2 1 4 12 31111 6 M78 07000 151 00C*")-SUMIFS(E1046:E1509,K1046:K1509,"0",B1046:B1509,"5 1 2 1 4 12 31111 6 M78 07000 151 00C*")</f>
        <v>0</v>
      </c>
      <c r="E1045" s="29"/>
      <c r="F1045" s="28">
        <f>SUMIFS(F1046:F1509,K1046:K1509,"0",B1046:B1509,"5 1 2 1 4 12 31111 6 M78 07000 151 00C*")</f>
        <v>79353.119999999995</v>
      </c>
      <c r="G1045" s="28">
        <f>SUMIFS(G1046:G1509,K1046:K1509,"0",B1046:B1509,"5 1 2 1 4 12 31111 6 M78 07000 151 00C*")</f>
        <v>0</v>
      </c>
      <c r="H1045" s="28">
        <f t="shared" si="20"/>
        <v>79353.119999999995</v>
      </c>
      <c r="I1045" s="28"/>
      <c r="K1045" t="s">
        <v>15</v>
      </c>
    </row>
    <row r="1046" spans="2:11" ht="22" x14ac:dyDescent="0.15">
      <c r="B1046" s="27" t="s">
        <v>1360</v>
      </c>
      <c r="C1046" s="27" t="s">
        <v>9</v>
      </c>
      <c r="D1046" s="28">
        <f>SUMIFS(D1047:D1509,K1047:K1509,"0",B1047:B1509,"5 1 2 1 4 12 31111 6 M78 07000 151 00C 001*")-SUMIFS(E1047:E1509,K1047:K1509,"0",B1047:B1509,"5 1 2 1 4 12 31111 6 M78 07000 151 00C 001*")</f>
        <v>0</v>
      </c>
      <c r="E1046" s="29"/>
      <c r="F1046" s="28">
        <f>SUMIFS(F1047:F1509,K1047:K1509,"0",B1047:B1509,"5 1 2 1 4 12 31111 6 M78 07000 151 00C 001*")</f>
        <v>79353.119999999995</v>
      </c>
      <c r="G1046" s="28">
        <f>SUMIFS(G1047:G1509,K1047:K1509,"0",B1047:B1509,"5 1 2 1 4 12 31111 6 M78 07000 151 00C 001*")</f>
        <v>0</v>
      </c>
      <c r="H1046" s="28">
        <f t="shared" si="20"/>
        <v>79353.119999999995</v>
      </c>
      <c r="I1046" s="28"/>
      <c r="K1046" t="s">
        <v>15</v>
      </c>
    </row>
    <row r="1047" spans="2:11" ht="22" x14ac:dyDescent="0.15">
      <c r="B1047" s="27" t="s">
        <v>1361</v>
      </c>
      <c r="C1047" s="27" t="s">
        <v>1362</v>
      </c>
      <c r="D1047" s="28">
        <f>SUMIFS(D1048:D1509,K1048:K1509,"0",B1048:B1509,"5 1 2 1 4 12 31111 6 M78 07000 151 00C 001 21401*")-SUMIFS(E1048:E1509,K1048:K1509,"0",B1048:B1509,"5 1 2 1 4 12 31111 6 M78 07000 151 00C 001 21401*")</f>
        <v>0</v>
      </c>
      <c r="E1047" s="29"/>
      <c r="F1047" s="28">
        <f>SUMIFS(F1048:F1509,K1048:K1509,"0",B1048:B1509,"5 1 2 1 4 12 31111 6 M78 07000 151 00C 001 21401*")</f>
        <v>79353.119999999995</v>
      </c>
      <c r="G1047" s="28">
        <f>SUMIFS(G1048:G1509,K1048:K1509,"0",B1048:B1509,"5 1 2 1 4 12 31111 6 M78 07000 151 00C 001 21401*")</f>
        <v>0</v>
      </c>
      <c r="H1047" s="28">
        <f t="shared" si="20"/>
        <v>79353.119999999995</v>
      </c>
      <c r="I1047" s="28"/>
      <c r="K1047" t="s">
        <v>15</v>
      </c>
    </row>
    <row r="1048" spans="2:11" ht="22" x14ac:dyDescent="0.15">
      <c r="B1048" s="27" t="s">
        <v>1363</v>
      </c>
      <c r="C1048" s="27" t="s">
        <v>176</v>
      </c>
      <c r="D1048" s="28">
        <f>SUMIFS(D1049:D1509,K1049:K1509,"0",B1049:B1509,"5 1 2 1 4 12 31111 6 M78 07000 151 00C 001 21401 015*")-SUMIFS(E1049:E1509,K1049:K1509,"0",B1049:B1509,"5 1 2 1 4 12 31111 6 M78 07000 151 00C 001 21401 015*")</f>
        <v>0</v>
      </c>
      <c r="E1048" s="29"/>
      <c r="F1048" s="28">
        <f>SUMIFS(F1049:F1509,K1049:K1509,"0",B1049:B1509,"5 1 2 1 4 12 31111 6 M78 07000 151 00C 001 21401 015*")</f>
        <v>79353.119999999995</v>
      </c>
      <c r="G1048" s="28">
        <f>SUMIFS(G1049:G1509,K1049:K1509,"0",B1049:B1509,"5 1 2 1 4 12 31111 6 M78 07000 151 00C 001 21401 015*")</f>
        <v>0</v>
      </c>
      <c r="H1048" s="28">
        <f t="shared" si="20"/>
        <v>79353.119999999995</v>
      </c>
      <c r="I1048" s="28"/>
      <c r="K1048" t="s">
        <v>15</v>
      </c>
    </row>
    <row r="1049" spans="2:11" ht="22" x14ac:dyDescent="0.15">
      <c r="B1049" s="27" t="s">
        <v>1364</v>
      </c>
      <c r="C1049" s="27" t="s">
        <v>178</v>
      </c>
      <c r="D1049" s="28">
        <f>SUMIFS(D1050:D1509,K1050:K1509,"0",B1050:B1509,"5 1 2 1 4 12 31111 6 M78 07000 151 00C 001 21401 015 2112000*")-SUMIFS(E1050:E1509,K1050:K1509,"0",B1050:B1509,"5 1 2 1 4 12 31111 6 M78 07000 151 00C 001 21401 015 2112000*")</f>
        <v>0</v>
      </c>
      <c r="E1049" s="29"/>
      <c r="F1049" s="28">
        <f>SUMIFS(F1050:F1509,K1050:K1509,"0",B1050:B1509,"5 1 2 1 4 12 31111 6 M78 07000 151 00C 001 21401 015 2112000*")</f>
        <v>79353.119999999995</v>
      </c>
      <c r="G1049" s="28">
        <f>SUMIFS(G1050:G1509,K1050:K1509,"0",B1050:B1509,"5 1 2 1 4 12 31111 6 M78 07000 151 00C 001 21401 015 2112000*")</f>
        <v>0</v>
      </c>
      <c r="H1049" s="28">
        <f t="shared" si="20"/>
        <v>79353.119999999995</v>
      </c>
      <c r="I1049" s="28"/>
      <c r="K1049" t="s">
        <v>15</v>
      </c>
    </row>
    <row r="1050" spans="2:11" ht="22" x14ac:dyDescent="0.15">
      <c r="B1050" s="27" t="s">
        <v>1365</v>
      </c>
      <c r="C1050" s="27" t="s">
        <v>248</v>
      </c>
      <c r="D1050" s="28">
        <f>SUMIFS(D1051:D1509,K1051:K1509,"0",B1051:B1509,"5 1 2 1 4 12 31111 6 M78 07000 151 00C 001 21401 015 2112000 2024*")-SUMIFS(E1051:E1509,K1051:K1509,"0",B1051:B1509,"5 1 2 1 4 12 31111 6 M78 07000 151 00C 001 21401 015 2112000 2024*")</f>
        <v>0</v>
      </c>
      <c r="E1050" s="29"/>
      <c r="F1050" s="28">
        <f>SUMIFS(F1051:F1509,K1051:K1509,"0",B1051:B1509,"5 1 2 1 4 12 31111 6 M78 07000 151 00C 001 21401 015 2112000 2024*")</f>
        <v>79353.119999999995</v>
      </c>
      <c r="G1050" s="28">
        <f>SUMIFS(G1051:G1509,K1051:K1509,"0",B1051:B1509,"5 1 2 1 4 12 31111 6 M78 07000 151 00C 001 21401 015 2112000 2024*")</f>
        <v>0</v>
      </c>
      <c r="H1050" s="28">
        <f t="shared" si="20"/>
        <v>79353.119999999995</v>
      </c>
      <c r="I1050" s="28"/>
      <c r="K1050" t="s">
        <v>15</v>
      </c>
    </row>
    <row r="1051" spans="2:11" ht="22" x14ac:dyDescent="0.15">
      <c r="B1051" s="27" t="s">
        <v>1366</v>
      </c>
      <c r="C1051" s="27" t="s">
        <v>182</v>
      </c>
      <c r="D1051" s="28">
        <f>SUMIFS(D1052:D1509,K1052:K1509,"0",B1052:B1509,"5 1 2 1 4 12 31111 6 M78 07000 151 00C 001 21401 015 2112000 2024 00000000*")-SUMIFS(E1052:E1509,K1052:K1509,"0",B1052:B1509,"5 1 2 1 4 12 31111 6 M78 07000 151 00C 001 21401 015 2112000 2024 00000000*")</f>
        <v>0</v>
      </c>
      <c r="E1051" s="29"/>
      <c r="F1051" s="28">
        <f>SUMIFS(F1052:F1509,K1052:K1509,"0",B1052:B1509,"5 1 2 1 4 12 31111 6 M78 07000 151 00C 001 21401 015 2112000 2024 00000000*")</f>
        <v>79353.119999999995</v>
      </c>
      <c r="G1051" s="28">
        <f>SUMIFS(G1052:G1509,K1052:K1509,"0",B1052:B1509,"5 1 2 1 4 12 31111 6 M78 07000 151 00C 001 21401 015 2112000 2024 00000000*")</f>
        <v>0</v>
      </c>
      <c r="H1051" s="28">
        <f t="shared" si="20"/>
        <v>79353.119999999995</v>
      </c>
      <c r="I1051" s="28"/>
      <c r="K1051" t="s">
        <v>15</v>
      </c>
    </row>
    <row r="1052" spans="2:11" ht="33" x14ac:dyDescent="0.15">
      <c r="B1052" s="27" t="s">
        <v>1367</v>
      </c>
      <c r="C1052" s="27" t="s">
        <v>9</v>
      </c>
      <c r="D1052" s="28">
        <f>SUMIFS(D1053:D1509,K1053:K1509,"0",B1053:B1509,"5 1 2 1 4 12 31111 6 M78 07000 151 00C 001 21401 015 2112000 2024 00000000 001*")-SUMIFS(E1053:E1509,K1053:K1509,"0",B1053:B1509,"5 1 2 1 4 12 31111 6 M78 07000 151 00C 001 21401 015 2112000 2024 00000000 001*")</f>
        <v>0</v>
      </c>
      <c r="E1052" s="29"/>
      <c r="F1052" s="28">
        <f>SUMIFS(F1053:F1509,K1053:K1509,"0",B1053:B1509,"5 1 2 1 4 12 31111 6 M78 07000 151 00C 001 21401 015 2112000 2024 00000000 001*")</f>
        <v>79353.119999999995</v>
      </c>
      <c r="G1052" s="28">
        <f>SUMIFS(G1053:G1509,K1053:K1509,"0",B1053:B1509,"5 1 2 1 4 12 31111 6 M78 07000 151 00C 001 21401 015 2112000 2024 00000000 001*")</f>
        <v>0</v>
      </c>
      <c r="H1052" s="28">
        <f t="shared" si="20"/>
        <v>79353.119999999995</v>
      </c>
      <c r="I1052" s="28"/>
      <c r="K1052" t="s">
        <v>15</v>
      </c>
    </row>
    <row r="1053" spans="2:11" ht="33" x14ac:dyDescent="0.15">
      <c r="B1053" s="30" t="s">
        <v>1368</v>
      </c>
      <c r="C1053" s="30" t="s">
        <v>1369</v>
      </c>
      <c r="D1053" s="31">
        <v>0</v>
      </c>
      <c r="E1053" s="31"/>
      <c r="F1053" s="31">
        <v>79353.119999999995</v>
      </c>
      <c r="G1053" s="31">
        <v>0</v>
      </c>
      <c r="H1053" s="31">
        <f t="shared" si="20"/>
        <v>79353.119999999995</v>
      </c>
      <c r="I1053" s="31"/>
      <c r="K1053" t="s">
        <v>38</v>
      </c>
    </row>
    <row r="1054" spans="2:11" ht="13" x14ac:dyDescent="0.15">
      <c r="B1054" s="27" t="s">
        <v>1370</v>
      </c>
      <c r="C1054" s="27" t="s">
        <v>1371</v>
      </c>
      <c r="D1054" s="28">
        <f>SUMIFS(D1055:D1509,K1055:K1509,"0",B1055:B1509,"5 1 2 1 6*")-SUMIFS(E1055:E1509,K1055:K1509,"0",B1055:B1509,"5 1 2 1 6*")</f>
        <v>0</v>
      </c>
      <c r="E1054" s="29"/>
      <c r="F1054" s="28">
        <f>SUMIFS(F1055:F1509,K1055:K1509,"0",B1055:B1509,"5 1 2 1 6*")</f>
        <v>247543.98</v>
      </c>
      <c r="G1054" s="28">
        <f>SUMIFS(G1055:G1509,K1055:K1509,"0",B1055:B1509,"5 1 2 1 6*")</f>
        <v>0</v>
      </c>
      <c r="H1054" s="28">
        <f t="shared" si="20"/>
        <v>247543.98</v>
      </c>
      <c r="I1054" s="28"/>
      <c r="K1054" t="s">
        <v>15</v>
      </c>
    </row>
    <row r="1055" spans="2:11" ht="13" x14ac:dyDescent="0.15">
      <c r="B1055" s="27" t="s">
        <v>1372</v>
      </c>
      <c r="C1055" s="27" t="s">
        <v>26</v>
      </c>
      <c r="D1055" s="28">
        <f>SUMIFS(D1056:D1509,K1056:K1509,"0",B1056:B1509,"5 1 2 1 6 12*")-SUMIFS(E1056:E1509,K1056:K1509,"0",B1056:B1509,"5 1 2 1 6 12*")</f>
        <v>0</v>
      </c>
      <c r="E1055" s="29"/>
      <c r="F1055" s="28">
        <f>SUMIFS(F1056:F1509,K1056:K1509,"0",B1056:B1509,"5 1 2 1 6 12*")</f>
        <v>247543.98</v>
      </c>
      <c r="G1055" s="28">
        <f>SUMIFS(G1056:G1509,K1056:K1509,"0",B1056:B1509,"5 1 2 1 6 12*")</f>
        <v>0</v>
      </c>
      <c r="H1055" s="28">
        <f t="shared" si="20"/>
        <v>247543.98</v>
      </c>
      <c r="I1055" s="28"/>
      <c r="K1055" t="s">
        <v>15</v>
      </c>
    </row>
    <row r="1056" spans="2:11" ht="13" x14ac:dyDescent="0.15">
      <c r="B1056" s="27" t="s">
        <v>1373</v>
      </c>
      <c r="C1056" s="27" t="s">
        <v>28</v>
      </c>
      <c r="D1056" s="28">
        <f>SUMIFS(D1057:D1509,K1057:K1509,"0",B1057:B1509,"5 1 2 1 6 12 31111*")-SUMIFS(E1057:E1509,K1057:K1509,"0",B1057:B1509,"5 1 2 1 6 12 31111*")</f>
        <v>0</v>
      </c>
      <c r="E1056" s="29"/>
      <c r="F1056" s="28">
        <f>SUMIFS(F1057:F1509,K1057:K1509,"0",B1057:B1509,"5 1 2 1 6 12 31111*")</f>
        <v>247543.98</v>
      </c>
      <c r="G1056" s="28">
        <f>SUMIFS(G1057:G1509,K1057:K1509,"0",B1057:B1509,"5 1 2 1 6 12 31111*")</f>
        <v>0</v>
      </c>
      <c r="H1056" s="28">
        <f t="shared" ref="H1056:H1119" si="21">D1056 + F1056 - G1056</f>
        <v>247543.98</v>
      </c>
      <c r="I1056" s="28"/>
      <c r="K1056" t="s">
        <v>15</v>
      </c>
    </row>
    <row r="1057" spans="2:11" ht="13" x14ac:dyDescent="0.15">
      <c r="B1057" s="27" t="s">
        <v>1374</v>
      </c>
      <c r="C1057" s="27" t="s">
        <v>30</v>
      </c>
      <c r="D1057" s="28">
        <f>SUMIFS(D1058:D1509,K1058:K1509,"0",B1058:B1509,"5 1 2 1 6 12 31111 6*")-SUMIFS(E1058:E1509,K1058:K1509,"0",B1058:B1509,"5 1 2 1 6 12 31111 6*")</f>
        <v>0</v>
      </c>
      <c r="E1057" s="29"/>
      <c r="F1057" s="28">
        <f>SUMIFS(F1058:F1509,K1058:K1509,"0",B1058:B1509,"5 1 2 1 6 12 31111 6*")</f>
        <v>247543.98</v>
      </c>
      <c r="G1057" s="28">
        <f>SUMIFS(G1058:G1509,K1058:K1509,"0",B1058:B1509,"5 1 2 1 6 12 31111 6*")</f>
        <v>0</v>
      </c>
      <c r="H1057" s="28">
        <f t="shared" si="21"/>
        <v>247543.98</v>
      </c>
      <c r="I1057" s="28"/>
      <c r="K1057" t="s">
        <v>15</v>
      </c>
    </row>
    <row r="1058" spans="2:11" ht="13" x14ac:dyDescent="0.15">
      <c r="B1058" s="27" t="s">
        <v>1375</v>
      </c>
      <c r="C1058" s="27" t="s">
        <v>733</v>
      </c>
      <c r="D1058" s="28">
        <f>SUMIFS(D1059:D1509,K1059:K1509,"0",B1059:B1509,"5 1 2 1 6 12 31111 6 M78*")-SUMIFS(E1059:E1509,K1059:K1509,"0",B1059:B1509,"5 1 2 1 6 12 31111 6 M78*")</f>
        <v>0</v>
      </c>
      <c r="E1058" s="29"/>
      <c r="F1058" s="28">
        <f>SUMIFS(F1059:F1509,K1059:K1509,"0",B1059:B1509,"5 1 2 1 6 12 31111 6 M78*")</f>
        <v>247543.98</v>
      </c>
      <c r="G1058" s="28">
        <f>SUMIFS(G1059:G1509,K1059:K1509,"0",B1059:B1509,"5 1 2 1 6 12 31111 6 M78*")</f>
        <v>0</v>
      </c>
      <c r="H1058" s="28">
        <f t="shared" si="21"/>
        <v>247543.98</v>
      </c>
      <c r="I1058" s="28"/>
      <c r="K1058" t="s">
        <v>15</v>
      </c>
    </row>
    <row r="1059" spans="2:11" ht="13" x14ac:dyDescent="0.15">
      <c r="B1059" s="27" t="s">
        <v>1376</v>
      </c>
      <c r="C1059" s="27" t="s">
        <v>8</v>
      </c>
      <c r="D1059" s="28">
        <f>SUMIFS(D1060:D1509,K1060:K1509,"0",B1060:B1509,"5 1 2 1 6 12 31111 6 M78 07000*")-SUMIFS(E1060:E1509,K1060:K1509,"0",B1060:B1509,"5 1 2 1 6 12 31111 6 M78 07000*")</f>
        <v>0</v>
      </c>
      <c r="E1059" s="29"/>
      <c r="F1059" s="28">
        <f>SUMIFS(F1060:F1509,K1060:K1509,"0",B1060:B1509,"5 1 2 1 6 12 31111 6 M78 07000*")</f>
        <v>247543.98</v>
      </c>
      <c r="G1059" s="28">
        <f>SUMIFS(G1060:G1509,K1060:K1509,"0",B1060:B1509,"5 1 2 1 6 12 31111 6 M78 07000*")</f>
        <v>0</v>
      </c>
      <c r="H1059" s="28">
        <f t="shared" si="21"/>
        <v>247543.98</v>
      </c>
      <c r="I1059" s="28"/>
      <c r="K1059" t="s">
        <v>15</v>
      </c>
    </row>
    <row r="1060" spans="2:11" ht="13" x14ac:dyDescent="0.15">
      <c r="B1060" s="27" t="s">
        <v>1377</v>
      </c>
      <c r="C1060" s="27" t="s">
        <v>168</v>
      </c>
      <c r="D1060" s="28">
        <f>SUMIFS(D1061:D1509,K1061:K1509,"0",B1061:B1509,"5 1 2 1 6 12 31111 6 M78 07000 151*")-SUMIFS(E1061:E1509,K1061:K1509,"0",B1061:B1509,"5 1 2 1 6 12 31111 6 M78 07000 151*")</f>
        <v>0</v>
      </c>
      <c r="E1060" s="29"/>
      <c r="F1060" s="28">
        <f>SUMIFS(F1061:F1509,K1061:K1509,"0",B1061:B1509,"5 1 2 1 6 12 31111 6 M78 07000 151*")</f>
        <v>247543.98</v>
      </c>
      <c r="G1060" s="28">
        <f>SUMIFS(G1061:G1509,K1061:K1509,"0",B1061:B1509,"5 1 2 1 6 12 31111 6 M78 07000 151*")</f>
        <v>0</v>
      </c>
      <c r="H1060" s="28">
        <f t="shared" si="21"/>
        <v>247543.98</v>
      </c>
      <c r="I1060" s="28"/>
      <c r="K1060" t="s">
        <v>15</v>
      </c>
    </row>
    <row r="1061" spans="2:11" ht="13" x14ac:dyDescent="0.15">
      <c r="B1061" s="27" t="s">
        <v>1378</v>
      </c>
      <c r="C1061" s="27" t="s">
        <v>170</v>
      </c>
      <c r="D1061" s="28">
        <f>SUMIFS(D1062:D1509,K1062:K1509,"0",B1062:B1509,"5 1 2 1 6 12 31111 6 M78 07000 151 00C*")-SUMIFS(E1062:E1509,K1062:K1509,"0",B1062:B1509,"5 1 2 1 6 12 31111 6 M78 07000 151 00C*")</f>
        <v>0</v>
      </c>
      <c r="E1061" s="29"/>
      <c r="F1061" s="28">
        <f>SUMIFS(F1062:F1509,K1062:K1509,"0",B1062:B1509,"5 1 2 1 6 12 31111 6 M78 07000 151 00C*")</f>
        <v>247543.98</v>
      </c>
      <c r="G1061" s="28">
        <f>SUMIFS(G1062:G1509,K1062:K1509,"0",B1062:B1509,"5 1 2 1 6 12 31111 6 M78 07000 151 00C*")</f>
        <v>0</v>
      </c>
      <c r="H1061" s="28">
        <f t="shared" si="21"/>
        <v>247543.98</v>
      </c>
      <c r="I1061" s="28"/>
      <c r="K1061" t="s">
        <v>15</v>
      </c>
    </row>
    <row r="1062" spans="2:11" ht="22" x14ac:dyDescent="0.15">
      <c r="B1062" s="27" t="s">
        <v>1379</v>
      </c>
      <c r="C1062" s="27" t="s">
        <v>9</v>
      </c>
      <c r="D1062" s="28">
        <f>SUMIFS(D1063:D1509,K1063:K1509,"0",B1063:B1509,"5 1 2 1 6 12 31111 6 M78 07000 151 00C 001*")-SUMIFS(E1063:E1509,K1063:K1509,"0",B1063:B1509,"5 1 2 1 6 12 31111 6 M78 07000 151 00C 001*")</f>
        <v>0</v>
      </c>
      <c r="E1062" s="29"/>
      <c r="F1062" s="28">
        <f>SUMIFS(F1063:F1509,K1063:K1509,"0",B1063:B1509,"5 1 2 1 6 12 31111 6 M78 07000 151 00C 001*")</f>
        <v>247543.98</v>
      </c>
      <c r="G1062" s="28">
        <f>SUMIFS(G1063:G1509,K1063:K1509,"0",B1063:B1509,"5 1 2 1 6 12 31111 6 M78 07000 151 00C 001*")</f>
        <v>0</v>
      </c>
      <c r="H1062" s="28">
        <f t="shared" si="21"/>
        <v>247543.98</v>
      </c>
      <c r="I1062" s="28"/>
      <c r="K1062" t="s">
        <v>15</v>
      </c>
    </row>
    <row r="1063" spans="2:11" ht="22" x14ac:dyDescent="0.15">
      <c r="B1063" s="27" t="s">
        <v>1380</v>
      </c>
      <c r="C1063" s="27" t="s">
        <v>1381</v>
      </c>
      <c r="D1063" s="28">
        <f>SUMIFS(D1064:D1509,K1064:K1509,"0",B1064:B1509,"5 1 2 1 6 12 31111 6 M78 07000 151 00C 001 21601*")-SUMIFS(E1064:E1509,K1064:K1509,"0",B1064:B1509,"5 1 2 1 6 12 31111 6 M78 07000 151 00C 001 21601*")</f>
        <v>0</v>
      </c>
      <c r="E1063" s="29"/>
      <c r="F1063" s="28">
        <f>SUMIFS(F1064:F1509,K1064:K1509,"0",B1064:B1509,"5 1 2 1 6 12 31111 6 M78 07000 151 00C 001 21601*")</f>
        <v>247543.98</v>
      </c>
      <c r="G1063" s="28">
        <f>SUMIFS(G1064:G1509,K1064:K1509,"0",B1064:B1509,"5 1 2 1 6 12 31111 6 M78 07000 151 00C 001 21601*")</f>
        <v>0</v>
      </c>
      <c r="H1063" s="28">
        <f t="shared" si="21"/>
        <v>247543.98</v>
      </c>
      <c r="I1063" s="28"/>
      <c r="K1063" t="s">
        <v>15</v>
      </c>
    </row>
    <row r="1064" spans="2:11" ht="22" x14ac:dyDescent="0.15">
      <c r="B1064" s="27" t="s">
        <v>1382</v>
      </c>
      <c r="C1064" s="27" t="s">
        <v>176</v>
      </c>
      <c r="D1064" s="28">
        <f>SUMIFS(D1065:D1509,K1065:K1509,"0",B1065:B1509,"5 1 2 1 6 12 31111 6 M78 07000 151 00C 001 21601 015*")-SUMIFS(E1065:E1509,K1065:K1509,"0",B1065:B1509,"5 1 2 1 6 12 31111 6 M78 07000 151 00C 001 21601 015*")</f>
        <v>0</v>
      </c>
      <c r="E1064" s="29"/>
      <c r="F1064" s="28">
        <f>SUMIFS(F1065:F1509,K1065:K1509,"0",B1065:B1509,"5 1 2 1 6 12 31111 6 M78 07000 151 00C 001 21601 015*")</f>
        <v>247543.98</v>
      </c>
      <c r="G1064" s="28">
        <f>SUMIFS(G1065:G1509,K1065:K1509,"0",B1065:B1509,"5 1 2 1 6 12 31111 6 M78 07000 151 00C 001 21601 015*")</f>
        <v>0</v>
      </c>
      <c r="H1064" s="28">
        <f t="shared" si="21"/>
        <v>247543.98</v>
      </c>
      <c r="I1064" s="28"/>
      <c r="K1064" t="s">
        <v>15</v>
      </c>
    </row>
    <row r="1065" spans="2:11" ht="22" x14ac:dyDescent="0.15">
      <c r="B1065" s="27" t="s">
        <v>1383</v>
      </c>
      <c r="C1065" s="27" t="s">
        <v>178</v>
      </c>
      <c r="D1065" s="28">
        <f>SUMIFS(D1066:D1509,K1066:K1509,"0",B1066:B1509,"5 1 2 1 6 12 31111 6 M78 07000 151 00C 001 21601 015 2112000*")-SUMIFS(E1066:E1509,K1066:K1509,"0",B1066:B1509,"5 1 2 1 6 12 31111 6 M78 07000 151 00C 001 21601 015 2112000*")</f>
        <v>0</v>
      </c>
      <c r="E1065" s="29"/>
      <c r="F1065" s="28">
        <f>SUMIFS(F1066:F1509,K1066:K1509,"0",B1066:B1509,"5 1 2 1 6 12 31111 6 M78 07000 151 00C 001 21601 015 2112000*")</f>
        <v>247543.98</v>
      </c>
      <c r="G1065" s="28">
        <f>SUMIFS(G1066:G1509,K1066:K1509,"0",B1066:B1509,"5 1 2 1 6 12 31111 6 M78 07000 151 00C 001 21601 015 2112000*")</f>
        <v>0</v>
      </c>
      <c r="H1065" s="28">
        <f t="shared" si="21"/>
        <v>247543.98</v>
      </c>
      <c r="I1065" s="28"/>
      <c r="K1065" t="s">
        <v>15</v>
      </c>
    </row>
    <row r="1066" spans="2:11" ht="22" x14ac:dyDescent="0.15">
      <c r="B1066" s="27" t="s">
        <v>1384</v>
      </c>
      <c r="C1066" s="27" t="s">
        <v>248</v>
      </c>
      <c r="D1066" s="28">
        <f>SUMIFS(D1067:D1509,K1067:K1509,"0",B1067:B1509,"5 1 2 1 6 12 31111 6 M78 07000 151 00C 001 21601 015 2112000 2024*")-SUMIFS(E1067:E1509,K1067:K1509,"0",B1067:B1509,"5 1 2 1 6 12 31111 6 M78 07000 151 00C 001 21601 015 2112000 2024*")</f>
        <v>0</v>
      </c>
      <c r="E1066" s="29"/>
      <c r="F1066" s="28">
        <f>SUMIFS(F1067:F1509,K1067:K1509,"0",B1067:B1509,"5 1 2 1 6 12 31111 6 M78 07000 151 00C 001 21601 015 2112000 2024*")</f>
        <v>247543.98</v>
      </c>
      <c r="G1066" s="28">
        <f>SUMIFS(G1067:G1509,K1067:K1509,"0",B1067:B1509,"5 1 2 1 6 12 31111 6 M78 07000 151 00C 001 21601 015 2112000 2024*")</f>
        <v>0</v>
      </c>
      <c r="H1066" s="28">
        <f t="shared" si="21"/>
        <v>247543.98</v>
      </c>
      <c r="I1066" s="28"/>
      <c r="K1066" t="s">
        <v>15</v>
      </c>
    </row>
    <row r="1067" spans="2:11" ht="22" x14ac:dyDescent="0.15">
      <c r="B1067" s="27" t="s">
        <v>1385</v>
      </c>
      <c r="C1067" s="27" t="s">
        <v>182</v>
      </c>
      <c r="D1067" s="28">
        <f>SUMIFS(D1068:D1509,K1068:K1509,"0",B1068:B1509,"5 1 2 1 6 12 31111 6 M78 07000 151 00C 001 21601 015 2112000 2024 00000000*")-SUMIFS(E1068:E1509,K1068:K1509,"0",B1068:B1509,"5 1 2 1 6 12 31111 6 M78 07000 151 00C 001 21601 015 2112000 2024 00000000*")</f>
        <v>0</v>
      </c>
      <c r="E1067" s="29"/>
      <c r="F1067" s="28">
        <f>SUMIFS(F1068:F1509,K1068:K1509,"0",B1068:B1509,"5 1 2 1 6 12 31111 6 M78 07000 151 00C 001 21601 015 2112000 2024 00000000*")</f>
        <v>247543.98</v>
      </c>
      <c r="G1067" s="28">
        <f>SUMIFS(G1068:G1509,K1068:K1509,"0",B1068:B1509,"5 1 2 1 6 12 31111 6 M78 07000 151 00C 001 21601 015 2112000 2024 00000000*")</f>
        <v>0</v>
      </c>
      <c r="H1067" s="28">
        <f t="shared" si="21"/>
        <v>247543.98</v>
      </c>
      <c r="I1067" s="28"/>
      <c r="K1067" t="s">
        <v>15</v>
      </c>
    </row>
    <row r="1068" spans="2:11" ht="33" x14ac:dyDescent="0.15">
      <c r="B1068" s="27" t="s">
        <v>1386</v>
      </c>
      <c r="C1068" s="27" t="s">
        <v>9</v>
      </c>
      <c r="D1068" s="28">
        <f>SUMIFS(D1069:D1509,K1069:K1509,"0",B1069:B1509,"5 1 2 1 6 12 31111 6 M78 07000 151 00C 001 21601 015 2112000 2024 00000000 001*")-SUMIFS(E1069:E1509,K1069:K1509,"0",B1069:B1509,"5 1 2 1 6 12 31111 6 M78 07000 151 00C 001 21601 015 2112000 2024 00000000 001*")</f>
        <v>0</v>
      </c>
      <c r="E1068" s="29"/>
      <c r="F1068" s="28">
        <f>SUMIFS(F1069:F1509,K1069:K1509,"0",B1069:B1509,"5 1 2 1 6 12 31111 6 M78 07000 151 00C 001 21601 015 2112000 2024 00000000 001*")</f>
        <v>247543.98</v>
      </c>
      <c r="G1068" s="28">
        <f>SUMIFS(G1069:G1509,K1069:K1509,"0",B1069:B1509,"5 1 2 1 6 12 31111 6 M78 07000 151 00C 001 21601 015 2112000 2024 00000000 001*")</f>
        <v>0</v>
      </c>
      <c r="H1068" s="28">
        <f t="shared" si="21"/>
        <v>247543.98</v>
      </c>
      <c r="I1068" s="28"/>
      <c r="K1068" t="s">
        <v>15</v>
      </c>
    </row>
    <row r="1069" spans="2:11" ht="33" x14ac:dyDescent="0.15">
      <c r="B1069" s="30" t="s">
        <v>1387</v>
      </c>
      <c r="C1069" s="30" t="s">
        <v>1371</v>
      </c>
      <c r="D1069" s="31">
        <v>0</v>
      </c>
      <c r="E1069" s="31"/>
      <c r="F1069" s="31">
        <v>247543.98</v>
      </c>
      <c r="G1069" s="31">
        <v>0</v>
      </c>
      <c r="H1069" s="31">
        <f t="shared" si="21"/>
        <v>247543.98</v>
      </c>
      <c r="I1069" s="31"/>
      <c r="K1069" t="s">
        <v>38</v>
      </c>
    </row>
    <row r="1070" spans="2:11" ht="13" x14ac:dyDescent="0.15">
      <c r="B1070" s="27" t="s">
        <v>1388</v>
      </c>
      <c r="C1070" s="27" t="s">
        <v>1389</v>
      </c>
      <c r="D1070" s="28">
        <f>SUMIFS(D1071:D1509,K1071:K1509,"0",B1071:B1509,"5 1 2 2*")-SUMIFS(E1071:E1509,K1071:K1509,"0",B1071:B1509,"5 1 2 2*")</f>
        <v>0</v>
      </c>
      <c r="E1070" s="29"/>
      <c r="F1070" s="28">
        <f>SUMIFS(F1071:F1509,K1071:K1509,"0",B1071:B1509,"5 1 2 2*")</f>
        <v>5733.77</v>
      </c>
      <c r="G1070" s="28">
        <f>SUMIFS(G1071:G1509,K1071:K1509,"0",B1071:B1509,"5 1 2 2*")</f>
        <v>0</v>
      </c>
      <c r="H1070" s="28">
        <f t="shared" si="21"/>
        <v>5733.77</v>
      </c>
      <c r="I1070" s="28"/>
      <c r="K1070" t="s">
        <v>15</v>
      </c>
    </row>
    <row r="1071" spans="2:11" ht="13" x14ac:dyDescent="0.15">
      <c r="B1071" s="27" t="s">
        <v>1390</v>
      </c>
      <c r="C1071" s="27" t="s">
        <v>1391</v>
      </c>
      <c r="D1071" s="28">
        <f>SUMIFS(D1072:D1509,K1072:K1509,"0",B1072:B1509,"5 1 2 2 1*")-SUMIFS(E1072:E1509,K1072:K1509,"0",B1072:B1509,"5 1 2 2 1*")</f>
        <v>0</v>
      </c>
      <c r="E1071" s="29"/>
      <c r="F1071" s="28">
        <f>SUMIFS(F1072:F1509,K1072:K1509,"0",B1072:B1509,"5 1 2 2 1*")</f>
        <v>5109.7700000000004</v>
      </c>
      <c r="G1071" s="28">
        <f>SUMIFS(G1072:G1509,K1072:K1509,"0",B1072:B1509,"5 1 2 2 1*")</f>
        <v>0</v>
      </c>
      <c r="H1071" s="28">
        <f t="shared" si="21"/>
        <v>5109.7700000000004</v>
      </c>
      <c r="I1071" s="28"/>
      <c r="K1071" t="s">
        <v>15</v>
      </c>
    </row>
    <row r="1072" spans="2:11" ht="13" x14ac:dyDescent="0.15">
      <c r="B1072" s="27" t="s">
        <v>1392</v>
      </c>
      <c r="C1072" s="27" t="s">
        <v>26</v>
      </c>
      <c r="D1072" s="28">
        <f>SUMIFS(D1073:D1509,K1073:K1509,"0",B1073:B1509,"5 1 2 2 1 12*")-SUMIFS(E1073:E1509,K1073:K1509,"0",B1073:B1509,"5 1 2 2 1 12*")</f>
        <v>0</v>
      </c>
      <c r="E1072" s="29"/>
      <c r="F1072" s="28">
        <f>SUMIFS(F1073:F1509,K1073:K1509,"0",B1073:B1509,"5 1 2 2 1 12*")</f>
        <v>5109.7700000000004</v>
      </c>
      <c r="G1072" s="28">
        <f>SUMIFS(G1073:G1509,K1073:K1509,"0",B1073:B1509,"5 1 2 2 1 12*")</f>
        <v>0</v>
      </c>
      <c r="H1072" s="28">
        <f t="shared" si="21"/>
        <v>5109.7700000000004</v>
      </c>
      <c r="I1072" s="28"/>
      <c r="K1072" t="s">
        <v>15</v>
      </c>
    </row>
    <row r="1073" spans="2:11" ht="13" x14ac:dyDescent="0.15">
      <c r="B1073" s="27" t="s">
        <v>1393</v>
      </c>
      <c r="C1073" s="27" t="s">
        <v>28</v>
      </c>
      <c r="D1073" s="28">
        <f>SUMIFS(D1074:D1509,K1074:K1509,"0",B1074:B1509,"5 1 2 2 1 12 31111*")-SUMIFS(E1074:E1509,K1074:K1509,"0",B1074:B1509,"5 1 2 2 1 12 31111*")</f>
        <v>0</v>
      </c>
      <c r="E1073" s="29"/>
      <c r="F1073" s="28">
        <f>SUMIFS(F1074:F1509,K1074:K1509,"0",B1074:B1509,"5 1 2 2 1 12 31111*")</f>
        <v>5109.7700000000004</v>
      </c>
      <c r="G1073" s="28">
        <f>SUMIFS(G1074:G1509,K1074:K1509,"0",B1074:B1509,"5 1 2 2 1 12 31111*")</f>
        <v>0</v>
      </c>
      <c r="H1073" s="28">
        <f t="shared" si="21"/>
        <v>5109.7700000000004</v>
      </c>
      <c r="I1073" s="28"/>
      <c r="K1073" t="s">
        <v>15</v>
      </c>
    </row>
    <row r="1074" spans="2:11" ht="13" x14ac:dyDescent="0.15">
      <c r="B1074" s="27" t="s">
        <v>1394</v>
      </c>
      <c r="C1074" s="27" t="s">
        <v>30</v>
      </c>
      <c r="D1074" s="28">
        <f>SUMIFS(D1075:D1509,K1075:K1509,"0",B1075:B1509,"5 1 2 2 1 12 31111 6*")-SUMIFS(E1075:E1509,K1075:K1509,"0",B1075:B1509,"5 1 2 2 1 12 31111 6*")</f>
        <v>0</v>
      </c>
      <c r="E1074" s="29"/>
      <c r="F1074" s="28">
        <f>SUMIFS(F1075:F1509,K1075:K1509,"0",B1075:B1509,"5 1 2 2 1 12 31111 6*")</f>
        <v>5109.7700000000004</v>
      </c>
      <c r="G1074" s="28">
        <f>SUMIFS(G1075:G1509,K1075:K1509,"0",B1075:B1509,"5 1 2 2 1 12 31111 6*")</f>
        <v>0</v>
      </c>
      <c r="H1074" s="28">
        <f t="shared" si="21"/>
        <v>5109.7700000000004</v>
      </c>
      <c r="I1074" s="28"/>
      <c r="K1074" t="s">
        <v>15</v>
      </c>
    </row>
    <row r="1075" spans="2:11" ht="13" x14ac:dyDescent="0.15">
      <c r="B1075" s="27" t="s">
        <v>1395</v>
      </c>
      <c r="C1075" s="27" t="s">
        <v>733</v>
      </c>
      <c r="D1075" s="28">
        <f>SUMIFS(D1076:D1509,K1076:K1509,"0",B1076:B1509,"5 1 2 2 1 12 31111 6 M78*")-SUMIFS(E1076:E1509,K1076:K1509,"0",B1076:B1509,"5 1 2 2 1 12 31111 6 M78*")</f>
        <v>0</v>
      </c>
      <c r="E1075" s="29"/>
      <c r="F1075" s="28">
        <f>SUMIFS(F1076:F1509,K1076:K1509,"0",B1076:B1509,"5 1 2 2 1 12 31111 6 M78*")</f>
        <v>5109.7700000000004</v>
      </c>
      <c r="G1075" s="28">
        <f>SUMIFS(G1076:G1509,K1076:K1509,"0",B1076:B1509,"5 1 2 2 1 12 31111 6 M78*")</f>
        <v>0</v>
      </c>
      <c r="H1075" s="28">
        <f t="shared" si="21"/>
        <v>5109.7700000000004</v>
      </c>
      <c r="I1075" s="28"/>
      <c r="K1075" t="s">
        <v>15</v>
      </c>
    </row>
    <row r="1076" spans="2:11" ht="13" x14ac:dyDescent="0.15">
      <c r="B1076" s="27" t="s">
        <v>1396</v>
      </c>
      <c r="C1076" s="27" t="s">
        <v>8</v>
      </c>
      <c r="D1076" s="28">
        <f>SUMIFS(D1077:D1509,K1077:K1509,"0",B1077:B1509,"5 1 2 2 1 12 31111 6 M78 07000*")-SUMIFS(E1077:E1509,K1077:K1509,"0",B1077:B1509,"5 1 2 2 1 12 31111 6 M78 07000*")</f>
        <v>0</v>
      </c>
      <c r="E1076" s="29"/>
      <c r="F1076" s="28">
        <f>SUMIFS(F1077:F1509,K1077:K1509,"0",B1077:B1509,"5 1 2 2 1 12 31111 6 M78 07000*")</f>
        <v>5109.7700000000004</v>
      </c>
      <c r="G1076" s="28">
        <f>SUMIFS(G1077:G1509,K1077:K1509,"0",B1077:B1509,"5 1 2 2 1 12 31111 6 M78 07000*")</f>
        <v>0</v>
      </c>
      <c r="H1076" s="28">
        <f t="shared" si="21"/>
        <v>5109.7700000000004</v>
      </c>
      <c r="I1076" s="28"/>
      <c r="K1076" t="s">
        <v>15</v>
      </c>
    </row>
    <row r="1077" spans="2:11" ht="13" x14ac:dyDescent="0.15">
      <c r="B1077" s="27" t="s">
        <v>1397</v>
      </c>
      <c r="C1077" s="27" t="s">
        <v>168</v>
      </c>
      <c r="D1077" s="28">
        <f>SUMIFS(D1078:D1509,K1078:K1509,"0",B1078:B1509,"5 1 2 2 1 12 31111 6 M78 07000 151*")-SUMIFS(E1078:E1509,K1078:K1509,"0",B1078:B1509,"5 1 2 2 1 12 31111 6 M78 07000 151*")</f>
        <v>0</v>
      </c>
      <c r="E1077" s="29"/>
      <c r="F1077" s="28">
        <f>SUMIFS(F1078:F1509,K1078:K1509,"0",B1078:B1509,"5 1 2 2 1 12 31111 6 M78 07000 151*")</f>
        <v>5109.7700000000004</v>
      </c>
      <c r="G1077" s="28">
        <f>SUMIFS(G1078:G1509,K1078:K1509,"0",B1078:B1509,"5 1 2 2 1 12 31111 6 M78 07000 151*")</f>
        <v>0</v>
      </c>
      <c r="H1077" s="28">
        <f t="shared" si="21"/>
        <v>5109.7700000000004</v>
      </c>
      <c r="I1077" s="28"/>
      <c r="K1077" t="s">
        <v>15</v>
      </c>
    </row>
    <row r="1078" spans="2:11" ht="13" x14ac:dyDescent="0.15">
      <c r="B1078" s="27" t="s">
        <v>1398</v>
      </c>
      <c r="C1078" s="27" t="s">
        <v>170</v>
      </c>
      <c r="D1078" s="28">
        <f>SUMIFS(D1079:D1509,K1079:K1509,"0",B1079:B1509,"5 1 2 2 1 12 31111 6 M78 07000 151 00C*")-SUMIFS(E1079:E1509,K1079:K1509,"0",B1079:B1509,"5 1 2 2 1 12 31111 6 M78 07000 151 00C*")</f>
        <v>0</v>
      </c>
      <c r="E1078" s="29"/>
      <c r="F1078" s="28">
        <f>SUMIFS(F1079:F1509,K1079:K1509,"0",B1079:B1509,"5 1 2 2 1 12 31111 6 M78 07000 151 00C*")</f>
        <v>5109.7700000000004</v>
      </c>
      <c r="G1078" s="28">
        <f>SUMIFS(G1079:G1509,K1079:K1509,"0",B1079:B1509,"5 1 2 2 1 12 31111 6 M78 07000 151 00C*")</f>
        <v>0</v>
      </c>
      <c r="H1078" s="28">
        <f t="shared" si="21"/>
        <v>5109.7700000000004</v>
      </c>
      <c r="I1078" s="28"/>
      <c r="K1078" t="s">
        <v>15</v>
      </c>
    </row>
    <row r="1079" spans="2:11" ht="22" x14ac:dyDescent="0.15">
      <c r="B1079" s="27" t="s">
        <v>1399</v>
      </c>
      <c r="C1079" s="27" t="s">
        <v>9</v>
      </c>
      <c r="D1079" s="28">
        <f>SUMIFS(D1080:D1509,K1080:K1509,"0",B1080:B1509,"5 1 2 2 1 12 31111 6 M78 07000 151 00C 001*")-SUMIFS(E1080:E1509,K1080:K1509,"0",B1080:B1509,"5 1 2 2 1 12 31111 6 M78 07000 151 00C 001*")</f>
        <v>0</v>
      </c>
      <c r="E1079" s="29"/>
      <c r="F1079" s="28">
        <f>SUMIFS(F1080:F1509,K1080:K1509,"0",B1080:B1509,"5 1 2 2 1 12 31111 6 M78 07000 151 00C 001*")</f>
        <v>5109.7700000000004</v>
      </c>
      <c r="G1079" s="28">
        <f>SUMIFS(G1080:G1509,K1080:K1509,"0",B1080:B1509,"5 1 2 2 1 12 31111 6 M78 07000 151 00C 001*")</f>
        <v>0</v>
      </c>
      <c r="H1079" s="28">
        <f t="shared" si="21"/>
        <v>5109.7700000000004</v>
      </c>
      <c r="I1079" s="28"/>
      <c r="K1079" t="s">
        <v>15</v>
      </c>
    </row>
    <row r="1080" spans="2:11" ht="22" x14ac:dyDescent="0.15">
      <c r="B1080" s="27" t="s">
        <v>1400</v>
      </c>
      <c r="C1080" s="27" t="s">
        <v>1401</v>
      </c>
      <c r="D1080" s="28">
        <f>SUMIFS(D1081:D1509,K1081:K1509,"0",B1081:B1509,"5 1 2 2 1 12 31111 6 M78 07000 151 00C 001 22104*")-SUMIFS(E1081:E1509,K1081:K1509,"0",B1081:B1509,"5 1 2 2 1 12 31111 6 M78 07000 151 00C 001 22104*")</f>
        <v>0</v>
      </c>
      <c r="E1080" s="29"/>
      <c r="F1080" s="28">
        <f>SUMIFS(F1081:F1509,K1081:K1509,"0",B1081:B1509,"5 1 2 2 1 12 31111 6 M78 07000 151 00C 001 22104*")</f>
        <v>5109.7700000000004</v>
      </c>
      <c r="G1080" s="28">
        <f>SUMIFS(G1081:G1509,K1081:K1509,"0",B1081:B1509,"5 1 2 2 1 12 31111 6 M78 07000 151 00C 001 22104*")</f>
        <v>0</v>
      </c>
      <c r="H1080" s="28">
        <f t="shared" si="21"/>
        <v>5109.7700000000004</v>
      </c>
      <c r="I1080" s="28"/>
      <c r="K1080" t="s">
        <v>15</v>
      </c>
    </row>
    <row r="1081" spans="2:11" ht="22" x14ac:dyDescent="0.15">
      <c r="B1081" s="27" t="s">
        <v>1402</v>
      </c>
      <c r="C1081" s="27" t="s">
        <v>176</v>
      </c>
      <c r="D1081" s="28">
        <f>SUMIFS(D1082:D1509,K1082:K1509,"0",B1082:B1509,"5 1 2 2 1 12 31111 6 M78 07000 151 00C 001 22104 015*")-SUMIFS(E1082:E1509,K1082:K1509,"0",B1082:B1509,"5 1 2 2 1 12 31111 6 M78 07000 151 00C 001 22104 015*")</f>
        <v>0</v>
      </c>
      <c r="E1081" s="29"/>
      <c r="F1081" s="28">
        <f>SUMIFS(F1082:F1509,K1082:K1509,"0",B1082:B1509,"5 1 2 2 1 12 31111 6 M78 07000 151 00C 001 22104 015*")</f>
        <v>5109.7700000000004</v>
      </c>
      <c r="G1081" s="28">
        <f>SUMIFS(G1082:G1509,K1082:K1509,"0",B1082:B1509,"5 1 2 2 1 12 31111 6 M78 07000 151 00C 001 22104 015*")</f>
        <v>0</v>
      </c>
      <c r="H1081" s="28">
        <f t="shared" si="21"/>
        <v>5109.7700000000004</v>
      </c>
      <c r="I1081" s="28"/>
      <c r="K1081" t="s">
        <v>15</v>
      </c>
    </row>
    <row r="1082" spans="2:11" ht="22" x14ac:dyDescent="0.15">
      <c r="B1082" s="27" t="s">
        <v>1403</v>
      </c>
      <c r="C1082" s="27" t="s">
        <v>178</v>
      </c>
      <c r="D1082" s="28">
        <f>SUMIFS(D1083:D1509,K1083:K1509,"0",B1083:B1509,"5 1 2 2 1 12 31111 6 M78 07000 151 00C 001 22104 015 2112000*")-SUMIFS(E1083:E1509,K1083:K1509,"0",B1083:B1509,"5 1 2 2 1 12 31111 6 M78 07000 151 00C 001 22104 015 2112000*")</f>
        <v>0</v>
      </c>
      <c r="E1082" s="29"/>
      <c r="F1082" s="28">
        <f>SUMIFS(F1083:F1509,K1083:K1509,"0",B1083:B1509,"5 1 2 2 1 12 31111 6 M78 07000 151 00C 001 22104 015 2112000*")</f>
        <v>5109.7700000000004</v>
      </c>
      <c r="G1082" s="28">
        <f>SUMIFS(G1083:G1509,K1083:K1509,"0",B1083:B1509,"5 1 2 2 1 12 31111 6 M78 07000 151 00C 001 22104 015 2112000*")</f>
        <v>0</v>
      </c>
      <c r="H1082" s="28">
        <f t="shared" si="21"/>
        <v>5109.7700000000004</v>
      </c>
      <c r="I1082" s="28"/>
      <c r="K1082" t="s">
        <v>15</v>
      </c>
    </row>
    <row r="1083" spans="2:11" ht="22" x14ac:dyDescent="0.15">
      <c r="B1083" s="27" t="s">
        <v>1404</v>
      </c>
      <c r="C1083" s="27" t="s">
        <v>248</v>
      </c>
      <c r="D1083" s="28">
        <f>SUMIFS(D1084:D1509,K1084:K1509,"0",B1084:B1509,"5 1 2 2 1 12 31111 6 M78 07000 151 00C 001 22104 015 2112000 2024*")-SUMIFS(E1084:E1509,K1084:K1509,"0",B1084:B1509,"5 1 2 2 1 12 31111 6 M78 07000 151 00C 001 22104 015 2112000 2024*")</f>
        <v>0</v>
      </c>
      <c r="E1083" s="29"/>
      <c r="F1083" s="28">
        <f>SUMIFS(F1084:F1509,K1084:K1509,"0",B1084:B1509,"5 1 2 2 1 12 31111 6 M78 07000 151 00C 001 22104 015 2112000 2024*")</f>
        <v>5109.7700000000004</v>
      </c>
      <c r="G1083" s="28">
        <f>SUMIFS(G1084:G1509,K1084:K1509,"0",B1084:B1509,"5 1 2 2 1 12 31111 6 M78 07000 151 00C 001 22104 015 2112000 2024*")</f>
        <v>0</v>
      </c>
      <c r="H1083" s="28">
        <f t="shared" si="21"/>
        <v>5109.7700000000004</v>
      </c>
      <c r="I1083" s="28"/>
      <c r="K1083" t="s">
        <v>15</v>
      </c>
    </row>
    <row r="1084" spans="2:11" ht="22" x14ac:dyDescent="0.15">
      <c r="B1084" s="27" t="s">
        <v>1405</v>
      </c>
      <c r="C1084" s="27" t="s">
        <v>182</v>
      </c>
      <c r="D1084" s="28">
        <f>SUMIFS(D1085:D1509,K1085:K1509,"0",B1085:B1509,"5 1 2 2 1 12 31111 6 M78 07000 151 00C 001 22104 015 2112000 2024 00000000*")-SUMIFS(E1085:E1509,K1085:K1509,"0",B1085:B1509,"5 1 2 2 1 12 31111 6 M78 07000 151 00C 001 22104 015 2112000 2024 00000000*")</f>
        <v>0</v>
      </c>
      <c r="E1084" s="29"/>
      <c r="F1084" s="28">
        <f>SUMIFS(F1085:F1509,K1085:K1509,"0",B1085:B1509,"5 1 2 2 1 12 31111 6 M78 07000 151 00C 001 22104 015 2112000 2024 00000000*")</f>
        <v>5109.7700000000004</v>
      </c>
      <c r="G1084" s="28">
        <f>SUMIFS(G1085:G1509,K1085:K1509,"0",B1085:B1509,"5 1 2 2 1 12 31111 6 M78 07000 151 00C 001 22104 015 2112000 2024 00000000*")</f>
        <v>0</v>
      </c>
      <c r="H1084" s="28">
        <f t="shared" si="21"/>
        <v>5109.7700000000004</v>
      </c>
      <c r="I1084" s="28"/>
      <c r="K1084" t="s">
        <v>15</v>
      </c>
    </row>
    <row r="1085" spans="2:11" ht="33" x14ac:dyDescent="0.15">
      <c r="B1085" s="27" t="s">
        <v>1406</v>
      </c>
      <c r="C1085" s="27" t="s">
        <v>9</v>
      </c>
      <c r="D1085" s="28">
        <f>SUMIFS(D1086:D1509,K1086:K1509,"0",B1086:B1509,"5 1 2 2 1 12 31111 6 M78 07000 151 00C 001 22104 015 2112000 2024 00000000 001*")-SUMIFS(E1086:E1509,K1086:K1509,"0",B1086:B1509,"5 1 2 2 1 12 31111 6 M78 07000 151 00C 001 22104 015 2112000 2024 00000000 001*")</f>
        <v>0</v>
      </c>
      <c r="E1085" s="29"/>
      <c r="F1085" s="28">
        <f>SUMIFS(F1086:F1509,K1086:K1509,"0",B1086:B1509,"5 1 2 2 1 12 31111 6 M78 07000 151 00C 001 22104 015 2112000 2024 00000000 001*")</f>
        <v>5109.7700000000004</v>
      </c>
      <c r="G1085" s="28">
        <f>SUMIFS(G1086:G1509,K1086:K1509,"0",B1086:B1509,"5 1 2 2 1 12 31111 6 M78 07000 151 00C 001 22104 015 2112000 2024 00000000 001*")</f>
        <v>0</v>
      </c>
      <c r="H1085" s="28">
        <f t="shared" si="21"/>
        <v>5109.7700000000004</v>
      </c>
      <c r="I1085" s="28"/>
      <c r="K1085" t="s">
        <v>15</v>
      </c>
    </row>
    <row r="1086" spans="2:11" ht="33" x14ac:dyDescent="0.15">
      <c r="B1086" s="30" t="s">
        <v>1407</v>
      </c>
      <c r="C1086" s="30" t="s">
        <v>1408</v>
      </c>
      <c r="D1086" s="31">
        <v>0</v>
      </c>
      <c r="E1086" s="31"/>
      <c r="F1086" s="31">
        <v>5109.7700000000004</v>
      </c>
      <c r="G1086" s="31">
        <v>0</v>
      </c>
      <c r="H1086" s="31">
        <f t="shared" si="21"/>
        <v>5109.7700000000004</v>
      </c>
      <c r="I1086" s="31"/>
      <c r="K1086" t="s">
        <v>38</v>
      </c>
    </row>
    <row r="1087" spans="2:11" ht="13" x14ac:dyDescent="0.15">
      <c r="B1087" s="27" t="s">
        <v>1409</v>
      </c>
      <c r="C1087" s="27" t="s">
        <v>1410</v>
      </c>
      <c r="D1087" s="28">
        <f>SUMIFS(D1088:D1509,K1088:K1509,"0",B1088:B1509,"5 1 2 2 3*")-SUMIFS(E1088:E1509,K1088:K1509,"0",B1088:B1509,"5 1 2 2 3*")</f>
        <v>0</v>
      </c>
      <c r="E1087" s="29"/>
      <c r="F1087" s="28">
        <f>SUMIFS(F1088:F1509,K1088:K1509,"0",B1088:B1509,"5 1 2 2 3*")</f>
        <v>624</v>
      </c>
      <c r="G1087" s="28">
        <f>SUMIFS(G1088:G1509,K1088:K1509,"0",B1088:B1509,"5 1 2 2 3*")</f>
        <v>0</v>
      </c>
      <c r="H1087" s="28">
        <f t="shared" si="21"/>
        <v>624</v>
      </c>
      <c r="I1087" s="28"/>
      <c r="K1087" t="s">
        <v>15</v>
      </c>
    </row>
    <row r="1088" spans="2:11" ht="13" x14ac:dyDescent="0.15">
      <c r="B1088" s="27" t="s">
        <v>1411</v>
      </c>
      <c r="C1088" s="27" t="s">
        <v>26</v>
      </c>
      <c r="D1088" s="28">
        <f>SUMIFS(D1089:D1509,K1089:K1509,"0",B1089:B1509,"5 1 2 2 3 12*")-SUMIFS(E1089:E1509,K1089:K1509,"0",B1089:B1509,"5 1 2 2 3 12*")</f>
        <v>0</v>
      </c>
      <c r="E1088" s="29"/>
      <c r="F1088" s="28">
        <f>SUMIFS(F1089:F1509,K1089:K1509,"0",B1089:B1509,"5 1 2 2 3 12*")</f>
        <v>624</v>
      </c>
      <c r="G1088" s="28">
        <f>SUMIFS(G1089:G1509,K1089:K1509,"0",B1089:B1509,"5 1 2 2 3 12*")</f>
        <v>0</v>
      </c>
      <c r="H1088" s="28">
        <f t="shared" si="21"/>
        <v>624</v>
      </c>
      <c r="I1088" s="28"/>
      <c r="K1088" t="s">
        <v>15</v>
      </c>
    </row>
    <row r="1089" spans="2:11" ht="13" x14ac:dyDescent="0.15">
      <c r="B1089" s="27" t="s">
        <v>1412</v>
      </c>
      <c r="C1089" s="27" t="s">
        <v>28</v>
      </c>
      <c r="D1089" s="28">
        <f>SUMIFS(D1090:D1509,K1090:K1509,"0",B1090:B1509,"5 1 2 2 3 12 31111*")-SUMIFS(E1090:E1509,K1090:K1509,"0",B1090:B1509,"5 1 2 2 3 12 31111*")</f>
        <v>0</v>
      </c>
      <c r="E1089" s="29"/>
      <c r="F1089" s="28">
        <f>SUMIFS(F1090:F1509,K1090:K1509,"0",B1090:B1509,"5 1 2 2 3 12 31111*")</f>
        <v>624</v>
      </c>
      <c r="G1089" s="28">
        <f>SUMIFS(G1090:G1509,K1090:K1509,"0",B1090:B1509,"5 1 2 2 3 12 31111*")</f>
        <v>0</v>
      </c>
      <c r="H1089" s="28">
        <f t="shared" si="21"/>
        <v>624</v>
      </c>
      <c r="I1089" s="28"/>
      <c r="K1089" t="s">
        <v>15</v>
      </c>
    </row>
    <row r="1090" spans="2:11" ht="13" x14ac:dyDescent="0.15">
      <c r="B1090" s="27" t="s">
        <v>1413</v>
      </c>
      <c r="C1090" s="27" t="s">
        <v>30</v>
      </c>
      <c r="D1090" s="28">
        <f>SUMIFS(D1091:D1509,K1091:K1509,"0",B1091:B1509,"5 1 2 2 3 12 31111 6*")-SUMIFS(E1091:E1509,K1091:K1509,"0",B1091:B1509,"5 1 2 2 3 12 31111 6*")</f>
        <v>0</v>
      </c>
      <c r="E1090" s="29"/>
      <c r="F1090" s="28">
        <f>SUMIFS(F1091:F1509,K1091:K1509,"0",B1091:B1509,"5 1 2 2 3 12 31111 6*")</f>
        <v>624</v>
      </c>
      <c r="G1090" s="28">
        <f>SUMIFS(G1091:G1509,K1091:K1509,"0",B1091:B1509,"5 1 2 2 3 12 31111 6*")</f>
        <v>0</v>
      </c>
      <c r="H1090" s="28">
        <f t="shared" si="21"/>
        <v>624</v>
      </c>
      <c r="I1090" s="28"/>
      <c r="K1090" t="s">
        <v>15</v>
      </c>
    </row>
    <row r="1091" spans="2:11" ht="13" x14ac:dyDescent="0.15">
      <c r="B1091" s="27" t="s">
        <v>1414</v>
      </c>
      <c r="C1091" s="27" t="s">
        <v>733</v>
      </c>
      <c r="D1091" s="28">
        <f>SUMIFS(D1092:D1509,K1092:K1509,"0",B1092:B1509,"5 1 2 2 3 12 31111 6 M78*")-SUMIFS(E1092:E1509,K1092:K1509,"0",B1092:B1509,"5 1 2 2 3 12 31111 6 M78*")</f>
        <v>0</v>
      </c>
      <c r="E1091" s="29"/>
      <c r="F1091" s="28">
        <f>SUMIFS(F1092:F1509,K1092:K1509,"0",B1092:B1509,"5 1 2 2 3 12 31111 6 M78*")</f>
        <v>624</v>
      </c>
      <c r="G1091" s="28">
        <f>SUMIFS(G1092:G1509,K1092:K1509,"0",B1092:B1509,"5 1 2 2 3 12 31111 6 M78*")</f>
        <v>0</v>
      </c>
      <c r="H1091" s="28">
        <f t="shared" si="21"/>
        <v>624</v>
      </c>
      <c r="I1091" s="28"/>
      <c r="K1091" t="s">
        <v>15</v>
      </c>
    </row>
    <row r="1092" spans="2:11" ht="13" x14ac:dyDescent="0.15">
      <c r="B1092" s="27" t="s">
        <v>1415</v>
      </c>
      <c r="C1092" s="27" t="s">
        <v>8</v>
      </c>
      <c r="D1092" s="28">
        <f>SUMIFS(D1093:D1509,K1093:K1509,"0",B1093:B1509,"5 1 2 2 3 12 31111 6 M78 07000*")-SUMIFS(E1093:E1509,K1093:K1509,"0",B1093:B1509,"5 1 2 2 3 12 31111 6 M78 07000*")</f>
        <v>0</v>
      </c>
      <c r="E1092" s="29"/>
      <c r="F1092" s="28">
        <f>SUMIFS(F1093:F1509,K1093:K1509,"0",B1093:B1509,"5 1 2 2 3 12 31111 6 M78 07000*")</f>
        <v>624</v>
      </c>
      <c r="G1092" s="28">
        <f>SUMIFS(G1093:G1509,K1093:K1509,"0",B1093:B1509,"5 1 2 2 3 12 31111 6 M78 07000*")</f>
        <v>0</v>
      </c>
      <c r="H1092" s="28">
        <f t="shared" si="21"/>
        <v>624</v>
      </c>
      <c r="I1092" s="28"/>
      <c r="K1092" t="s">
        <v>15</v>
      </c>
    </row>
    <row r="1093" spans="2:11" ht="13" x14ac:dyDescent="0.15">
      <c r="B1093" s="27" t="s">
        <v>1416</v>
      </c>
      <c r="C1093" s="27" t="s">
        <v>168</v>
      </c>
      <c r="D1093" s="28">
        <f>SUMIFS(D1094:D1509,K1094:K1509,"0",B1094:B1509,"5 1 2 2 3 12 31111 6 M78 07000 151*")-SUMIFS(E1094:E1509,K1094:K1509,"0",B1094:B1509,"5 1 2 2 3 12 31111 6 M78 07000 151*")</f>
        <v>0</v>
      </c>
      <c r="E1093" s="29"/>
      <c r="F1093" s="28">
        <f>SUMIFS(F1094:F1509,K1094:K1509,"0",B1094:B1509,"5 1 2 2 3 12 31111 6 M78 07000 151*")</f>
        <v>624</v>
      </c>
      <c r="G1093" s="28">
        <f>SUMIFS(G1094:G1509,K1094:K1509,"0",B1094:B1509,"5 1 2 2 3 12 31111 6 M78 07000 151*")</f>
        <v>0</v>
      </c>
      <c r="H1093" s="28">
        <f t="shared" si="21"/>
        <v>624</v>
      </c>
      <c r="I1093" s="28"/>
      <c r="K1093" t="s">
        <v>15</v>
      </c>
    </row>
    <row r="1094" spans="2:11" ht="13" x14ac:dyDescent="0.15">
      <c r="B1094" s="27" t="s">
        <v>1417</v>
      </c>
      <c r="C1094" s="27" t="s">
        <v>170</v>
      </c>
      <c r="D1094" s="28">
        <f>SUMIFS(D1095:D1509,K1095:K1509,"0",B1095:B1509,"5 1 2 2 3 12 31111 6 M78 07000 151 00C*")-SUMIFS(E1095:E1509,K1095:K1509,"0",B1095:B1509,"5 1 2 2 3 12 31111 6 M78 07000 151 00C*")</f>
        <v>0</v>
      </c>
      <c r="E1094" s="29"/>
      <c r="F1094" s="28">
        <f>SUMIFS(F1095:F1509,K1095:K1509,"0",B1095:B1509,"5 1 2 2 3 12 31111 6 M78 07000 151 00C*")</f>
        <v>624</v>
      </c>
      <c r="G1094" s="28">
        <f>SUMIFS(G1095:G1509,K1095:K1509,"0",B1095:B1509,"5 1 2 2 3 12 31111 6 M78 07000 151 00C*")</f>
        <v>0</v>
      </c>
      <c r="H1094" s="28">
        <f t="shared" si="21"/>
        <v>624</v>
      </c>
      <c r="I1094" s="28"/>
      <c r="K1094" t="s">
        <v>15</v>
      </c>
    </row>
    <row r="1095" spans="2:11" ht="22" x14ac:dyDescent="0.15">
      <c r="B1095" s="27" t="s">
        <v>1418</v>
      </c>
      <c r="C1095" s="27" t="s">
        <v>9</v>
      </c>
      <c r="D1095" s="28">
        <f>SUMIFS(D1096:D1509,K1096:K1509,"0",B1096:B1509,"5 1 2 2 3 12 31111 6 M78 07000 151 00C 001*")-SUMIFS(E1096:E1509,K1096:K1509,"0",B1096:B1509,"5 1 2 2 3 12 31111 6 M78 07000 151 00C 001*")</f>
        <v>0</v>
      </c>
      <c r="E1095" s="29"/>
      <c r="F1095" s="28">
        <f>SUMIFS(F1096:F1509,K1096:K1509,"0",B1096:B1509,"5 1 2 2 3 12 31111 6 M78 07000 151 00C 001*")</f>
        <v>624</v>
      </c>
      <c r="G1095" s="28">
        <f>SUMIFS(G1096:G1509,K1096:K1509,"0",B1096:B1509,"5 1 2 2 3 12 31111 6 M78 07000 151 00C 001*")</f>
        <v>0</v>
      </c>
      <c r="H1095" s="28">
        <f t="shared" si="21"/>
        <v>624</v>
      </c>
      <c r="I1095" s="28"/>
      <c r="K1095" t="s">
        <v>15</v>
      </c>
    </row>
    <row r="1096" spans="2:11" ht="22" x14ac:dyDescent="0.15">
      <c r="B1096" s="27" t="s">
        <v>1419</v>
      </c>
      <c r="C1096" s="27" t="s">
        <v>1420</v>
      </c>
      <c r="D1096" s="28">
        <f>SUMIFS(D1097:D1509,K1097:K1509,"0",B1097:B1509,"5 1 2 2 3 12 31111 6 M78 07000 151 00C 001 22301*")-SUMIFS(E1097:E1509,K1097:K1509,"0",B1097:B1509,"5 1 2 2 3 12 31111 6 M78 07000 151 00C 001 22301*")</f>
        <v>0</v>
      </c>
      <c r="E1096" s="29"/>
      <c r="F1096" s="28">
        <f>SUMIFS(F1097:F1509,K1097:K1509,"0",B1097:B1509,"5 1 2 2 3 12 31111 6 M78 07000 151 00C 001 22301*")</f>
        <v>624</v>
      </c>
      <c r="G1096" s="28">
        <f>SUMIFS(G1097:G1509,K1097:K1509,"0",B1097:B1509,"5 1 2 2 3 12 31111 6 M78 07000 151 00C 001 22301*")</f>
        <v>0</v>
      </c>
      <c r="H1096" s="28">
        <f t="shared" si="21"/>
        <v>624</v>
      </c>
      <c r="I1096" s="28"/>
      <c r="K1096" t="s">
        <v>15</v>
      </c>
    </row>
    <row r="1097" spans="2:11" ht="22" x14ac:dyDescent="0.15">
      <c r="B1097" s="27" t="s">
        <v>1421</v>
      </c>
      <c r="C1097" s="27" t="s">
        <v>176</v>
      </c>
      <c r="D1097" s="28">
        <f>SUMIFS(D1098:D1509,K1098:K1509,"0",B1098:B1509,"5 1 2 2 3 12 31111 6 M78 07000 151 00C 001 22301 015*")-SUMIFS(E1098:E1509,K1098:K1509,"0",B1098:B1509,"5 1 2 2 3 12 31111 6 M78 07000 151 00C 001 22301 015*")</f>
        <v>0</v>
      </c>
      <c r="E1097" s="29"/>
      <c r="F1097" s="28">
        <f>SUMIFS(F1098:F1509,K1098:K1509,"0",B1098:B1509,"5 1 2 2 3 12 31111 6 M78 07000 151 00C 001 22301 015*")</f>
        <v>624</v>
      </c>
      <c r="G1097" s="28">
        <f>SUMIFS(G1098:G1509,K1098:K1509,"0",B1098:B1509,"5 1 2 2 3 12 31111 6 M78 07000 151 00C 001 22301 015*")</f>
        <v>0</v>
      </c>
      <c r="H1097" s="28">
        <f t="shared" si="21"/>
        <v>624</v>
      </c>
      <c r="I1097" s="28"/>
      <c r="K1097" t="s">
        <v>15</v>
      </c>
    </row>
    <row r="1098" spans="2:11" ht="22" x14ac:dyDescent="0.15">
      <c r="B1098" s="27" t="s">
        <v>1422</v>
      </c>
      <c r="C1098" s="27" t="s">
        <v>178</v>
      </c>
      <c r="D1098" s="28">
        <f>SUMIFS(D1099:D1509,K1099:K1509,"0",B1099:B1509,"5 1 2 2 3 12 31111 6 M78 07000 151 00C 001 22301 015 2112000*")-SUMIFS(E1099:E1509,K1099:K1509,"0",B1099:B1509,"5 1 2 2 3 12 31111 6 M78 07000 151 00C 001 22301 015 2112000*")</f>
        <v>0</v>
      </c>
      <c r="E1098" s="29"/>
      <c r="F1098" s="28">
        <f>SUMIFS(F1099:F1509,K1099:K1509,"0",B1099:B1509,"5 1 2 2 3 12 31111 6 M78 07000 151 00C 001 22301 015 2112000*")</f>
        <v>624</v>
      </c>
      <c r="G1098" s="28">
        <f>SUMIFS(G1099:G1509,K1099:K1509,"0",B1099:B1509,"5 1 2 2 3 12 31111 6 M78 07000 151 00C 001 22301 015 2112000*")</f>
        <v>0</v>
      </c>
      <c r="H1098" s="28">
        <f t="shared" si="21"/>
        <v>624</v>
      </c>
      <c r="I1098" s="28"/>
      <c r="K1098" t="s">
        <v>15</v>
      </c>
    </row>
    <row r="1099" spans="2:11" ht="22" x14ac:dyDescent="0.15">
      <c r="B1099" s="27" t="s">
        <v>1423</v>
      </c>
      <c r="C1099" s="27" t="s">
        <v>248</v>
      </c>
      <c r="D1099" s="28">
        <f>SUMIFS(D1100:D1509,K1100:K1509,"0",B1100:B1509,"5 1 2 2 3 12 31111 6 M78 07000 151 00C 001 22301 015 2112000 2024*")-SUMIFS(E1100:E1509,K1100:K1509,"0",B1100:B1509,"5 1 2 2 3 12 31111 6 M78 07000 151 00C 001 22301 015 2112000 2024*")</f>
        <v>0</v>
      </c>
      <c r="E1099" s="29"/>
      <c r="F1099" s="28">
        <f>SUMIFS(F1100:F1509,K1100:K1509,"0",B1100:B1509,"5 1 2 2 3 12 31111 6 M78 07000 151 00C 001 22301 015 2112000 2024*")</f>
        <v>624</v>
      </c>
      <c r="G1099" s="28">
        <f>SUMIFS(G1100:G1509,K1100:K1509,"0",B1100:B1509,"5 1 2 2 3 12 31111 6 M78 07000 151 00C 001 22301 015 2112000 2024*")</f>
        <v>0</v>
      </c>
      <c r="H1099" s="28">
        <f t="shared" si="21"/>
        <v>624</v>
      </c>
      <c r="I1099" s="28"/>
      <c r="K1099" t="s">
        <v>15</v>
      </c>
    </row>
    <row r="1100" spans="2:11" ht="22" x14ac:dyDescent="0.15">
      <c r="B1100" s="27" t="s">
        <v>1424</v>
      </c>
      <c r="C1100" s="27" t="s">
        <v>182</v>
      </c>
      <c r="D1100" s="28">
        <f>SUMIFS(D1101:D1509,K1101:K1509,"0",B1101:B1509,"5 1 2 2 3 12 31111 6 M78 07000 151 00C 001 22301 015 2112000 2024 00000000*")-SUMIFS(E1101:E1509,K1101:K1509,"0",B1101:B1509,"5 1 2 2 3 12 31111 6 M78 07000 151 00C 001 22301 015 2112000 2024 00000000*")</f>
        <v>0</v>
      </c>
      <c r="E1100" s="29"/>
      <c r="F1100" s="28">
        <f>SUMIFS(F1101:F1509,K1101:K1509,"0",B1101:B1509,"5 1 2 2 3 12 31111 6 M78 07000 151 00C 001 22301 015 2112000 2024 00000000*")</f>
        <v>624</v>
      </c>
      <c r="G1100" s="28">
        <f>SUMIFS(G1101:G1509,K1101:K1509,"0",B1101:B1509,"5 1 2 2 3 12 31111 6 M78 07000 151 00C 001 22301 015 2112000 2024 00000000*")</f>
        <v>0</v>
      </c>
      <c r="H1100" s="28">
        <f t="shared" si="21"/>
        <v>624</v>
      </c>
      <c r="I1100" s="28"/>
      <c r="K1100" t="s">
        <v>15</v>
      </c>
    </row>
    <row r="1101" spans="2:11" ht="33" x14ac:dyDescent="0.15">
      <c r="B1101" s="27" t="s">
        <v>1425</v>
      </c>
      <c r="C1101" s="27" t="s">
        <v>9</v>
      </c>
      <c r="D1101" s="28">
        <f>SUMIFS(D1102:D1509,K1102:K1509,"0",B1102:B1509,"5 1 2 2 3 12 31111 6 M78 07000 151 00C 001 22301 015 2112000 2024 00000000 001*")-SUMIFS(E1102:E1509,K1102:K1509,"0",B1102:B1509,"5 1 2 2 3 12 31111 6 M78 07000 151 00C 001 22301 015 2112000 2024 00000000 001*")</f>
        <v>0</v>
      </c>
      <c r="E1101" s="29"/>
      <c r="F1101" s="28">
        <f>SUMIFS(F1102:F1509,K1102:K1509,"0",B1102:B1509,"5 1 2 2 3 12 31111 6 M78 07000 151 00C 001 22301 015 2112000 2024 00000000 001*")</f>
        <v>624</v>
      </c>
      <c r="G1101" s="28">
        <f>SUMIFS(G1102:G1509,K1102:K1509,"0",B1102:B1509,"5 1 2 2 3 12 31111 6 M78 07000 151 00C 001 22301 015 2112000 2024 00000000 001*")</f>
        <v>0</v>
      </c>
      <c r="H1101" s="28">
        <f t="shared" si="21"/>
        <v>624</v>
      </c>
      <c r="I1101" s="28"/>
      <c r="K1101" t="s">
        <v>15</v>
      </c>
    </row>
    <row r="1102" spans="2:11" ht="33" x14ac:dyDescent="0.15">
      <c r="B1102" s="30" t="s">
        <v>1426</v>
      </c>
      <c r="C1102" s="30" t="s">
        <v>1427</v>
      </c>
      <c r="D1102" s="31">
        <v>0</v>
      </c>
      <c r="E1102" s="31"/>
      <c r="F1102" s="31">
        <v>624</v>
      </c>
      <c r="G1102" s="31">
        <v>0</v>
      </c>
      <c r="H1102" s="31">
        <f t="shared" si="21"/>
        <v>624</v>
      </c>
      <c r="I1102" s="31"/>
      <c r="K1102" t="s">
        <v>38</v>
      </c>
    </row>
    <row r="1103" spans="2:11" ht="13" x14ac:dyDescent="0.15">
      <c r="B1103" s="27" t="s">
        <v>1428</v>
      </c>
      <c r="C1103" s="27" t="s">
        <v>1429</v>
      </c>
      <c r="D1103" s="28">
        <f>SUMIFS(D1104:D1509,K1104:K1509,"0",B1104:B1509,"5 1 2 4*")-SUMIFS(E1104:E1509,K1104:K1509,"0",B1104:B1509,"5 1 2 4*")</f>
        <v>0</v>
      </c>
      <c r="E1103" s="29"/>
      <c r="F1103" s="28">
        <f>SUMIFS(F1104:F1509,K1104:K1509,"0",B1104:B1509,"5 1 2 4*")</f>
        <v>184481.78</v>
      </c>
      <c r="G1103" s="28">
        <f>SUMIFS(G1104:G1509,K1104:K1509,"0",B1104:B1509,"5 1 2 4*")</f>
        <v>0</v>
      </c>
      <c r="H1103" s="28">
        <f t="shared" si="21"/>
        <v>184481.78</v>
      </c>
      <c r="I1103" s="28"/>
      <c r="K1103" t="s">
        <v>15</v>
      </c>
    </row>
    <row r="1104" spans="2:11" ht="13" x14ac:dyDescent="0.15">
      <c r="B1104" s="27" t="s">
        <v>1430</v>
      </c>
      <c r="C1104" s="27" t="s">
        <v>1431</v>
      </c>
      <c r="D1104" s="28">
        <f>SUMIFS(D1105:D1509,K1105:K1509,"0",B1105:B1509,"5 1 2 4 6*")-SUMIFS(E1105:E1509,K1105:K1509,"0",B1105:B1509,"5 1 2 4 6*")</f>
        <v>0</v>
      </c>
      <c r="E1104" s="29"/>
      <c r="F1104" s="28">
        <f>SUMIFS(F1105:F1509,K1105:K1509,"0",B1105:B1509,"5 1 2 4 6*")</f>
        <v>46203.28</v>
      </c>
      <c r="G1104" s="28">
        <f>SUMIFS(G1105:G1509,K1105:K1509,"0",B1105:B1509,"5 1 2 4 6*")</f>
        <v>0</v>
      </c>
      <c r="H1104" s="28">
        <f t="shared" si="21"/>
        <v>46203.28</v>
      </c>
      <c r="I1104" s="28"/>
      <c r="K1104" t="s">
        <v>15</v>
      </c>
    </row>
    <row r="1105" spans="2:11" ht="13" x14ac:dyDescent="0.15">
      <c r="B1105" s="27" t="s">
        <v>1432</v>
      </c>
      <c r="C1105" s="27" t="s">
        <v>26</v>
      </c>
      <c r="D1105" s="28">
        <f>SUMIFS(D1106:D1509,K1106:K1509,"0",B1106:B1509,"5 1 2 4 6 12*")-SUMIFS(E1106:E1509,K1106:K1509,"0",B1106:B1509,"5 1 2 4 6 12*")</f>
        <v>0</v>
      </c>
      <c r="E1105" s="29"/>
      <c r="F1105" s="28">
        <f>SUMIFS(F1106:F1509,K1106:K1509,"0",B1106:B1509,"5 1 2 4 6 12*")</f>
        <v>46203.28</v>
      </c>
      <c r="G1105" s="28">
        <f>SUMIFS(G1106:G1509,K1106:K1509,"0",B1106:B1509,"5 1 2 4 6 12*")</f>
        <v>0</v>
      </c>
      <c r="H1105" s="28">
        <f t="shared" si="21"/>
        <v>46203.28</v>
      </c>
      <c r="I1105" s="28"/>
      <c r="K1105" t="s">
        <v>15</v>
      </c>
    </row>
    <row r="1106" spans="2:11" ht="13" x14ac:dyDescent="0.15">
      <c r="B1106" s="27" t="s">
        <v>1433</v>
      </c>
      <c r="C1106" s="27" t="s">
        <v>28</v>
      </c>
      <c r="D1106" s="28">
        <f>SUMIFS(D1107:D1509,K1107:K1509,"0",B1107:B1509,"5 1 2 4 6 12 31111*")-SUMIFS(E1107:E1509,K1107:K1509,"0",B1107:B1509,"5 1 2 4 6 12 31111*")</f>
        <v>0</v>
      </c>
      <c r="E1106" s="29"/>
      <c r="F1106" s="28">
        <f>SUMIFS(F1107:F1509,K1107:K1509,"0",B1107:B1509,"5 1 2 4 6 12 31111*")</f>
        <v>46203.28</v>
      </c>
      <c r="G1106" s="28">
        <f>SUMIFS(G1107:G1509,K1107:K1509,"0",B1107:B1509,"5 1 2 4 6 12 31111*")</f>
        <v>0</v>
      </c>
      <c r="H1106" s="28">
        <f t="shared" si="21"/>
        <v>46203.28</v>
      </c>
      <c r="I1106" s="28"/>
      <c r="K1106" t="s">
        <v>15</v>
      </c>
    </row>
    <row r="1107" spans="2:11" ht="13" x14ac:dyDescent="0.15">
      <c r="B1107" s="27" t="s">
        <v>1434</v>
      </c>
      <c r="C1107" s="27" t="s">
        <v>30</v>
      </c>
      <c r="D1107" s="28">
        <f>SUMIFS(D1108:D1509,K1108:K1509,"0",B1108:B1509,"5 1 2 4 6 12 31111 6*")-SUMIFS(E1108:E1509,K1108:K1509,"0",B1108:B1509,"5 1 2 4 6 12 31111 6*")</f>
        <v>0</v>
      </c>
      <c r="E1107" s="29"/>
      <c r="F1107" s="28">
        <f>SUMIFS(F1108:F1509,K1108:K1509,"0",B1108:B1509,"5 1 2 4 6 12 31111 6*")</f>
        <v>46203.28</v>
      </c>
      <c r="G1107" s="28">
        <f>SUMIFS(G1108:G1509,K1108:K1509,"0",B1108:B1509,"5 1 2 4 6 12 31111 6*")</f>
        <v>0</v>
      </c>
      <c r="H1107" s="28">
        <f t="shared" si="21"/>
        <v>46203.28</v>
      </c>
      <c r="I1107" s="28"/>
      <c r="K1107" t="s">
        <v>15</v>
      </c>
    </row>
    <row r="1108" spans="2:11" ht="13" x14ac:dyDescent="0.15">
      <c r="B1108" s="27" t="s">
        <v>1435</v>
      </c>
      <c r="C1108" s="27" t="s">
        <v>733</v>
      </c>
      <c r="D1108" s="28">
        <f>SUMIFS(D1109:D1509,K1109:K1509,"0",B1109:B1509,"5 1 2 4 6 12 31111 6 M78*")-SUMIFS(E1109:E1509,K1109:K1509,"0",B1109:B1509,"5 1 2 4 6 12 31111 6 M78*")</f>
        <v>0</v>
      </c>
      <c r="E1108" s="29"/>
      <c r="F1108" s="28">
        <f>SUMIFS(F1109:F1509,K1109:K1509,"0",B1109:B1509,"5 1 2 4 6 12 31111 6 M78*")</f>
        <v>46203.28</v>
      </c>
      <c r="G1108" s="28">
        <f>SUMIFS(G1109:G1509,K1109:K1509,"0",B1109:B1509,"5 1 2 4 6 12 31111 6 M78*")</f>
        <v>0</v>
      </c>
      <c r="H1108" s="28">
        <f t="shared" si="21"/>
        <v>46203.28</v>
      </c>
      <c r="I1108" s="28"/>
      <c r="K1108" t="s">
        <v>15</v>
      </c>
    </row>
    <row r="1109" spans="2:11" ht="13" x14ac:dyDescent="0.15">
      <c r="B1109" s="27" t="s">
        <v>1436</v>
      </c>
      <c r="C1109" s="27" t="s">
        <v>8</v>
      </c>
      <c r="D1109" s="28">
        <f>SUMIFS(D1110:D1509,K1110:K1509,"0",B1110:B1509,"5 1 2 4 6 12 31111 6 M78 07000*")-SUMIFS(E1110:E1509,K1110:K1509,"0",B1110:B1509,"5 1 2 4 6 12 31111 6 M78 07000*")</f>
        <v>0</v>
      </c>
      <c r="E1109" s="29"/>
      <c r="F1109" s="28">
        <f>SUMIFS(F1110:F1509,K1110:K1509,"0",B1110:B1509,"5 1 2 4 6 12 31111 6 M78 07000*")</f>
        <v>46203.28</v>
      </c>
      <c r="G1109" s="28">
        <f>SUMIFS(G1110:G1509,K1110:K1509,"0",B1110:B1509,"5 1 2 4 6 12 31111 6 M78 07000*")</f>
        <v>0</v>
      </c>
      <c r="H1109" s="28">
        <f t="shared" si="21"/>
        <v>46203.28</v>
      </c>
      <c r="I1109" s="28"/>
      <c r="K1109" t="s">
        <v>15</v>
      </c>
    </row>
    <row r="1110" spans="2:11" ht="13" x14ac:dyDescent="0.15">
      <c r="B1110" s="27" t="s">
        <v>1437</v>
      </c>
      <c r="C1110" s="27" t="s">
        <v>168</v>
      </c>
      <c r="D1110" s="28">
        <f>SUMIFS(D1111:D1509,K1111:K1509,"0",B1111:B1509,"5 1 2 4 6 12 31111 6 M78 07000 151*")-SUMIFS(E1111:E1509,K1111:K1509,"0",B1111:B1509,"5 1 2 4 6 12 31111 6 M78 07000 151*")</f>
        <v>0</v>
      </c>
      <c r="E1110" s="29"/>
      <c r="F1110" s="28">
        <f>SUMIFS(F1111:F1509,K1111:K1509,"0",B1111:B1509,"5 1 2 4 6 12 31111 6 M78 07000 151*")</f>
        <v>46203.28</v>
      </c>
      <c r="G1110" s="28">
        <f>SUMIFS(G1111:G1509,K1111:K1509,"0",B1111:B1509,"5 1 2 4 6 12 31111 6 M78 07000 151*")</f>
        <v>0</v>
      </c>
      <c r="H1110" s="28">
        <f t="shared" si="21"/>
        <v>46203.28</v>
      </c>
      <c r="I1110" s="28"/>
      <c r="K1110" t="s">
        <v>15</v>
      </c>
    </row>
    <row r="1111" spans="2:11" ht="13" x14ac:dyDescent="0.15">
      <c r="B1111" s="27" t="s">
        <v>1438</v>
      </c>
      <c r="C1111" s="27" t="s">
        <v>170</v>
      </c>
      <c r="D1111" s="28">
        <f>SUMIFS(D1112:D1509,K1112:K1509,"0",B1112:B1509,"5 1 2 4 6 12 31111 6 M78 07000 151 00C*")-SUMIFS(E1112:E1509,K1112:K1509,"0",B1112:B1509,"5 1 2 4 6 12 31111 6 M78 07000 151 00C*")</f>
        <v>0</v>
      </c>
      <c r="E1111" s="29"/>
      <c r="F1111" s="28">
        <f>SUMIFS(F1112:F1509,K1112:K1509,"0",B1112:B1509,"5 1 2 4 6 12 31111 6 M78 07000 151 00C*")</f>
        <v>46203.28</v>
      </c>
      <c r="G1111" s="28">
        <f>SUMIFS(G1112:G1509,K1112:K1509,"0",B1112:B1509,"5 1 2 4 6 12 31111 6 M78 07000 151 00C*")</f>
        <v>0</v>
      </c>
      <c r="H1111" s="28">
        <f t="shared" si="21"/>
        <v>46203.28</v>
      </c>
      <c r="I1111" s="28"/>
      <c r="K1111" t="s">
        <v>15</v>
      </c>
    </row>
    <row r="1112" spans="2:11" ht="22" x14ac:dyDescent="0.15">
      <c r="B1112" s="27" t="s">
        <v>1439</v>
      </c>
      <c r="C1112" s="27" t="s">
        <v>9</v>
      </c>
      <c r="D1112" s="28">
        <f>SUMIFS(D1113:D1509,K1113:K1509,"0",B1113:B1509,"5 1 2 4 6 12 31111 6 M78 07000 151 00C 001*")-SUMIFS(E1113:E1509,K1113:K1509,"0",B1113:B1509,"5 1 2 4 6 12 31111 6 M78 07000 151 00C 001*")</f>
        <v>0</v>
      </c>
      <c r="E1112" s="29"/>
      <c r="F1112" s="28">
        <f>SUMIFS(F1113:F1509,K1113:K1509,"0",B1113:B1509,"5 1 2 4 6 12 31111 6 M78 07000 151 00C 001*")</f>
        <v>46203.28</v>
      </c>
      <c r="G1112" s="28">
        <f>SUMIFS(G1113:G1509,K1113:K1509,"0",B1113:B1509,"5 1 2 4 6 12 31111 6 M78 07000 151 00C 001*")</f>
        <v>0</v>
      </c>
      <c r="H1112" s="28">
        <f t="shared" si="21"/>
        <v>46203.28</v>
      </c>
      <c r="I1112" s="28"/>
      <c r="K1112" t="s">
        <v>15</v>
      </c>
    </row>
    <row r="1113" spans="2:11" ht="22" x14ac:dyDescent="0.15">
      <c r="B1113" s="27" t="s">
        <v>1440</v>
      </c>
      <c r="C1113" s="27" t="s">
        <v>1441</v>
      </c>
      <c r="D1113" s="28">
        <f>SUMIFS(D1114:D1509,K1114:K1509,"0",B1114:B1509,"5 1 2 4 6 12 31111 6 M78 07000 151 00C 001 24601*")-SUMIFS(E1114:E1509,K1114:K1509,"0",B1114:B1509,"5 1 2 4 6 12 31111 6 M78 07000 151 00C 001 24601*")</f>
        <v>0</v>
      </c>
      <c r="E1113" s="29"/>
      <c r="F1113" s="28">
        <f>SUMIFS(F1114:F1509,K1114:K1509,"0",B1114:B1509,"5 1 2 4 6 12 31111 6 M78 07000 151 00C 001 24601*")</f>
        <v>46203.28</v>
      </c>
      <c r="G1113" s="28">
        <f>SUMIFS(G1114:G1509,K1114:K1509,"0",B1114:B1509,"5 1 2 4 6 12 31111 6 M78 07000 151 00C 001 24601*")</f>
        <v>0</v>
      </c>
      <c r="H1113" s="28">
        <f t="shared" si="21"/>
        <v>46203.28</v>
      </c>
      <c r="I1113" s="28"/>
      <c r="K1113" t="s">
        <v>15</v>
      </c>
    </row>
    <row r="1114" spans="2:11" ht="22" x14ac:dyDescent="0.15">
      <c r="B1114" s="27" t="s">
        <v>1442</v>
      </c>
      <c r="C1114" s="27" t="s">
        <v>176</v>
      </c>
      <c r="D1114" s="28">
        <f>SUMIFS(D1115:D1509,K1115:K1509,"0",B1115:B1509,"5 1 2 4 6 12 31111 6 M78 07000 151 00C 001 24601 015*")-SUMIFS(E1115:E1509,K1115:K1509,"0",B1115:B1509,"5 1 2 4 6 12 31111 6 M78 07000 151 00C 001 24601 015*")</f>
        <v>0</v>
      </c>
      <c r="E1114" s="29"/>
      <c r="F1114" s="28">
        <f>SUMIFS(F1115:F1509,K1115:K1509,"0",B1115:B1509,"5 1 2 4 6 12 31111 6 M78 07000 151 00C 001 24601 015*")</f>
        <v>46203.28</v>
      </c>
      <c r="G1114" s="28">
        <f>SUMIFS(G1115:G1509,K1115:K1509,"0",B1115:B1509,"5 1 2 4 6 12 31111 6 M78 07000 151 00C 001 24601 015*")</f>
        <v>0</v>
      </c>
      <c r="H1114" s="28">
        <f t="shared" si="21"/>
        <v>46203.28</v>
      </c>
      <c r="I1114" s="28"/>
      <c r="K1114" t="s">
        <v>15</v>
      </c>
    </row>
    <row r="1115" spans="2:11" ht="22" x14ac:dyDescent="0.15">
      <c r="B1115" s="27" t="s">
        <v>1443</v>
      </c>
      <c r="C1115" s="27" t="s">
        <v>178</v>
      </c>
      <c r="D1115" s="28">
        <f>SUMIFS(D1116:D1509,K1116:K1509,"0",B1116:B1509,"5 1 2 4 6 12 31111 6 M78 07000 151 00C 001 24601 015 2112000*")-SUMIFS(E1116:E1509,K1116:K1509,"0",B1116:B1509,"5 1 2 4 6 12 31111 6 M78 07000 151 00C 001 24601 015 2112000*")</f>
        <v>0</v>
      </c>
      <c r="E1115" s="29"/>
      <c r="F1115" s="28">
        <f>SUMIFS(F1116:F1509,K1116:K1509,"0",B1116:B1509,"5 1 2 4 6 12 31111 6 M78 07000 151 00C 001 24601 015 2112000*")</f>
        <v>46203.28</v>
      </c>
      <c r="G1115" s="28">
        <f>SUMIFS(G1116:G1509,K1116:K1509,"0",B1116:B1509,"5 1 2 4 6 12 31111 6 M78 07000 151 00C 001 24601 015 2112000*")</f>
        <v>0</v>
      </c>
      <c r="H1115" s="28">
        <f t="shared" si="21"/>
        <v>46203.28</v>
      </c>
      <c r="I1115" s="28"/>
      <c r="K1115" t="s">
        <v>15</v>
      </c>
    </row>
    <row r="1116" spans="2:11" ht="22" x14ac:dyDescent="0.15">
      <c r="B1116" s="27" t="s">
        <v>1444</v>
      </c>
      <c r="C1116" s="27" t="s">
        <v>248</v>
      </c>
      <c r="D1116" s="28">
        <f>SUMIFS(D1117:D1509,K1117:K1509,"0",B1117:B1509,"5 1 2 4 6 12 31111 6 M78 07000 151 00C 001 24601 015 2112000 2024*")-SUMIFS(E1117:E1509,K1117:K1509,"0",B1117:B1509,"5 1 2 4 6 12 31111 6 M78 07000 151 00C 001 24601 015 2112000 2024*")</f>
        <v>0</v>
      </c>
      <c r="E1116" s="29"/>
      <c r="F1116" s="28">
        <f>SUMIFS(F1117:F1509,K1117:K1509,"0",B1117:B1509,"5 1 2 4 6 12 31111 6 M78 07000 151 00C 001 24601 015 2112000 2024*")</f>
        <v>46203.28</v>
      </c>
      <c r="G1116" s="28">
        <f>SUMIFS(G1117:G1509,K1117:K1509,"0",B1117:B1509,"5 1 2 4 6 12 31111 6 M78 07000 151 00C 001 24601 015 2112000 2024*")</f>
        <v>0</v>
      </c>
      <c r="H1116" s="28">
        <f t="shared" si="21"/>
        <v>46203.28</v>
      </c>
      <c r="I1116" s="28"/>
      <c r="K1116" t="s">
        <v>15</v>
      </c>
    </row>
    <row r="1117" spans="2:11" ht="22" x14ac:dyDescent="0.15">
      <c r="B1117" s="27" t="s">
        <v>1445</v>
      </c>
      <c r="C1117" s="27" t="s">
        <v>182</v>
      </c>
      <c r="D1117" s="28">
        <f>SUMIFS(D1118:D1509,K1118:K1509,"0",B1118:B1509,"5 1 2 4 6 12 31111 6 M78 07000 151 00C 001 24601 015 2112000 2024 00000000*")-SUMIFS(E1118:E1509,K1118:K1509,"0",B1118:B1509,"5 1 2 4 6 12 31111 6 M78 07000 151 00C 001 24601 015 2112000 2024 00000000*")</f>
        <v>0</v>
      </c>
      <c r="E1117" s="29"/>
      <c r="F1117" s="28">
        <f>SUMIFS(F1118:F1509,K1118:K1509,"0",B1118:B1509,"5 1 2 4 6 12 31111 6 M78 07000 151 00C 001 24601 015 2112000 2024 00000000*")</f>
        <v>46203.28</v>
      </c>
      <c r="G1117" s="28">
        <f>SUMIFS(G1118:G1509,K1118:K1509,"0",B1118:B1509,"5 1 2 4 6 12 31111 6 M78 07000 151 00C 001 24601 015 2112000 2024 00000000*")</f>
        <v>0</v>
      </c>
      <c r="H1117" s="28">
        <f t="shared" si="21"/>
        <v>46203.28</v>
      </c>
      <c r="I1117" s="28"/>
      <c r="K1117" t="s">
        <v>15</v>
      </c>
    </row>
    <row r="1118" spans="2:11" ht="33" x14ac:dyDescent="0.15">
      <c r="B1118" s="27" t="s">
        <v>1446</v>
      </c>
      <c r="C1118" s="27" t="s">
        <v>9</v>
      </c>
      <c r="D1118" s="28">
        <f>SUMIFS(D1119:D1509,K1119:K1509,"0",B1119:B1509,"5 1 2 4 6 12 31111 6 M78 07000 151 00C 001 24601 015 2112000 2024 00000000 001*")-SUMIFS(E1119:E1509,K1119:K1509,"0",B1119:B1509,"5 1 2 4 6 12 31111 6 M78 07000 151 00C 001 24601 015 2112000 2024 00000000 001*")</f>
        <v>0</v>
      </c>
      <c r="E1118" s="29"/>
      <c r="F1118" s="28">
        <f>SUMIFS(F1119:F1509,K1119:K1509,"0",B1119:B1509,"5 1 2 4 6 12 31111 6 M78 07000 151 00C 001 24601 015 2112000 2024 00000000 001*")</f>
        <v>46203.28</v>
      </c>
      <c r="G1118" s="28">
        <f>SUMIFS(G1119:G1509,K1119:K1509,"0",B1119:B1509,"5 1 2 4 6 12 31111 6 M78 07000 151 00C 001 24601 015 2112000 2024 00000000 001*")</f>
        <v>0</v>
      </c>
      <c r="H1118" s="28">
        <f t="shared" si="21"/>
        <v>46203.28</v>
      </c>
      <c r="I1118" s="28"/>
      <c r="K1118" t="s">
        <v>15</v>
      </c>
    </row>
    <row r="1119" spans="2:11" ht="33" x14ac:dyDescent="0.15">
      <c r="B1119" s="30" t="s">
        <v>1447</v>
      </c>
      <c r="C1119" s="30" t="s">
        <v>1448</v>
      </c>
      <c r="D1119" s="31">
        <v>0</v>
      </c>
      <c r="E1119" s="31"/>
      <c r="F1119" s="31">
        <v>46203.28</v>
      </c>
      <c r="G1119" s="31">
        <v>0</v>
      </c>
      <c r="H1119" s="31">
        <f t="shared" si="21"/>
        <v>46203.28</v>
      </c>
      <c r="I1119" s="31"/>
      <c r="K1119" t="s">
        <v>38</v>
      </c>
    </row>
    <row r="1120" spans="2:11" ht="13" x14ac:dyDescent="0.15">
      <c r="B1120" s="27" t="s">
        <v>1449</v>
      </c>
      <c r="C1120" s="27" t="s">
        <v>1450</v>
      </c>
      <c r="D1120" s="28">
        <f>SUMIFS(D1121:D1509,K1121:K1509,"0",B1121:B1509,"5 1 2 4 9*")-SUMIFS(E1121:E1509,K1121:K1509,"0",B1121:B1509,"5 1 2 4 9*")</f>
        <v>0</v>
      </c>
      <c r="E1120" s="29"/>
      <c r="F1120" s="28">
        <f>SUMIFS(F1121:F1509,K1121:K1509,"0",B1121:B1509,"5 1 2 4 9*")</f>
        <v>138278.5</v>
      </c>
      <c r="G1120" s="28">
        <f>SUMIFS(G1121:G1509,K1121:K1509,"0",B1121:B1509,"5 1 2 4 9*")</f>
        <v>0</v>
      </c>
      <c r="H1120" s="28">
        <f t="shared" ref="H1120:H1183" si="22">D1120 + F1120 - G1120</f>
        <v>138278.5</v>
      </c>
      <c r="I1120" s="28"/>
      <c r="K1120" t="s">
        <v>15</v>
      </c>
    </row>
    <row r="1121" spans="2:11" ht="13" x14ac:dyDescent="0.15">
      <c r="B1121" s="27" t="s">
        <v>1451</v>
      </c>
      <c r="C1121" s="27" t="s">
        <v>26</v>
      </c>
      <c r="D1121" s="28">
        <f>SUMIFS(D1122:D1509,K1122:K1509,"0",B1122:B1509,"5 1 2 4 9 12*")-SUMIFS(E1122:E1509,K1122:K1509,"0",B1122:B1509,"5 1 2 4 9 12*")</f>
        <v>0</v>
      </c>
      <c r="E1121" s="29"/>
      <c r="F1121" s="28">
        <f>SUMIFS(F1122:F1509,K1122:K1509,"0",B1122:B1509,"5 1 2 4 9 12*")</f>
        <v>138278.5</v>
      </c>
      <c r="G1121" s="28">
        <f>SUMIFS(G1122:G1509,K1122:K1509,"0",B1122:B1509,"5 1 2 4 9 12*")</f>
        <v>0</v>
      </c>
      <c r="H1121" s="28">
        <f t="shared" si="22"/>
        <v>138278.5</v>
      </c>
      <c r="I1121" s="28"/>
      <c r="K1121" t="s">
        <v>15</v>
      </c>
    </row>
    <row r="1122" spans="2:11" ht="13" x14ac:dyDescent="0.15">
      <c r="B1122" s="27" t="s">
        <v>1452</v>
      </c>
      <c r="C1122" s="27" t="s">
        <v>28</v>
      </c>
      <c r="D1122" s="28">
        <f>SUMIFS(D1123:D1509,K1123:K1509,"0",B1123:B1509,"5 1 2 4 9 12 31111*")-SUMIFS(E1123:E1509,K1123:K1509,"0",B1123:B1509,"5 1 2 4 9 12 31111*")</f>
        <v>0</v>
      </c>
      <c r="E1122" s="29"/>
      <c r="F1122" s="28">
        <f>SUMIFS(F1123:F1509,K1123:K1509,"0",B1123:B1509,"5 1 2 4 9 12 31111*")</f>
        <v>138278.5</v>
      </c>
      <c r="G1122" s="28">
        <f>SUMIFS(G1123:G1509,K1123:K1509,"0",B1123:B1509,"5 1 2 4 9 12 31111*")</f>
        <v>0</v>
      </c>
      <c r="H1122" s="28">
        <f t="shared" si="22"/>
        <v>138278.5</v>
      </c>
      <c r="I1122" s="28"/>
      <c r="K1122" t="s">
        <v>15</v>
      </c>
    </row>
    <row r="1123" spans="2:11" ht="13" x14ac:dyDescent="0.15">
      <c r="B1123" s="27" t="s">
        <v>1453</v>
      </c>
      <c r="C1123" s="27" t="s">
        <v>30</v>
      </c>
      <c r="D1123" s="28">
        <f>SUMIFS(D1124:D1509,K1124:K1509,"0",B1124:B1509,"5 1 2 4 9 12 31111 6*")-SUMIFS(E1124:E1509,K1124:K1509,"0",B1124:B1509,"5 1 2 4 9 12 31111 6*")</f>
        <v>0</v>
      </c>
      <c r="E1123" s="29"/>
      <c r="F1123" s="28">
        <f>SUMIFS(F1124:F1509,K1124:K1509,"0",B1124:B1509,"5 1 2 4 9 12 31111 6*")</f>
        <v>138278.5</v>
      </c>
      <c r="G1123" s="28">
        <f>SUMIFS(G1124:G1509,K1124:K1509,"0",B1124:B1509,"5 1 2 4 9 12 31111 6*")</f>
        <v>0</v>
      </c>
      <c r="H1123" s="28">
        <f t="shared" si="22"/>
        <v>138278.5</v>
      </c>
      <c r="I1123" s="28"/>
      <c r="K1123" t="s">
        <v>15</v>
      </c>
    </row>
    <row r="1124" spans="2:11" ht="13" x14ac:dyDescent="0.15">
      <c r="B1124" s="27" t="s">
        <v>1454</v>
      </c>
      <c r="C1124" s="27" t="s">
        <v>733</v>
      </c>
      <c r="D1124" s="28">
        <f>SUMIFS(D1125:D1509,K1125:K1509,"0",B1125:B1509,"5 1 2 4 9 12 31111 6 M78*")-SUMIFS(E1125:E1509,K1125:K1509,"0",B1125:B1509,"5 1 2 4 9 12 31111 6 M78*")</f>
        <v>0</v>
      </c>
      <c r="E1124" s="29"/>
      <c r="F1124" s="28">
        <f>SUMIFS(F1125:F1509,K1125:K1509,"0",B1125:B1509,"5 1 2 4 9 12 31111 6 M78*")</f>
        <v>138278.5</v>
      </c>
      <c r="G1124" s="28">
        <f>SUMIFS(G1125:G1509,K1125:K1509,"0",B1125:B1509,"5 1 2 4 9 12 31111 6 M78*")</f>
        <v>0</v>
      </c>
      <c r="H1124" s="28">
        <f t="shared" si="22"/>
        <v>138278.5</v>
      </c>
      <c r="I1124" s="28"/>
      <c r="K1124" t="s">
        <v>15</v>
      </c>
    </row>
    <row r="1125" spans="2:11" ht="13" x14ac:dyDescent="0.15">
      <c r="B1125" s="27" t="s">
        <v>1455</v>
      </c>
      <c r="C1125" s="27" t="s">
        <v>8</v>
      </c>
      <c r="D1125" s="28">
        <f>SUMIFS(D1126:D1509,K1126:K1509,"0",B1126:B1509,"5 1 2 4 9 12 31111 6 M78 07000*")-SUMIFS(E1126:E1509,K1126:K1509,"0",B1126:B1509,"5 1 2 4 9 12 31111 6 M78 07000*")</f>
        <v>0</v>
      </c>
      <c r="E1125" s="29"/>
      <c r="F1125" s="28">
        <f>SUMIFS(F1126:F1509,K1126:K1509,"0",B1126:B1509,"5 1 2 4 9 12 31111 6 M78 07000*")</f>
        <v>138278.5</v>
      </c>
      <c r="G1125" s="28">
        <f>SUMIFS(G1126:G1509,K1126:K1509,"0",B1126:B1509,"5 1 2 4 9 12 31111 6 M78 07000*")</f>
        <v>0</v>
      </c>
      <c r="H1125" s="28">
        <f t="shared" si="22"/>
        <v>138278.5</v>
      </c>
      <c r="I1125" s="28"/>
      <c r="K1125" t="s">
        <v>15</v>
      </c>
    </row>
    <row r="1126" spans="2:11" ht="13" x14ac:dyDescent="0.15">
      <c r="B1126" s="27" t="s">
        <v>1456</v>
      </c>
      <c r="C1126" s="27" t="s">
        <v>168</v>
      </c>
      <c r="D1126" s="28">
        <f>SUMIFS(D1127:D1509,K1127:K1509,"0",B1127:B1509,"5 1 2 4 9 12 31111 6 M78 07000 151*")-SUMIFS(E1127:E1509,K1127:K1509,"0",B1127:B1509,"5 1 2 4 9 12 31111 6 M78 07000 151*")</f>
        <v>0</v>
      </c>
      <c r="E1126" s="29"/>
      <c r="F1126" s="28">
        <f>SUMIFS(F1127:F1509,K1127:K1509,"0",B1127:B1509,"5 1 2 4 9 12 31111 6 M78 07000 151*")</f>
        <v>138278.5</v>
      </c>
      <c r="G1126" s="28">
        <f>SUMIFS(G1127:G1509,K1127:K1509,"0",B1127:B1509,"5 1 2 4 9 12 31111 6 M78 07000 151*")</f>
        <v>0</v>
      </c>
      <c r="H1126" s="28">
        <f t="shared" si="22"/>
        <v>138278.5</v>
      </c>
      <c r="I1126" s="28"/>
      <c r="K1126" t="s">
        <v>15</v>
      </c>
    </row>
    <row r="1127" spans="2:11" ht="13" x14ac:dyDescent="0.15">
      <c r="B1127" s="27" t="s">
        <v>1457</v>
      </c>
      <c r="C1127" s="27" t="s">
        <v>170</v>
      </c>
      <c r="D1127" s="28">
        <f>SUMIFS(D1128:D1509,K1128:K1509,"0",B1128:B1509,"5 1 2 4 9 12 31111 6 M78 07000 151 00C*")-SUMIFS(E1128:E1509,K1128:K1509,"0",B1128:B1509,"5 1 2 4 9 12 31111 6 M78 07000 151 00C*")</f>
        <v>0</v>
      </c>
      <c r="E1127" s="29"/>
      <c r="F1127" s="28">
        <f>SUMIFS(F1128:F1509,K1128:K1509,"0",B1128:B1509,"5 1 2 4 9 12 31111 6 M78 07000 151 00C*")</f>
        <v>138278.5</v>
      </c>
      <c r="G1127" s="28">
        <f>SUMIFS(G1128:G1509,K1128:K1509,"0",B1128:B1509,"5 1 2 4 9 12 31111 6 M78 07000 151 00C*")</f>
        <v>0</v>
      </c>
      <c r="H1127" s="28">
        <f t="shared" si="22"/>
        <v>138278.5</v>
      </c>
      <c r="I1127" s="28"/>
      <c r="K1127" t="s">
        <v>15</v>
      </c>
    </row>
    <row r="1128" spans="2:11" ht="22" x14ac:dyDescent="0.15">
      <c r="B1128" s="27" t="s">
        <v>1458</v>
      </c>
      <c r="C1128" s="27" t="s">
        <v>9</v>
      </c>
      <c r="D1128" s="28">
        <f>SUMIFS(D1129:D1509,K1129:K1509,"0",B1129:B1509,"5 1 2 4 9 12 31111 6 M78 07000 151 00C 001*")-SUMIFS(E1129:E1509,K1129:K1509,"0",B1129:B1509,"5 1 2 4 9 12 31111 6 M78 07000 151 00C 001*")</f>
        <v>0</v>
      </c>
      <c r="E1128" s="29"/>
      <c r="F1128" s="28">
        <f>SUMIFS(F1129:F1509,K1129:K1509,"0",B1129:B1509,"5 1 2 4 9 12 31111 6 M78 07000 151 00C 001*")</f>
        <v>138278.5</v>
      </c>
      <c r="G1128" s="28">
        <f>SUMIFS(G1129:G1509,K1129:K1509,"0",B1129:B1509,"5 1 2 4 9 12 31111 6 M78 07000 151 00C 001*")</f>
        <v>0</v>
      </c>
      <c r="H1128" s="28">
        <f t="shared" si="22"/>
        <v>138278.5</v>
      </c>
      <c r="I1128" s="28"/>
      <c r="K1128" t="s">
        <v>15</v>
      </c>
    </row>
    <row r="1129" spans="2:11" ht="22" x14ac:dyDescent="0.15">
      <c r="B1129" s="27" t="s">
        <v>1459</v>
      </c>
      <c r="C1129" s="27" t="s">
        <v>1460</v>
      </c>
      <c r="D1129" s="28">
        <f>SUMIFS(D1130:D1509,K1130:K1509,"0",B1130:B1509,"5 1 2 4 9 12 31111 6 M78 07000 151 00C 001 24901*")-SUMIFS(E1130:E1509,K1130:K1509,"0",B1130:B1509,"5 1 2 4 9 12 31111 6 M78 07000 151 00C 001 24901*")</f>
        <v>0</v>
      </c>
      <c r="E1129" s="29"/>
      <c r="F1129" s="28">
        <f>SUMIFS(F1130:F1509,K1130:K1509,"0",B1130:B1509,"5 1 2 4 9 12 31111 6 M78 07000 151 00C 001 24901*")</f>
        <v>138278.5</v>
      </c>
      <c r="G1129" s="28">
        <f>SUMIFS(G1130:G1509,K1130:K1509,"0",B1130:B1509,"5 1 2 4 9 12 31111 6 M78 07000 151 00C 001 24901*")</f>
        <v>0</v>
      </c>
      <c r="H1129" s="28">
        <f t="shared" si="22"/>
        <v>138278.5</v>
      </c>
      <c r="I1129" s="28"/>
      <c r="K1129" t="s">
        <v>15</v>
      </c>
    </row>
    <row r="1130" spans="2:11" ht="22" x14ac:dyDescent="0.15">
      <c r="B1130" s="27" t="s">
        <v>1461</v>
      </c>
      <c r="C1130" s="27" t="s">
        <v>176</v>
      </c>
      <c r="D1130" s="28">
        <f>SUMIFS(D1131:D1509,K1131:K1509,"0",B1131:B1509,"5 1 2 4 9 12 31111 6 M78 07000 151 00C 001 24901 015*")-SUMIFS(E1131:E1509,K1131:K1509,"0",B1131:B1509,"5 1 2 4 9 12 31111 6 M78 07000 151 00C 001 24901 015*")</f>
        <v>0</v>
      </c>
      <c r="E1130" s="29"/>
      <c r="F1130" s="28">
        <f>SUMIFS(F1131:F1509,K1131:K1509,"0",B1131:B1509,"5 1 2 4 9 12 31111 6 M78 07000 151 00C 001 24901 015*")</f>
        <v>138278.5</v>
      </c>
      <c r="G1130" s="28">
        <f>SUMIFS(G1131:G1509,K1131:K1509,"0",B1131:B1509,"5 1 2 4 9 12 31111 6 M78 07000 151 00C 001 24901 015*")</f>
        <v>0</v>
      </c>
      <c r="H1130" s="28">
        <f t="shared" si="22"/>
        <v>138278.5</v>
      </c>
      <c r="I1130" s="28"/>
      <c r="K1130" t="s">
        <v>15</v>
      </c>
    </row>
    <row r="1131" spans="2:11" ht="22" x14ac:dyDescent="0.15">
      <c r="B1131" s="27" t="s">
        <v>1462</v>
      </c>
      <c r="C1131" s="27" t="s">
        <v>178</v>
      </c>
      <c r="D1131" s="28">
        <f>SUMIFS(D1132:D1509,K1132:K1509,"0",B1132:B1509,"5 1 2 4 9 12 31111 6 M78 07000 151 00C 001 24901 015 2112000*")-SUMIFS(E1132:E1509,K1132:K1509,"0",B1132:B1509,"5 1 2 4 9 12 31111 6 M78 07000 151 00C 001 24901 015 2112000*")</f>
        <v>0</v>
      </c>
      <c r="E1131" s="29"/>
      <c r="F1131" s="28">
        <f>SUMIFS(F1132:F1509,K1132:K1509,"0",B1132:B1509,"5 1 2 4 9 12 31111 6 M78 07000 151 00C 001 24901 015 2112000*")</f>
        <v>138278.5</v>
      </c>
      <c r="G1131" s="28">
        <f>SUMIFS(G1132:G1509,K1132:K1509,"0",B1132:B1509,"5 1 2 4 9 12 31111 6 M78 07000 151 00C 001 24901 015 2112000*")</f>
        <v>0</v>
      </c>
      <c r="H1131" s="28">
        <f t="shared" si="22"/>
        <v>138278.5</v>
      </c>
      <c r="I1131" s="28"/>
      <c r="K1131" t="s">
        <v>15</v>
      </c>
    </row>
    <row r="1132" spans="2:11" ht="22" x14ac:dyDescent="0.15">
      <c r="B1132" s="27" t="s">
        <v>1463</v>
      </c>
      <c r="C1132" s="27" t="s">
        <v>248</v>
      </c>
      <c r="D1132" s="28">
        <f>SUMIFS(D1133:D1509,K1133:K1509,"0",B1133:B1509,"5 1 2 4 9 12 31111 6 M78 07000 151 00C 001 24901 015 2112000 2024*")-SUMIFS(E1133:E1509,K1133:K1509,"0",B1133:B1509,"5 1 2 4 9 12 31111 6 M78 07000 151 00C 001 24901 015 2112000 2024*")</f>
        <v>0</v>
      </c>
      <c r="E1132" s="29"/>
      <c r="F1132" s="28">
        <f>SUMIFS(F1133:F1509,K1133:K1509,"0",B1133:B1509,"5 1 2 4 9 12 31111 6 M78 07000 151 00C 001 24901 015 2112000 2024*")</f>
        <v>138278.5</v>
      </c>
      <c r="G1132" s="28">
        <f>SUMIFS(G1133:G1509,K1133:K1509,"0",B1133:B1509,"5 1 2 4 9 12 31111 6 M78 07000 151 00C 001 24901 015 2112000 2024*")</f>
        <v>0</v>
      </c>
      <c r="H1132" s="28">
        <f t="shared" si="22"/>
        <v>138278.5</v>
      </c>
      <c r="I1132" s="28"/>
      <c r="K1132" t="s">
        <v>15</v>
      </c>
    </row>
    <row r="1133" spans="2:11" ht="22" x14ac:dyDescent="0.15">
      <c r="B1133" s="27" t="s">
        <v>1464</v>
      </c>
      <c r="C1133" s="27" t="s">
        <v>182</v>
      </c>
      <c r="D1133" s="28">
        <f>SUMIFS(D1134:D1509,K1134:K1509,"0",B1134:B1509,"5 1 2 4 9 12 31111 6 M78 07000 151 00C 001 24901 015 2112000 2024 00000000*")-SUMIFS(E1134:E1509,K1134:K1509,"0",B1134:B1509,"5 1 2 4 9 12 31111 6 M78 07000 151 00C 001 24901 015 2112000 2024 00000000*")</f>
        <v>0</v>
      </c>
      <c r="E1133" s="29"/>
      <c r="F1133" s="28">
        <f>SUMIFS(F1134:F1509,K1134:K1509,"0",B1134:B1509,"5 1 2 4 9 12 31111 6 M78 07000 151 00C 001 24901 015 2112000 2024 00000000*")</f>
        <v>138278.5</v>
      </c>
      <c r="G1133" s="28">
        <f>SUMIFS(G1134:G1509,K1134:K1509,"0",B1134:B1509,"5 1 2 4 9 12 31111 6 M78 07000 151 00C 001 24901 015 2112000 2024 00000000*")</f>
        <v>0</v>
      </c>
      <c r="H1133" s="28">
        <f t="shared" si="22"/>
        <v>138278.5</v>
      </c>
      <c r="I1133" s="28"/>
      <c r="K1133" t="s">
        <v>15</v>
      </c>
    </row>
    <row r="1134" spans="2:11" ht="33" x14ac:dyDescent="0.15">
      <c r="B1134" s="27" t="s">
        <v>1465</v>
      </c>
      <c r="C1134" s="27" t="s">
        <v>9</v>
      </c>
      <c r="D1134" s="28">
        <f>SUMIFS(D1135:D1509,K1135:K1509,"0",B1135:B1509,"5 1 2 4 9 12 31111 6 M78 07000 151 00C 001 24901 015 2112000 2024 00000000 001*")-SUMIFS(E1135:E1509,K1135:K1509,"0",B1135:B1509,"5 1 2 4 9 12 31111 6 M78 07000 151 00C 001 24901 015 2112000 2024 00000000 001*")</f>
        <v>0</v>
      </c>
      <c r="E1134" s="29"/>
      <c r="F1134" s="28">
        <f>SUMIFS(F1135:F1509,K1135:K1509,"0",B1135:B1509,"5 1 2 4 9 12 31111 6 M78 07000 151 00C 001 24901 015 2112000 2024 00000000 001*")</f>
        <v>138278.5</v>
      </c>
      <c r="G1134" s="28">
        <f>SUMIFS(G1135:G1509,K1135:K1509,"0",B1135:B1509,"5 1 2 4 9 12 31111 6 M78 07000 151 00C 001 24901 015 2112000 2024 00000000 001*")</f>
        <v>0</v>
      </c>
      <c r="H1134" s="28">
        <f t="shared" si="22"/>
        <v>138278.5</v>
      </c>
      <c r="I1134" s="28"/>
      <c r="K1134" t="s">
        <v>15</v>
      </c>
    </row>
    <row r="1135" spans="2:11" ht="33" x14ac:dyDescent="0.15">
      <c r="B1135" s="30" t="s">
        <v>1466</v>
      </c>
      <c r="C1135" s="30" t="s">
        <v>1467</v>
      </c>
      <c r="D1135" s="31">
        <v>0</v>
      </c>
      <c r="E1135" s="31"/>
      <c r="F1135" s="31">
        <v>138278.5</v>
      </c>
      <c r="G1135" s="31">
        <v>0</v>
      </c>
      <c r="H1135" s="31">
        <f t="shared" si="22"/>
        <v>138278.5</v>
      </c>
      <c r="I1135" s="31"/>
      <c r="K1135" t="s">
        <v>38</v>
      </c>
    </row>
    <row r="1136" spans="2:11" ht="13" x14ac:dyDescent="0.15">
      <c r="B1136" s="27" t="s">
        <v>1468</v>
      </c>
      <c r="C1136" s="27" t="s">
        <v>1469</v>
      </c>
      <c r="D1136" s="28">
        <f>SUMIFS(D1137:D1509,K1137:K1509,"0",B1137:B1509,"5 1 2 5*")-SUMIFS(E1137:E1509,K1137:K1509,"0",B1137:B1509,"5 1 2 5*")</f>
        <v>0</v>
      </c>
      <c r="E1136" s="29"/>
      <c r="F1136" s="28">
        <f>SUMIFS(F1137:F1509,K1137:K1509,"0",B1137:B1509,"5 1 2 5*")</f>
        <v>68828.83</v>
      </c>
      <c r="G1136" s="28">
        <f>SUMIFS(G1137:G1509,K1137:K1509,"0",B1137:B1509,"5 1 2 5*")</f>
        <v>0</v>
      </c>
      <c r="H1136" s="28">
        <f t="shared" si="22"/>
        <v>68828.83</v>
      </c>
      <c r="I1136" s="28"/>
      <c r="K1136" t="s">
        <v>15</v>
      </c>
    </row>
    <row r="1137" spans="2:11" ht="13" x14ac:dyDescent="0.15">
      <c r="B1137" s="27" t="s">
        <v>1470</v>
      </c>
      <c r="C1137" s="27" t="s">
        <v>1471</v>
      </c>
      <c r="D1137" s="28">
        <f>SUMIFS(D1138:D1509,K1138:K1509,"0",B1138:B1509,"5 1 2 5 3*")-SUMIFS(E1138:E1509,K1138:K1509,"0",B1138:B1509,"5 1 2 5 3*")</f>
        <v>0</v>
      </c>
      <c r="E1137" s="29"/>
      <c r="F1137" s="28">
        <f>SUMIFS(F1138:F1509,K1138:K1509,"0",B1138:B1509,"5 1 2 5 3*")</f>
        <v>38828.769999999997</v>
      </c>
      <c r="G1137" s="28">
        <f>SUMIFS(G1138:G1509,K1138:K1509,"0",B1138:B1509,"5 1 2 5 3*")</f>
        <v>0</v>
      </c>
      <c r="H1137" s="28">
        <f t="shared" si="22"/>
        <v>38828.769999999997</v>
      </c>
      <c r="I1137" s="28"/>
      <c r="K1137" t="s">
        <v>15</v>
      </c>
    </row>
    <row r="1138" spans="2:11" ht="13" x14ac:dyDescent="0.15">
      <c r="B1138" s="27" t="s">
        <v>1472</v>
      </c>
      <c r="C1138" s="27" t="s">
        <v>26</v>
      </c>
      <c r="D1138" s="28">
        <f>SUMIFS(D1139:D1509,K1139:K1509,"0",B1139:B1509,"5 1 2 5 3 12*")-SUMIFS(E1139:E1509,K1139:K1509,"0",B1139:B1509,"5 1 2 5 3 12*")</f>
        <v>0</v>
      </c>
      <c r="E1138" s="29"/>
      <c r="F1138" s="28">
        <f>SUMIFS(F1139:F1509,K1139:K1509,"0",B1139:B1509,"5 1 2 5 3 12*")</f>
        <v>38828.769999999997</v>
      </c>
      <c r="G1138" s="28">
        <f>SUMIFS(G1139:G1509,K1139:K1509,"0",B1139:B1509,"5 1 2 5 3 12*")</f>
        <v>0</v>
      </c>
      <c r="H1138" s="28">
        <f t="shared" si="22"/>
        <v>38828.769999999997</v>
      </c>
      <c r="I1138" s="28"/>
      <c r="K1138" t="s">
        <v>15</v>
      </c>
    </row>
    <row r="1139" spans="2:11" ht="13" x14ac:dyDescent="0.15">
      <c r="B1139" s="27" t="s">
        <v>1473</v>
      </c>
      <c r="C1139" s="27" t="s">
        <v>28</v>
      </c>
      <c r="D1139" s="28">
        <f>SUMIFS(D1140:D1509,K1140:K1509,"0",B1140:B1509,"5 1 2 5 3 12 31111*")-SUMIFS(E1140:E1509,K1140:K1509,"0",B1140:B1509,"5 1 2 5 3 12 31111*")</f>
        <v>0</v>
      </c>
      <c r="E1139" s="29"/>
      <c r="F1139" s="28">
        <f>SUMIFS(F1140:F1509,K1140:K1509,"0",B1140:B1509,"5 1 2 5 3 12 31111*")</f>
        <v>38828.769999999997</v>
      </c>
      <c r="G1139" s="28">
        <f>SUMIFS(G1140:G1509,K1140:K1509,"0",B1140:B1509,"5 1 2 5 3 12 31111*")</f>
        <v>0</v>
      </c>
      <c r="H1139" s="28">
        <f t="shared" si="22"/>
        <v>38828.769999999997</v>
      </c>
      <c r="I1139" s="28"/>
      <c r="K1139" t="s">
        <v>15</v>
      </c>
    </row>
    <row r="1140" spans="2:11" ht="13" x14ac:dyDescent="0.15">
      <c r="B1140" s="27" t="s">
        <v>1474</v>
      </c>
      <c r="C1140" s="27" t="s">
        <v>30</v>
      </c>
      <c r="D1140" s="28">
        <f>SUMIFS(D1141:D1509,K1141:K1509,"0",B1141:B1509,"5 1 2 5 3 12 31111 6*")-SUMIFS(E1141:E1509,K1141:K1509,"0",B1141:B1509,"5 1 2 5 3 12 31111 6*")</f>
        <v>0</v>
      </c>
      <c r="E1140" s="29"/>
      <c r="F1140" s="28">
        <f>SUMIFS(F1141:F1509,K1141:K1509,"0",B1141:B1509,"5 1 2 5 3 12 31111 6*")</f>
        <v>38828.769999999997</v>
      </c>
      <c r="G1140" s="28">
        <f>SUMIFS(G1141:G1509,K1141:K1509,"0",B1141:B1509,"5 1 2 5 3 12 31111 6*")</f>
        <v>0</v>
      </c>
      <c r="H1140" s="28">
        <f t="shared" si="22"/>
        <v>38828.769999999997</v>
      </c>
      <c r="I1140" s="28"/>
      <c r="K1140" t="s">
        <v>15</v>
      </c>
    </row>
    <row r="1141" spans="2:11" ht="13" x14ac:dyDescent="0.15">
      <c r="B1141" s="27" t="s">
        <v>1475</v>
      </c>
      <c r="C1141" s="27" t="s">
        <v>733</v>
      </c>
      <c r="D1141" s="28">
        <f>SUMIFS(D1142:D1509,K1142:K1509,"0",B1142:B1509,"5 1 2 5 3 12 31111 6 M78*")-SUMIFS(E1142:E1509,K1142:K1509,"0",B1142:B1509,"5 1 2 5 3 12 31111 6 M78*")</f>
        <v>0</v>
      </c>
      <c r="E1141" s="29"/>
      <c r="F1141" s="28">
        <f>SUMIFS(F1142:F1509,K1142:K1509,"0",B1142:B1509,"5 1 2 5 3 12 31111 6 M78*")</f>
        <v>38828.769999999997</v>
      </c>
      <c r="G1141" s="28">
        <f>SUMIFS(G1142:G1509,K1142:K1509,"0",B1142:B1509,"5 1 2 5 3 12 31111 6 M78*")</f>
        <v>0</v>
      </c>
      <c r="H1141" s="28">
        <f t="shared" si="22"/>
        <v>38828.769999999997</v>
      </c>
      <c r="I1141" s="28"/>
      <c r="K1141" t="s">
        <v>15</v>
      </c>
    </row>
    <row r="1142" spans="2:11" ht="13" x14ac:dyDescent="0.15">
      <c r="B1142" s="27" t="s">
        <v>1476</v>
      </c>
      <c r="C1142" s="27" t="s">
        <v>8</v>
      </c>
      <c r="D1142" s="28">
        <f>SUMIFS(D1143:D1509,K1143:K1509,"0",B1143:B1509,"5 1 2 5 3 12 31111 6 M78 07000*")-SUMIFS(E1143:E1509,K1143:K1509,"0",B1143:B1509,"5 1 2 5 3 12 31111 6 M78 07000*")</f>
        <v>0</v>
      </c>
      <c r="E1142" s="29"/>
      <c r="F1142" s="28">
        <f>SUMIFS(F1143:F1509,K1143:K1509,"0",B1143:B1509,"5 1 2 5 3 12 31111 6 M78 07000*")</f>
        <v>38828.769999999997</v>
      </c>
      <c r="G1142" s="28">
        <f>SUMIFS(G1143:G1509,K1143:K1509,"0",B1143:B1509,"5 1 2 5 3 12 31111 6 M78 07000*")</f>
        <v>0</v>
      </c>
      <c r="H1142" s="28">
        <f t="shared" si="22"/>
        <v>38828.769999999997</v>
      </c>
      <c r="I1142" s="28"/>
      <c r="K1142" t="s">
        <v>15</v>
      </c>
    </row>
    <row r="1143" spans="2:11" ht="13" x14ac:dyDescent="0.15">
      <c r="B1143" s="27" t="s">
        <v>1477</v>
      </c>
      <c r="C1143" s="27" t="s">
        <v>168</v>
      </c>
      <c r="D1143" s="28">
        <f>SUMIFS(D1144:D1509,K1144:K1509,"0",B1144:B1509,"5 1 2 5 3 12 31111 6 M78 07000 151*")-SUMIFS(E1144:E1509,K1144:K1509,"0",B1144:B1509,"5 1 2 5 3 12 31111 6 M78 07000 151*")</f>
        <v>0</v>
      </c>
      <c r="E1143" s="29"/>
      <c r="F1143" s="28">
        <f>SUMIFS(F1144:F1509,K1144:K1509,"0",B1144:B1509,"5 1 2 5 3 12 31111 6 M78 07000 151*")</f>
        <v>38828.769999999997</v>
      </c>
      <c r="G1143" s="28">
        <f>SUMIFS(G1144:G1509,K1144:K1509,"0",B1144:B1509,"5 1 2 5 3 12 31111 6 M78 07000 151*")</f>
        <v>0</v>
      </c>
      <c r="H1143" s="28">
        <f t="shared" si="22"/>
        <v>38828.769999999997</v>
      </c>
      <c r="I1143" s="28"/>
      <c r="K1143" t="s">
        <v>15</v>
      </c>
    </row>
    <row r="1144" spans="2:11" ht="13" x14ac:dyDescent="0.15">
      <c r="B1144" s="27" t="s">
        <v>1478</v>
      </c>
      <c r="C1144" s="27" t="s">
        <v>170</v>
      </c>
      <c r="D1144" s="28">
        <f>SUMIFS(D1145:D1509,K1145:K1509,"0",B1145:B1509,"5 1 2 5 3 12 31111 6 M78 07000 151 00C*")-SUMIFS(E1145:E1509,K1145:K1509,"0",B1145:B1509,"5 1 2 5 3 12 31111 6 M78 07000 151 00C*")</f>
        <v>0</v>
      </c>
      <c r="E1144" s="29"/>
      <c r="F1144" s="28">
        <f>SUMIFS(F1145:F1509,K1145:K1509,"0",B1145:B1509,"5 1 2 5 3 12 31111 6 M78 07000 151 00C*")</f>
        <v>38828.769999999997</v>
      </c>
      <c r="G1144" s="28">
        <f>SUMIFS(G1145:G1509,K1145:K1509,"0",B1145:B1509,"5 1 2 5 3 12 31111 6 M78 07000 151 00C*")</f>
        <v>0</v>
      </c>
      <c r="H1144" s="28">
        <f t="shared" si="22"/>
        <v>38828.769999999997</v>
      </c>
      <c r="I1144" s="28"/>
      <c r="K1144" t="s">
        <v>15</v>
      </c>
    </row>
    <row r="1145" spans="2:11" ht="22" x14ac:dyDescent="0.15">
      <c r="B1145" s="27" t="s">
        <v>1479</v>
      </c>
      <c r="C1145" s="27" t="s">
        <v>9</v>
      </c>
      <c r="D1145" s="28">
        <f>SUMIFS(D1146:D1509,K1146:K1509,"0",B1146:B1509,"5 1 2 5 3 12 31111 6 M78 07000 151 00C 001*")-SUMIFS(E1146:E1509,K1146:K1509,"0",B1146:B1509,"5 1 2 5 3 12 31111 6 M78 07000 151 00C 001*")</f>
        <v>0</v>
      </c>
      <c r="E1145" s="29"/>
      <c r="F1145" s="28">
        <f>SUMIFS(F1146:F1509,K1146:K1509,"0",B1146:B1509,"5 1 2 5 3 12 31111 6 M78 07000 151 00C 001*")</f>
        <v>38828.769999999997</v>
      </c>
      <c r="G1145" s="28">
        <f>SUMIFS(G1146:G1509,K1146:K1509,"0",B1146:B1509,"5 1 2 5 3 12 31111 6 M78 07000 151 00C 001*")</f>
        <v>0</v>
      </c>
      <c r="H1145" s="28">
        <f t="shared" si="22"/>
        <v>38828.769999999997</v>
      </c>
      <c r="I1145" s="28"/>
      <c r="K1145" t="s">
        <v>15</v>
      </c>
    </row>
    <row r="1146" spans="2:11" ht="22" x14ac:dyDescent="0.15">
      <c r="B1146" s="27" t="s">
        <v>1480</v>
      </c>
      <c r="C1146" s="27" t="s">
        <v>1481</v>
      </c>
      <c r="D1146" s="28">
        <f>SUMIFS(D1147:D1509,K1147:K1509,"0",B1147:B1509,"5 1 2 5 3 12 31111 6 M78 07000 151 00C 001 25301*")-SUMIFS(E1147:E1509,K1147:K1509,"0",B1147:B1509,"5 1 2 5 3 12 31111 6 M78 07000 151 00C 001 25301*")</f>
        <v>0</v>
      </c>
      <c r="E1146" s="29"/>
      <c r="F1146" s="28">
        <f>SUMIFS(F1147:F1509,K1147:K1509,"0",B1147:B1509,"5 1 2 5 3 12 31111 6 M78 07000 151 00C 001 25301*")</f>
        <v>38828.769999999997</v>
      </c>
      <c r="G1146" s="28">
        <f>SUMIFS(G1147:G1509,K1147:K1509,"0",B1147:B1509,"5 1 2 5 3 12 31111 6 M78 07000 151 00C 001 25301*")</f>
        <v>0</v>
      </c>
      <c r="H1146" s="28">
        <f t="shared" si="22"/>
        <v>38828.769999999997</v>
      </c>
      <c r="I1146" s="28"/>
      <c r="K1146" t="s">
        <v>15</v>
      </c>
    </row>
    <row r="1147" spans="2:11" ht="22" x14ac:dyDescent="0.15">
      <c r="B1147" s="27" t="s">
        <v>1482</v>
      </c>
      <c r="C1147" s="27" t="s">
        <v>176</v>
      </c>
      <c r="D1147" s="28">
        <f>SUMIFS(D1148:D1509,K1148:K1509,"0",B1148:B1509,"5 1 2 5 3 12 31111 6 M78 07000 151 00C 001 25301 015*")-SUMIFS(E1148:E1509,K1148:K1509,"0",B1148:B1509,"5 1 2 5 3 12 31111 6 M78 07000 151 00C 001 25301 015*")</f>
        <v>0</v>
      </c>
      <c r="E1147" s="29"/>
      <c r="F1147" s="28">
        <f>SUMIFS(F1148:F1509,K1148:K1509,"0",B1148:B1509,"5 1 2 5 3 12 31111 6 M78 07000 151 00C 001 25301 015*")</f>
        <v>38828.769999999997</v>
      </c>
      <c r="G1147" s="28">
        <f>SUMIFS(G1148:G1509,K1148:K1509,"0",B1148:B1509,"5 1 2 5 3 12 31111 6 M78 07000 151 00C 001 25301 015*")</f>
        <v>0</v>
      </c>
      <c r="H1147" s="28">
        <f t="shared" si="22"/>
        <v>38828.769999999997</v>
      </c>
      <c r="I1147" s="28"/>
      <c r="K1147" t="s">
        <v>15</v>
      </c>
    </row>
    <row r="1148" spans="2:11" ht="22" x14ac:dyDescent="0.15">
      <c r="B1148" s="27" t="s">
        <v>1483</v>
      </c>
      <c r="C1148" s="27" t="s">
        <v>178</v>
      </c>
      <c r="D1148" s="28">
        <f>SUMIFS(D1149:D1509,K1149:K1509,"0",B1149:B1509,"5 1 2 5 3 12 31111 6 M78 07000 151 00C 001 25301 015 2112000*")-SUMIFS(E1149:E1509,K1149:K1509,"0",B1149:B1509,"5 1 2 5 3 12 31111 6 M78 07000 151 00C 001 25301 015 2112000*")</f>
        <v>0</v>
      </c>
      <c r="E1148" s="29"/>
      <c r="F1148" s="28">
        <f>SUMIFS(F1149:F1509,K1149:K1509,"0",B1149:B1509,"5 1 2 5 3 12 31111 6 M78 07000 151 00C 001 25301 015 2112000*")</f>
        <v>38828.769999999997</v>
      </c>
      <c r="G1148" s="28">
        <f>SUMIFS(G1149:G1509,K1149:K1509,"0",B1149:B1509,"5 1 2 5 3 12 31111 6 M78 07000 151 00C 001 25301 015 2112000*")</f>
        <v>0</v>
      </c>
      <c r="H1148" s="28">
        <f t="shared" si="22"/>
        <v>38828.769999999997</v>
      </c>
      <c r="I1148" s="28"/>
      <c r="K1148" t="s">
        <v>15</v>
      </c>
    </row>
    <row r="1149" spans="2:11" ht="22" x14ac:dyDescent="0.15">
      <c r="B1149" s="27" t="s">
        <v>1484</v>
      </c>
      <c r="C1149" s="27" t="s">
        <v>248</v>
      </c>
      <c r="D1149" s="28">
        <f>SUMIFS(D1150:D1509,K1150:K1509,"0",B1150:B1509,"5 1 2 5 3 12 31111 6 M78 07000 151 00C 001 25301 015 2112000 2024*")-SUMIFS(E1150:E1509,K1150:K1509,"0",B1150:B1509,"5 1 2 5 3 12 31111 6 M78 07000 151 00C 001 25301 015 2112000 2024*")</f>
        <v>0</v>
      </c>
      <c r="E1149" s="29"/>
      <c r="F1149" s="28">
        <f>SUMIFS(F1150:F1509,K1150:K1509,"0",B1150:B1509,"5 1 2 5 3 12 31111 6 M78 07000 151 00C 001 25301 015 2112000 2024*")</f>
        <v>38828.769999999997</v>
      </c>
      <c r="G1149" s="28">
        <f>SUMIFS(G1150:G1509,K1150:K1509,"0",B1150:B1509,"5 1 2 5 3 12 31111 6 M78 07000 151 00C 001 25301 015 2112000 2024*")</f>
        <v>0</v>
      </c>
      <c r="H1149" s="28">
        <f t="shared" si="22"/>
        <v>38828.769999999997</v>
      </c>
      <c r="I1149" s="28"/>
      <c r="K1149" t="s">
        <v>15</v>
      </c>
    </row>
    <row r="1150" spans="2:11" ht="22" x14ac:dyDescent="0.15">
      <c r="B1150" s="27" t="s">
        <v>1485</v>
      </c>
      <c r="C1150" s="27" t="s">
        <v>182</v>
      </c>
      <c r="D1150" s="28">
        <f>SUMIFS(D1151:D1509,K1151:K1509,"0",B1151:B1509,"5 1 2 5 3 12 31111 6 M78 07000 151 00C 001 25301 015 2112000 2024 00000000*")-SUMIFS(E1151:E1509,K1151:K1509,"0",B1151:B1509,"5 1 2 5 3 12 31111 6 M78 07000 151 00C 001 25301 015 2112000 2024 00000000*")</f>
        <v>0</v>
      </c>
      <c r="E1150" s="29"/>
      <c r="F1150" s="28">
        <f>SUMIFS(F1151:F1509,K1151:K1509,"0",B1151:B1509,"5 1 2 5 3 12 31111 6 M78 07000 151 00C 001 25301 015 2112000 2024 00000000*")</f>
        <v>38828.769999999997</v>
      </c>
      <c r="G1150" s="28">
        <f>SUMIFS(G1151:G1509,K1151:K1509,"0",B1151:B1509,"5 1 2 5 3 12 31111 6 M78 07000 151 00C 001 25301 015 2112000 2024 00000000*")</f>
        <v>0</v>
      </c>
      <c r="H1150" s="28">
        <f t="shared" si="22"/>
        <v>38828.769999999997</v>
      </c>
      <c r="I1150" s="28"/>
      <c r="K1150" t="s">
        <v>15</v>
      </c>
    </row>
    <row r="1151" spans="2:11" ht="33" x14ac:dyDescent="0.15">
      <c r="B1151" s="27" t="s">
        <v>1486</v>
      </c>
      <c r="C1151" s="27" t="s">
        <v>9</v>
      </c>
      <c r="D1151" s="28">
        <f>SUMIFS(D1152:D1509,K1152:K1509,"0",B1152:B1509,"5 1 2 5 3 12 31111 6 M78 07000 151 00C 001 25301 015 2112000 2024 00000000 001*")-SUMIFS(E1152:E1509,K1152:K1509,"0",B1152:B1509,"5 1 2 5 3 12 31111 6 M78 07000 151 00C 001 25301 015 2112000 2024 00000000 001*")</f>
        <v>0</v>
      </c>
      <c r="E1151" s="29"/>
      <c r="F1151" s="28">
        <f>SUMIFS(F1152:F1509,K1152:K1509,"0",B1152:B1509,"5 1 2 5 3 12 31111 6 M78 07000 151 00C 001 25301 015 2112000 2024 00000000 001*")</f>
        <v>38828.769999999997</v>
      </c>
      <c r="G1151" s="28">
        <f>SUMIFS(G1152:G1509,K1152:K1509,"0",B1152:B1509,"5 1 2 5 3 12 31111 6 M78 07000 151 00C 001 25301 015 2112000 2024 00000000 001*")</f>
        <v>0</v>
      </c>
      <c r="H1151" s="28">
        <f t="shared" si="22"/>
        <v>38828.769999999997</v>
      </c>
      <c r="I1151" s="28"/>
      <c r="K1151" t="s">
        <v>15</v>
      </c>
    </row>
    <row r="1152" spans="2:11" ht="33" x14ac:dyDescent="0.15">
      <c r="B1152" s="30" t="s">
        <v>1487</v>
      </c>
      <c r="C1152" s="30" t="s">
        <v>1471</v>
      </c>
      <c r="D1152" s="31">
        <v>0</v>
      </c>
      <c r="E1152" s="31"/>
      <c r="F1152" s="31">
        <v>38828.769999999997</v>
      </c>
      <c r="G1152" s="31">
        <v>0</v>
      </c>
      <c r="H1152" s="31">
        <f t="shared" si="22"/>
        <v>38828.769999999997</v>
      </c>
      <c r="I1152" s="31"/>
      <c r="K1152" t="s">
        <v>38</v>
      </c>
    </row>
    <row r="1153" spans="2:11" ht="13" x14ac:dyDescent="0.15">
      <c r="B1153" s="27" t="s">
        <v>1488</v>
      </c>
      <c r="C1153" s="27" t="s">
        <v>1489</v>
      </c>
      <c r="D1153" s="28">
        <f>SUMIFS(D1154:D1509,K1154:K1509,"0",B1154:B1509,"5 1 2 5 4*")-SUMIFS(E1154:E1509,K1154:K1509,"0",B1154:B1509,"5 1 2 5 4*")</f>
        <v>0</v>
      </c>
      <c r="E1153" s="29"/>
      <c r="F1153" s="28">
        <f>SUMIFS(F1154:F1509,K1154:K1509,"0",B1154:B1509,"5 1 2 5 4*")</f>
        <v>20000.04</v>
      </c>
      <c r="G1153" s="28">
        <f>SUMIFS(G1154:G1509,K1154:K1509,"0",B1154:B1509,"5 1 2 5 4*")</f>
        <v>0</v>
      </c>
      <c r="H1153" s="28">
        <f t="shared" si="22"/>
        <v>20000.04</v>
      </c>
      <c r="I1153" s="28"/>
      <c r="K1153" t="s">
        <v>15</v>
      </c>
    </row>
    <row r="1154" spans="2:11" ht="13" x14ac:dyDescent="0.15">
      <c r="B1154" s="27" t="s">
        <v>1490</v>
      </c>
      <c r="C1154" s="27" t="s">
        <v>26</v>
      </c>
      <c r="D1154" s="28">
        <f>SUMIFS(D1155:D1509,K1155:K1509,"0",B1155:B1509,"5 1 2 5 4 12*")-SUMIFS(E1155:E1509,K1155:K1509,"0",B1155:B1509,"5 1 2 5 4 12*")</f>
        <v>0</v>
      </c>
      <c r="E1154" s="29"/>
      <c r="F1154" s="28">
        <f>SUMIFS(F1155:F1509,K1155:K1509,"0",B1155:B1509,"5 1 2 5 4 12*")</f>
        <v>20000.04</v>
      </c>
      <c r="G1154" s="28">
        <f>SUMIFS(G1155:G1509,K1155:K1509,"0",B1155:B1509,"5 1 2 5 4 12*")</f>
        <v>0</v>
      </c>
      <c r="H1154" s="28">
        <f t="shared" si="22"/>
        <v>20000.04</v>
      </c>
      <c r="I1154" s="28"/>
      <c r="K1154" t="s">
        <v>15</v>
      </c>
    </row>
    <row r="1155" spans="2:11" ht="13" x14ac:dyDescent="0.15">
      <c r="B1155" s="27" t="s">
        <v>1491</v>
      </c>
      <c r="C1155" s="27" t="s">
        <v>28</v>
      </c>
      <c r="D1155" s="28">
        <f>SUMIFS(D1156:D1509,K1156:K1509,"0",B1156:B1509,"5 1 2 5 4 12 31111*")-SUMIFS(E1156:E1509,K1156:K1509,"0",B1156:B1509,"5 1 2 5 4 12 31111*")</f>
        <v>0</v>
      </c>
      <c r="E1155" s="29"/>
      <c r="F1155" s="28">
        <f>SUMIFS(F1156:F1509,K1156:K1509,"0",B1156:B1509,"5 1 2 5 4 12 31111*")</f>
        <v>20000.04</v>
      </c>
      <c r="G1155" s="28">
        <f>SUMIFS(G1156:G1509,K1156:K1509,"0",B1156:B1509,"5 1 2 5 4 12 31111*")</f>
        <v>0</v>
      </c>
      <c r="H1155" s="28">
        <f t="shared" si="22"/>
        <v>20000.04</v>
      </c>
      <c r="I1155" s="28"/>
      <c r="K1155" t="s">
        <v>15</v>
      </c>
    </row>
    <row r="1156" spans="2:11" ht="13" x14ac:dyDescent="0.15">
      <c r="B1156" s="27" t="s">
        <v>1492</v>
      </c>
      <c r="C1156" s="27" t="s">
        <v>30</v>
      </c>
      <c r="D1156" s="28">
        <f>SUMIFS(D1157:D1509,K1157:K1509,"0",B1157:B1509,"5 1 2 5 4 12 31111 6*")-SUMIFS(E1157:E1509,K1157:K1509,"0",B1157:B1509,"5 1 2 5 4 12 31111 6*")</f>
        <v>0</v>
      </c>
      <c r="E1156" s="29"/>
      <c r="F1156" s="28">
        <f>SUMIFS(F1157:F1509,K1157:K1509,"0",B1157:B1509,"5 1 2 5 4 12 31111 6*")</f>
        <v>20000.04</v>
      </c>
      <c r="G1156" s="28">
        <f>SUMIFS(G1157:G1509,K1157:K1509,"0",B1157:B1509,"5 1 2 5 4 12 31111 6*")</f>
        <v>0</v>
      </c>
      <c r="H1156" s="28">
        <f t="shared" si="22"/>
        <v>20000.04</v>
      </c>
      <c r="I1156" s="28"/>
      <c r="K1156" t="s">
        <v>15</v>
      </c>
    </row>
    <row r="1157" spans="2:11" ht="13" x14ac:dyDescent="0.15">
      <c r="B1157" s="27" t="s">
        <v>1493</v>
      </c>
      <c r="C1157" s="27" t="s">
        <v>733</v>
      </c>
      <c r="D1157" s="28">
        <f>SUMIFS(D1158:D1509,K1158:K1509,"0",B1158:B1509,"5 1 2 5 4 12 31111 6 M78*")-SUMIFS(E1158:E1509,K1158:K1509,"0",B1158:B1509,"5 1 2 5 4 12 31111 6 M78*")</f>
        <v>0</v>
      </c>
      <c r="E1157" s="29"/>
      <c r="F1157" s="28">
        <f>SUMIFS(F1158:F1509,K1158:K1509,"0",B1158:B1509,"5 1 2 5 4 12 31111 6 M78*")</f>
        <v>20000.04</v>
      </c>
      <c r="G1157" s="28">
        <f>SUMIFS(G1158:G1509,K1158:K1509,"0",B1158:B1509,"5 1 2 5 4 12 31111 6 M78*")</f>
        <v>0</v>
      </c>
      <c r="H1157" s="28">
        <f t="shared" si="22"/>
        <v>20000.04</v>
      </c>
      <c r="I1157" s="28"/>
      <c r="K1157" t="s">
        <v>15</v>
      </c>
    </row>
    <row r="1158" spans="2:11" ht="13" x14ac:dyDescent="0.15">
      <c r="B1158" s="27" t="s">
        <v>1494</v>
      </c>
      <c r="C1158" s="27" t="s">
        <v>8</v>
      </c>
      <c r="D1158" s="28">
        <f>SUMIFS(D1159:D1509,K1159:K1509,"0",B1159:B1509,"5 1 2 5 4 12 31111 6 M78 07000*")-SUMIFS(E1159:E1509,K1159:K1509,"0",B1159:B1509,"5 1 2 5 4 12 31111 6 M78 07000*")</f>
        <v>0</v>
      </c>
      <c r="E1158" s="29"/>
      <c r="F1158" s="28">
        <f>SUMIFS(F1159:F1509,K1159:K1509,"0",B1159:B1509,"5 1 2 5 4 12 31111 6 M78 07000*")</f>
        <v>20000.04</v>
      </c>
      <c r="G1158" s="28">
        <f>SUMIFS(G1159:G1509,K1159:K1509,"0",B1159:B1509,"5 1 2 5 4 12 31111 6 M78 07000*")</f>
        <v>0</v>
      </c>
      <c r="H1158" s="28">
        <f t="shared" si="22"/>
        <v>20000.04</v>
      </c>
      <c r="I1158" s="28"/>
      <c r="K1158" t="s">
        <v>15</v>
      </c>
    </row>
    <row r="1159" spans="2:11" ht="13" x14ac:dyDescent="0.15">
      <c r="B1159" s="27" t="s">
        <v>1495</v>
      </c>
      <c r="C1159" s="27" t="s">
        <v>168</v>
      </c>
      <c r="D1159" s="28">
        <f>SUMIFS(D1160:D1509,K1160:K1509,"0",B1160:B1509,"5 1 2 5 4 12 31111 6 M78 07000 151*")-SUMIFS(E1160:E1509,K1160:K1509,"0",B1160:B1509,"5 1 2 5 4 12 31111 6 M78 07000 151*")</f>
        <v>0</v>
      </c>
      <c r="E1159" s="29"/>
      <c r="F1159" s="28">
        <f>SUMIFS(F1160:F1509,K1160:K1509,"0",B1160:B1509,"5 1 2 5 4 12 31111 6 M78 07000 151*")</f>
        <v>20000.04</v>
      </c>
      <c r="G1159" s="28">
        <f>SUMIFS(G1160:G1509,K1160:K1509,"0",B1160:B1509,"5 1 2 5 4 12 31111 6 M78 07000 151*")</f>
        <v>0</v>
      </c>
      <c r="H1159" s="28">
        <f t="shared" si="22"/>
        <v>20000.04</v>
      </c>
      <c r="I1159" s="28"/>
      <c r="K1159" t="s">
        <v>15</v>
      </c>
    </row>
    <row r="1160" spans="2:11" ht="13" x14ac:dyDescent="0.15">
      <c r="B1160" s="27" t="s">
        <v>1496</v>
      </c>
      <c r="C1160" s="27" t="s">
        <v>170</v>
      </c>
      <c r="D1160" s="28">
        <f>SUMIFS(D1161:D1509,K1161:K1509,"0",B1161:B1509,"5 1 2 5 4 12 31111 6 M78 07000 151 00C*")-SUMIFS(E1161:E1509,K1161:K1509,"0",B1161:B1509,"5 1 2 5 4 12 31111 6 M78 07000 151 00C*")</f>
        <v>0</v>
      </c>
      <c r="E1160" s="29"/>
      <c r="F1160" s="28">
        <f>SUMIFS(F1161:F1509,K1161:K1509,"0",B1161:B1509,"5 1 2 5 4 12 31111 6 M78 07000 151 00C*")</f>
        <v>20000.04</v>
      </c>
      <c r="G1160" s="28">
        <f>SUMIFS(G1161:G1509,K1161:K1509,"0",B1161:B1509,"5 1 2 5 4 12 31111 6 M78 07000 151 00C*")</f>
        <v>0</v>
      </c>
      <c r="H1160" s="28">
        <f t="shared" si="22"/>
        <v>20000.04</v>
      </c>
      <c r="I1160" s="28"/>
      <c r="K1160" t="s">
        <v>15</v>
      </c>
    </row>
    <row r="1161" spans="2:11" ht="22" x14ac:dyDescent="0.15">
      <c r="B1161" s="27" t="s">
        <v>1497</v>
      </c>
      <c r="C1161" s="27" t="s">
        <v>9</v>
      </c>
      <c r="D1161" s="28">
        <f>SUMIFS(D1162:D1509,K1162:K1509,"0",B1162:B1509,"5 1 2 5 4 12 31111 6 M78 07000 151 00C 001*")-SUMIFS(E1162:E1509,K1162:K1509,"0",B1162:B1509,"5 1 2 5 4 12 31111 6 M78 07000 151 00C 001*")</f>
        <v>0</v>
      </c>
      <c r="E1161" s="29"/>
      <c r="F1161" s="28">
        <f>SUMIFS(F1162:F1509,K1162:K1509,"0",B1162:B1509,"5 1 2 5 4 12 31111 6 M78 07000 151 00C 001*")</f>
        <v>20000.04</v>
      </c>
      <c r="G1161" s="28">
        <f>SUMIFS(G1162:G1509,K1162:K1509,"0",B1162:B1509,"5 1 2 5 4 12 31111 6 M78 07000 151 00C 001*")</f>
        <v>0</v>
      </c>
      <c r="H1161" s="28">
        <f t="shared" si="22"/>
        <v>20000.04</v>
      </c>
      <c r="I1161" s="28"/>
      <c r="K1161" t="s">
        <v>15</v>
      </c>
    </row>
    <row r="1162" spans="2:11" ht="22" x14ac:dyDescent="0.15">
      <c r="B1162" s="27" t="s">
        <v>1498</v>
      </c>
      <c r="C1162" s="27" t="s">
        <v>1499</v>
      </c>
      <c r="D1162" s="28">
        <f>SUMIFS(D1163:D1509,K1163:K1509,"0",B1163:B1509,"5 1 2 5 4 12 31111 6 M78 07000 151 00C 001 25401*")-SUMIFS(E1163:E1509,K1163:K1509,"0",B1163:B1509,"5 1 2 5 4 12 31111 6 M78 07000 151 00C 001 25401*")</f>
        <v>0</v>
      </c>
      <c r="E1162" s="29"/>
      <c r="F1162" s="28">
        <f>SUMIFS(F1163:F1509,K1163:K1509,"0",B1163:B1509,"5 1 2 5 4 12 31111 6 M78 07000 151 00C 001 25401*")</f>
        <v>20000.04</v>
      </c>
      <c r="G1162" s="28">
        <f>SUMIFS(G1163:G1509,K1163:K1509,"0",B1163:B1509,"5 1 2 5 4 12 31111 6 M78 07000 151 00C 001 25401*")</f>
        <v>0</v>
      </c>
      <c r="H1162" s="28">
        <f t="shared" si="22"/>
        <v>20000.04</v>
      </c>
      <c r="I1162" s="28"/>
      <c r="K1162" t="s">
        <v>15</v>
      </c>
    </row>
    <row r="1163" spans="2:11" ht="22" x14ac:dyDescent="0.15">
      <c r="B1163" s="27" t="s">
        <v>1500</v>
      </c>
      <c r="C1163" s="27" t="s">
        <v>176</v>
      </c>
      <c r="D1163" s="28">
        <f>SUMIFS(D1164:D1509,K1164:K1509,"0",B1164:B1509,"5 1 2 5 4 12 31111 6 M78 07000 151 00C 001 25401 015*")-SUMIFS(E1164:E1509,K1164:K1509,"0",B1164:B1509,"5 1 2 5 4 12 31111 6 M78 07000 151 00C 001 25401 015*")</f>
        <v>0</v>
      </c>
      <c r="E1163" s="29"/>
      <c r="F1163" s="28">
        <f>SUMIFS(F1164:F1509,K1164:K1509,"0",B1164:B1509,"5 1 2 5 4 12 31111 6 M78 07000 151 00C 001 25401 015*")</f>
        <v>20000.04</v>
      </c>
      <c r="G1163" s="28">
        <f>SUMIFS(G1164:G1509,K1164:K1509,"0",B1164:B1509,"5 1 2 5 4 12 31111 6 M78 07000 151 00C 001 25401 015*")</f>
        <v>0</v>
      </c>
      <c r="H1163" s="28">
        <f t="shared" si="22"/>
        <v>20000.04</v>
      </c>
      <c r="I1163" s="28"/>
      <c r="K1163" t="s">
        <v>15</v>
      </c>
    </row>
    <row r="1164" spans="2:11" ht="22" x14ac:dyDescent="0.15">
      <c r="B1164" s="27" t="s">
        <v>1501</v>
      </c>
      <c r="C1164" s="27" t="s">
        <v>178</v>
      </c>
      <c r="D1164" s="28">
        <f>SUMIFS(D1165:D1509,K1165:K1509,"0",B1165:B1509,"5 1 2 5 4 12 31111 6 M78 07000 151 00C 001 25401 015 2112000*")-SUMIFS(E1165:E1509,K1165:K1509,"0",B1165:B1509,"5 1 2 5 4 12 31111 6 M78 07000 151 00C 001 25401 015 2112000*")</f>
        <v>0</v>
      </c>
      <c r="E1164" s="29"/>
      <c r="F1164" s="28">
        <f>SUMIFS(F1165:F1509,K1165:K1509,"0",B1165:B1509,"5 1 2 5 4 12 31111 6 M78 07000 151 00C 001 25401 015 2112000*")</f>
        <v>20000.04</v>
      </c>
      <c r="G1164" s="28">
        <f>SUMIFS(G1165:G1509,K1165:K1509,"0",B1165:B1509,"5 1 2 5 4 12 31111 6 M78 07000 151 00C 001 25401 015 2112000*")</f>
        <v>0</v>
      </c>
      <c r="H1164" s="28">
        <f t="shared" si="22"/>
        <v>20000.04</v>
      </c>
      <c r="I1164" s="28"/>
      <c r="K1164" t="s">
        <v>15</v>
      </c>
    </row>
    <row r="1165" spans="2:11" ht="22" x14ac:dyDescent="0.15">
      <c r="B1165" s="27" t="s">
        <v>1502</v>
      </c>
      <c r="C1165" s="27" t="s">
        <v>248</v>
      </c>
      <c r="D1165" s="28">
        <f>SUMIFS(D1166:D1509,K1166:K1509,"0",B1166:B1509,"5 1 2 5 4 12 31111 6 M78 07000 151 00C 001 25401 015 2112000 2024*")-SUMIFS(E1166:E1509,K1166:K1509,"0",B1166:B1509,"5 1 2 5 4 12 31111 6 M78 07000 151 00C 001 25401 015 2112000 2024*")</f>
        <v>0</v>
      </c>
      <c r="E1165" s="29"/>
      <c r="F1165" s="28">
        <f>SUMIFS(F1166:F1509,K1166:K1509,"0",B1166:B1509,"5 1 2 5 4 12 31111 6 M78 07000 151 00C 001 25401 015 2112000 2024*")</f>
        <v>20000.04</v>
      </c>
      <c r="G1165" s="28">
        <f>SUMIFS(G1166:G1509,K1166:K1509,"0",B1166:B1509,"5 1 2 5 4 12 31111 6 M78 07000 151 00C 001 25401 015 2112000 2024*")</f>
        <v>0</v>
      </c>
      <c r="H1165" s="28">
        <f t="shared" si="22"/>
        <v>20000.04</v>
      </c>
      <c r="I1165" s="28"/>
      <c r="K1165" t="s">
        <v>15</v>
      </c>
    </row>
    <row r="1166" spans="2:11" ht="22" x14ac:dyDescent="0.15">
      <c r="B1166" s="27" t="s">
        <v>1503</v>
      </c>
      <c r="C1166" s="27" t="s">
        <v>182</v>
      </c>
      <c r="D1166" s="28">
        <f>SUMIFS(D1167:D1509,K1167:K1509,"0",B1167:B1509,"5 1 2 5 4 12 31111 6 M78 07000 151 00C 001 25401 015 2112000 2024 00000000*")-SUMIFS(E1167:E1509,K1167:K1509,"0",B1167:B1509,"5 1 2 5 4 12 31111 6 M78 07000 151 00C 001 25401 015 2112000 2024 00000000*")</f>
        <v>0</v>
      </c>
      <c r="E1166" s="29"/>
      <c r="F1166" s="28">
        <f>SUMIFS(F1167:F1509,K1167:K1509,"0",B1167:B1509,"5 1 2 5 4 12 31111 6 M78 07000 151 00C 001 25401 015 2112000 2024 00000000*")</f>
        <v>20000.04</v>
      </c>
      <c r="G1166" s="28">
        <f>SUMIFS(G1167:G1509,K1167:K1509,"0",B1167:B1509,"5 1 2 5 4 12 31111 6 M78 07000 151 00C 001 25401 015 2112000 2024 00000000*")</f>
        <v>0</v>
      </c>
      <c r="H1166" s="28">
        <f t="shared" si="22"/>
        <v>20000.04</v>
      </c>
      <c r="I1166" s="28"/>
      <c r="K1166" t="s">
        <v>15</v>
      </c>
    </row>
    <row r="1167" spans="2:11" ht="33" x14ac:dyDescent="0.15">
      <c r="B1167" s="27" t="s">
        <v>1504</v>
      </c>
      <c r="C1167" s="27" t="s">
        <v>9</v>
      </c>
      <c r="D1167" s="28">
        <f>SUMIFS(D1168:D1509,K1168:K1509,"0",B1168:B1509,"5 1 2 5 4 12 31111 6 M78 07000 151 00C 001 25401 015 2112000 2024 00000000 001*")-SUMIFS(E1168:E1509,K1168:K1509,"0",B1168:B1509,"5 1 2 5 4 12 31111 6 M78 07000 151 00C 001 25401 015 2112000 2024 00000000 001*")</f>
        <v>0</v>
      </c>
      <c r="E1167" s="29"/>
      <c r="F1167" s="28">
        <f>SUMIFS(F1168:F1509,K1168:K1509,"0",B1168:B1509,"5 1 2 5 4 12 31111 6 M78 07000 151 00C 001 25401 015 2112000 2024 00000000 001*")</f>
        <v>20000.04</v>
      </c>
      <c r="G1167" s="28">
        <f>SUMIFS(G1168:G1509,K1168:K1509,"0",B1168:B1509,"5 1 2 5 4 12 31111 6 M78 07000 151 00C 001 25401 015 2112000 2024 00000000 001*")</f>
        <v>0</v>
      </c>
      <c r="H1167" s="28">
        <f t="shared" si="22"/>
        <v>20000.04</v>
      </c>
      <c r="I1167" s="28"/>
      <c r="K1167" t="s">
        <v>15</v>
      </c>
    </row>
    <row r="1168" spans="2:11" ht="33" x14ac:dyDescent="0.15">
      <c r="B1168" s="30" t="s">
        <v>1505</v>
      </c>
      <c r="C1168" s="30" t="s">
        <v>1499</v>
      </c>
      <c r="D1168" s="31">
        <v>0</v>
      </c>
      <c r="E1168" s="31"/>
      <c r="F1168" s="31">
        <v>20000.04</v>
      </c>
      <c r="G1168" s="31">
        <v>0</v>
      </c>
      <c r="H1168" s="31">
        <f t="shared" si="22"/>
        <v>20000.04</v>
      </c>
      <c r="I1168" s="31"/>
      <c r="K1168" t="s">
        <v>38</v>
      </c>
    </row>
    <row r="1169" spans="2:11" ht="13" x14ac:dyDescent="0.15">
      <c r="B1169" s="27" t="s">
        <v>1506</v>
      </c>
      <c r="C1169" s="27" t="s">
        <v>1507</v>
      </c>
      <c r="D1169" s="28">
        <f>SUMIFS(D1170:D1509,K1170:K1509,"0",B1170:B1509,"5 1 2 5 9*")-SUMIFS(E1170:E1509,K1170:K1509,"0",B1170:B1509,"5 1 2 5 9*")</f>
        <v>0</v>
      </c>
      <c r="E1169" s="29"/>
      <c r="F1169" s="28">
        <f>SUMIFS(F1170:F1509,K1170:K1509,"0",B1170:B1509,"5 1 2 5 9*")</f>
        <v>10000.02</v>
      </c>
      <c r="G1169" s="28">
        <f>SUMIFS(G1170:G1509,K1170:K1509,"0",B1170:B1509,"5 1 2 5 9*")</f>
        <v>0</v>
      </c>
      <c r="H1169" s="28">
        <f t="shared" si="22"/>
        <v>10000.02</v>
      </c>
      <c r="I1169" s="28"/>
      <c r="K1169" t="s">
        <v>15</v>
      </c>
    </row>
    <row r="1170" spans="2:11" ht="13" x14ac:dyDescent="0.15">
      <c r="B1170" s="27" t="s">
        <v>1508</v>
      </c>
      <c r="C1170" s="27" t="s">
        <v>26</v>
      </c>
      <c r="D1170" s="28">
        <f>SUMIFS(D1171:D1509,K1171:K1509,"0",B1171:B1509,"5 1 2 5 9 12*")-SUMIFS(E1171:E1509,K1171:K1509,"0",B1171:B1509,"5 1 2 5 9 12*")</f>
        <v>0</v>
      </c>
      <c r="E1170" s="29"/>
      <c r="F1170" s="28">
        <f>SUMIFS(F1171:F1509,K1171:K1509,"0",B1171:B1509,"5 1 2 5 9 12*")</f>
        <v>10000.02</v>
      </c>
      <c r="G1170" s="28">
        <f>SUMIFS(G1171:G1509,K1171:K1509,"0",B1171:B1509,"5 1 2 5 9 12*")</f>
        <v>0</v>
      </c>
      <c r="H1170" s="28">
        <f t="shared" si="22"/>
        <v>10000.02</v>
      </c>
      <c r="I1170" s="28"/>
      <c r="K1170" t="s">
        <v>15</v>
      </c>
    </row>
    <row r="1171" spans="2:11" ht="13" x14ac:dyDescent="0.15">
      <c r="B1171" s="27" t="s">
        <v>1509</v>
      </c>
      <c r="C1171" s="27" t="s">
        <v>28</v>
      </c>
      <c r="D1171" s="28">
        <f>SUMIFS(D1172:D1509,K1172:K1509,"0",B1172:B1509,"5 1 2 5 9 12 31111*")-SUMIFS(E1172:E1509,K1172:K1509,"0",B1172:B1509,"5 1 2 5 9 12 31111*")</f>
        <v>0</v>
      </c>
      <c r="E1171" s="29"/>
      <c r="F1171" s="28">
        <f>SUMIFS(F1172:F1509,K1172:K1509,"0",B1172:B1509,"5 1 2 5 9 12 31111*")</f>
        <v>10000.02</v>
      </c>
      <c r="G1171" s="28">
        <f>SUMIFS(G1172:G1509,K1172:K1509,"0",B1172:B1509,"5 1 2 5 9 12 31111*")</f>
        <v>0</v>
      </c>
      <c r="H1171" s="28">
        <f t="shared" si="22"/>
        <v>10000.02</v>
      </c>
      <c r="I1171" s="28"/>
      <c r="K1171" t="s">
        <v>15</v>
      </c>
    </row>
    <row r="1172" spans="2:11" ht="13" x14ac:dyDescent="0.15">
      <c r="B1172" s="27" t="s">
        <v>1510</v>
      </c>
      <c r="C1172" s="27" t="s">
        <v>30</v>
      </c>
      <c r="D1172" s="28">
        <f>SUMIFS(D1173:D1509,K1173:K1509,"0",B1173:B1509,"5 1 2 5 9 12 31111 6*")-SUMIFS(E1173:E1509,K1173:K1509,"0",B1173:B1509,"5 1 2 5 9 12 31111 6*")</f>
        <v>0</v>
      </c>
      <c r="E1172" s="29"/>
      <c r="F1172" s="28">
        <f>SUMIFS(F1173:F1509,K1173:K1509,"0",B1173:B1509,"5 1 2 5 9 12 31111 6*")</f>
        <v>10000.02</v>
      </c>
      <c r="G1172" s="28">
        <f>SUMIFS(G1173:G1509,K1173:K1509,"0",B1173:B1509,"5 1 2 5 9 12 31111 6*")</f>
        <v>0</v>
      </c>
      <c r="H1172" s="28">
        <f t="shared" si="22"/>
        <v>10000.02</v>
      </c>
      <c r="I1172" s="28"/>
      <c r="K1172" t="s">
        <v>15</v>
      </c>
    </row>
    <row r="1173" spans="2:11" ht="13" x14ac:dyDescent="0.15">
      <c r="B1173" s="27" t="s">
        <v>1511</v>
      </c>
      <c r="C1173" s="27" t="s">
        <v>733</v>
      </c>
      <c r="D1173" s="28">
        <f>SUMIFS(D1174:D1509,K1174:K1509,"0",B1174:B1509,"5 1 2 5 9 12 31111 6 M78*")-SUMIFS(E1174:E1509,K1174:K1509,"0",B1174:B1509,"5 1 2 5 9 12 31111 6 M78*")</f>
        <v>0</v>
      </c>
      <c r="E1173" s="29"/>
      <c r="F1173" s="28">
        <f>SUMIFS(F1174:F1509,K1174:K1509,"0",B1174:B1509,"5 1 2 5 9 12 31111 6 M78*")</f>
        <v>10000.02</v>
      </c>
      <c r="G1173" s="28">
        <f>SUMIFS(G1174:G1509,K1174:K1509,"0",B1174:B1509,"5 1 2 5 9 12 31111 6 M78*")</f>
        <v>0</v>
      </c>
      <c r="H1173" s="28">
        <f t="shared" si="22"/>
        <v>10000.02</v>
      </c>
      <c r="I1173" s="28"/>
      <c r="K1173" t="s">
        <v>15</v>
      </c>
    </row>
    <row r="1174" spans="2:11" ht="13" x14ac:dyDescent="0.15">
      <c r="B1174" s="27" t="s">
        <v>1512</v>
      </c>
      <c r="C1174" s="27" t="s">
        <v>8</v>
      </c>
      <c r="D1174" s="28">
        <f>SUMIFS(D1175:D1509,K1175:K1509,"0",B1175:B1509,"5 1 2 5 9 12 31111 6 M78 07000*")-SUMIFS(E1175:E1509,K1175:K1509,"0",B1175:B1509,"5 1 2 5 9 12 31111 6 M78 07000*")</f>
        <v>0</v>
      </c>
      <c r="E1174" s="29"/>
      <c r="F1174" s="28">
        <f>SUMIFS(F1175:F1509,K1175:K1509,"0",B1175:B1509,"5 1 2 5 9 12 31111 6 M78 07000*")</f>
        <v>10000.02</v>
      </c>
      <c r="G1174" s="28">
        <f>SUMIFS(G1175:G1509,K1175:K1509,"0",B1175:B1509,"5 1 2 5 9 12 31111 6 M78 07000*")</f>
        <v>0</v>
      </c>
      <c r="H1174" s="28">
        <f t="shared" si="22"/>
        <v>10000.02</v>
      </c>
      <c r="I1174" s="28"/>
      <c r="K1174" t="s">
        <v>15</v>
      </c>
    </row>
    <row r="1175" spans="2:11" ht="13" x14ac:dyDescent="0.15">
      <c r="B1175" s="27" t="s">
        <v>1513</v>
      </c>
      <c r="C1175" s="27" t="s">
        <v>168</v>
      </c>
      <c r="D1175" s="28">
        <f>SUMIFS(D1176:D1509,K1176:K1509,"0",B1176:B1509,"5 1 2 5 9 12 31111 6 M78 07000 151*")-SUMIFS(E1176:E1509,K1176:K1509,"0",B1176:B1509,"5 1 2 5 9 12 31111 6 M78 07000 151*")</f>
        <v>0</v>
      </c>
      <c r="E1175" s="29"/>
      <c r="F1175" s="28">
        <f>SUMIFS(F1176:F1509,K1176:K1509,"0",B1176:B1509,"5 1 2 5 9 12 31111 6 M78 07000 151*")</f>
        <v>10000.02</v>
      </c>
      <c r="G1175" s="28">
        <f>SUMIFS(G1176:G1509,K1176:K1509,"0",B1176:B1509,"5 1 2 5 9 12 31111 6 M78 07000 151*")</f>
        <v>0</v>
      </c>
      <c r="H1175" s="28">
        <f t="shared" si="22"/>
        <v>10000.02</v>
      </c>
      <c r="I1175" s="28"/>
      <c r="K1175" t="s">
        <v>15</v>
      </c>
    </row>
    <row r="1176" spans="2:11" ht="13" x14ac:dyDescent="0.15">
      <c r="B1176" s="27" t="s">
        <v>1514</v>
      </c>
      <c r="C1176" s="27" t="s">
        <v>170</v>
      </c>
      <c r="D1176" s="28">
        <f>SUMIFS(D1177:D1509,K1177:K1509,"0",B1177:B1509,"5 1 2 5 9 12 31111 6 M78 07000 151 00C*")-SUMIFS(E1177:E1509,K1177:K1509,"0",B1177:B1509,"5 1 2 5 9 12 31111 6 M78 07000 151 00C*")</f>
        <v>0</v>
      </c>
      <c r="E1176" s="29"/>
      <c r="F1176" s="28">
        <f>SUMIFS(F1177:F1509,K1177:K1509,"0",B1177:B1509,"5 1 2 5 9 12 31111 6 M78 07000 151 00C*")</f>
        <v>10000.02</v>
      </c>
      <c r="G1176" s="28">
        <f>SUMIFS(G1177:G1509,K1177:K1509,"0",B1177:B1509,"5 1 2 5 9 12 31111 6 M78 07000 151 00C*")</f>
        <v>0</v>
      </c>
      <c r="H1176" s="28">
        <f t="shared" si="22"/>
        <v>10000.02</v>
      </c>
      <c r="I1176" s="28"/>
      <c r="K1176" t="s">
        <v>15</v>
      </c>
    </row>
    <row r="1177" spans="2:11" ht="22" x14ac:dyDescent="0.15">
      <c r="B1177" s="27" t="s">
        <v>1515</v>
      </c>
      <c r="C1177" s="27" t="s">
        <v>9</v>
      </c>
      <c r="D1177" s="28">
        <f>SUMIFS(D1178:D1509,K1178:K1509,"0",B1178:B1509,"5 1 2 5 9 12 31111 6 M78 07000 151 00C 001*")-SUMIFS(E1178:E1509,K1178:K1509,"0",B1178:B1509,"5 1 2 5 9 12 31111 6 M78 07000 151 00C 001*")</f>
        <v>0</v>
      </c>
      <c r="E1177" s="29"/>
      <c r="F1177" s="28">
        <f>SUMIFS(F1178:F1509,K1178:K1509,"0",B1178:B1509,"5 1 2 5 9 12 31111 6 M78 07000 151 00C 001*")</f>
        <v>10000.02</v>
      </c>
      <c r="G1177" s="28">
        <f>SUMIFS(G1178:G1509,K1178:K1509,"0",B1178:B1509,"5 1 2 5 9 12 31111 6 M78 07000 151 00C 001*")</f>
        <v>0</v>
      </c>
      <c r="H1177" s="28">
        <f t="shared" si="22"/>
        <v>10000.02</v>
      </c>
      <c r="I1177" s="28"/>
      <c r="K1177" t="s">
        <v>15</v>
      </c>
    </row>
    <row r="1178" spans="2:11" ht="22" x14ac:dyDescent="0.15">
      <c r="B1178" s="27" t="s">
        <v>1516</v>
      </c>
      <c r="C1178" s="27" t="s">
        <v>1517</v>
      </c>
      <c r="D1178" s="28">
        <f>SUMIFS(D1179:D1509,K1179:K1509,"0",B1179:B1509,"5 1 2 5 9 12 31111 6 M78 07000 151 00C 001 25901*")-SUMIFS(E1179:E1509,K1179:K1509,"0",B1179:B1509,"5 1 2 5 9 12 31111 6 M78 07000 151 00C 001 25901*")</f>
        <v>0</v>
      </c>
      <c r="E1178" s="29"/>
      <c r="F1178" s="28">
        <f>SUMIFS(F1179:F1509,K1179:K1509,"0",B1179:B1509,"5 1 2 5 9 12 31111 6 M78 07000 151 00C 001 25901*")</f>
        <v>10000.02</v>
      </c>
      <c r="G1178" s="28">
        <f>SUMIFS(G1179:G1509,K1179:K1509,"0",B1179:B1509,"5 1 2 5 9 12 31111 6 M78 07000 151 00C 001 25901*")</f>
        <v>0</v>
      </c>
      <c r="H1178" s="28">
        <f t="shared" si="22"/>
        <v>10000.02</v>
      </c>
      <c r="I1178" s="28"/>
      <c r="K1178" t="s">
        <v>15</v>
      </c>
    </row>
    <row r="1179" spans="2:11" ht="22" x14ac:dyDescent="0.15">
      <c r="B1179" s="27" t="s">
        <v>1518</v>
      </c>
      <c r="C1179" s="27" t="s">
        <v>176</v>
      </c>
      <c r="D1179" s="28">
        <f>SUMIFS(D1180:D1509,K1180:K1509,"0",B1180:B1509,"5 1 2 5 9 12 31111 6 M78 07000 151 00C 001 25901 015*")-SUMIFS(E1180:E1509,K1180:K1509,"0",B1180:B1509,"5 1 2 5 9 12 31111 6 M78 07000 151 00C 001 25901 015*")</f>
        <v>0</v>
      </c>
      <c r="E1179" s="29"/>
      <c r="F1179" s="28">
        <f>SUMIFS(F1180:F1509,K1180:K1509,"0",B1180:B1509,"5 1 2 5 9 12 31111 6 M78 07000 151 00C 001 25901 015*")</f>
        <v>10000.02</v>
      </c>
      <c r="G1179" s="28">
        <f>SUMIFS(G1180:G1509,K1180:K1509,"0",B1180:B1509,"5 1 2 5 9 12 31111 6 M78 07000 151 00C 001 25901 015*")</f>
        <v>0</v>
      </c>
      <c r="H1179" s="28">
        <f t="shared" si="22"/>
        <v>10000.02</v>
      </c>
      <c r="I1179" s="28"/>
      <c r="K1179" t="s">
        <v>15</v>
      </c>
    </row>
    <row r="1180" spans="2:11" ht="22" x14ac:dyDescent="0.15">
      <c r="B1180" s="27" t="s">
        <v>1519</v>
      </c>
      <c r="C1180" s="27" t="s">
        <v>178</v>
      </c>
      <c r="D1180" s="28">
        <f>SUMIFS(D1181:D1509,K1181:K1509,"0",B1181:B1509,"5 1 2 5 9 12 31111 6 M78 07000 151 00C 001 25901 015 2112000*")-SUMIFS(E1181:E1509,K1181:K1509,"0",B1181:B1509,"5 1 2 5 9 12 31111 6 M78 07000 151 00C 001 25901 015 2112000*")</f>
        <v>0</v>
      </c>
      <c r="E1180" s="29"/>
      <c r="F1180" s="28">
        <f>SUMIFS(F1181:F1509,K1181:K1509,"0",B1181:B1509,"5 1 2 5 9 12 31111 6 M78 07000 151 00C 001 25901 015 2112000*")</f>
        <v>10000.02</v>
      </c>
      <c r="G1180" s="28">
        <f>SUMIFS(G1181:G1509,K1181:K1509,"0",B1181:B1509,"5 1 2 5 9 12 31111 6 M78 07000 151 00C 001 25901 015 2112000*")</f>
        <v>0</v>
      </c>
      <c r="H1180" s="28">
        <f t="shared" si="22"/>
        <v>10000.02</v>
      </c>
      <c r="I1180" s="28"/>
      <c r="K1180" t="s">
        <v>15</v>
      </c>
    </row>
    <row r="1181" spans="2:11" ht="22" x14ac:dyDescent="0.15">
      <c r="B1181" s="27" t="s">
        <v>1520</v>
      </c>
      <c r="C1181" s="27" t="s">
        <v>248</v>
      </c>
      <c r="D1181" s="28">
        <f>SUMIFS(D1182:D1509,K1182:K1509,"0",B1182:B1509,"5 1 2 5 9 12 31111 6 M78 07000 151 00C 001 25901 015 2112000 2024*")-SUMIFS(E1182:E1509,K1182:K1509,"0",B1182:B1509,"5 1 2 5 9 12 31111 6 M78 07000 151 00C 001 25901 015 2112000 2024*")</f>
        <v>0</v>
      </c>
      <c r="E1181" s="29"/>
      <c r="F1181" s="28">
        <f>SUMIFS(F1182:F1509,K1182:K1509,"0",B1182:B1509,"5 1 2 5 9 12 31111 6 M78 07000 151 00C 001 25901 015 2112000 2024*")</f>
        <v>10000.02</v>
      </c>
      <c r="G1181" s="28">
        <f>SUMIFS(G1182:G1509,K1182:K1509,"0",B1182:B1509,"5 1 2 5 9 12 31111 6 M78 07000 151 00C 001 25901 015 2112000 2024*")</f>
        <v>0</v>
      </c>
      <c r="H1181" s="28">
        <f t="shared" si="22"/>
        <v>10000.02</v>
      </c>
      <c r="I1181" s="28"/>
      <c r="K1181" t="s">
        <v>15</v>
      </c>
    </row>
    <row r="1182" spans="2:11" ht="22" x14ac:dyDescent="0.15">
      <c r="B1182" s="27" t="s">
        <v>1521</v>
      </c>
      <c r="C1182" s="27" t="s">
        <v>182</v>
      </c>
      <c r="D1182" s="28">
        <f>SUMIFS(D1183:D1509,K1183:K1509,"0",B1183:B1509,"5 1 2 5 9 12 31111 6 M78 07000 151 00C 001 25901 015 2112000 2024 00000000*")-SUMIFS(E1183:E1509,K1183:K1509,"0",B1183:B1509,"5 1 2 5 9 12 31111 6 M78 07000 151 00C 001 25901 015 2112000 2024 00000000*")</f>
        <v>0</v>
      </c>
      <c r="E1182" s="29"/>
      <c r="F1182" s="28">
        <f>SUMIFS(F1183:F1509,K1183:K1509,"0",B1183:B1509,"5 1 2 5 9 12 31111 6 M78 07000 151 00C 001 25901 015 2112000 2024 00000000*")</f>
        <v>10000.02</v>
      </c>
      <c r="G1182" s="28">
        <f>SUMIFS(G1183:G1509,K1183:K1509,"0",B1183:B1509,"5 1 2 5 9 12 31111 6 M78 07000 151 00C 001 25901 015 2112000 2024 00000000*")</f>
        <v>0</v>
      </c>
      <c r="H1182" s="28">
        <f t="shared" si="22"/>
        <v>10000.02</v>
      </c>
      <c r="I1182" s="28"/>
      <c r="K1182" t="s">
        <v>15</v>
      </c>
    </row>
    <row r="1183" spans="2:11" ht="33" x14ac:dyDescent="0.15">
      <c r="B1183" s="27" t="s">
        <v>1522</v>
      </c>
      <c r="C1183" s="27" t="s">
        <v>9</v>
      </c>
      <c r="D1183" s="28">
        <f>SUMIFS(D1184:D1509,K1184:K1509,"0",B1184:B1509,"5 1 2 5 9 12 31111 6 M78 07000 151 00C 001 25901 015 2112000 2024 00000000 001*")-SUMIFS(E1184:E1509,K1184:K1509,"0",B1184:B1509,"5 1 2 5 9 12 31111 6 M78 07000 151 00C 001 25901 015 2112000 2024 00000000 001*")</f>
        <v>0</v>
      </c>
      <c r="E1183" s="29"/>
      <c r="F1183" s="28">
        <f>SUMIFS(F1184:F1509,K1184:K1509,"0",B1184:B1509,"5 1 2 5 9 12 31111 6 M78 07000 151 00C 001 25901 015 2112000 2024 00000000 001*")</f>
        <v>10000.02</v>
      </c>
      <c r="G1183" s="28">
        <f>SUMIFS(G1184:G1509,K1184:K1509,"0",B1184:B1509,"5 1 2 5 9 12 31111 6 M78 07000 151 00C 001 25901 015 2112000 2024 00000000 001*")</f>
        <v>0</v>
      </c>
      <c r="H1183" s="28">
        <f t="shared" si="22"/>
        <v>10000.02</v>
      </c>
      <c r="I1183" s="28"/>
      <c r="K1183" t="s">
        <v>15</v>
      </c>
    </row>
    <row r="1184" spans="2:11" ht="33" x14ac:dyDescent="0.15">
      <c r="B1184" s="30" t="s">
        <v>1523</v>
      </c>
      <c r="C1184" s="30" t="s">
        <v>1517</v>
      </c>
      <c r="D1184" s="31">
        <v>0</v>
      </c>
      <c r="E1184" s="31"/>
      <c r="F1184" s="31">
        <v>10000.02</v>
      </c>
      <c r="G1184" s="31">
        <v>0</v>
      </c>
      <c r="H1184" s="31">
        <f t="shared" ref="H1184:H1247" si="23">D1184 + F1184 - G1184</f>
        <v>10000.02</v>
      </c>
      <c r="I1184" s="31"/>
      <c r="K1184" t="s">
        <v>38</v>
      </c>
    </row>
    <row r="1185" spans="2:11" ht="13" x14ac:dyDescent="0.15">
      <c r="B1185" s="27" t="s">
        <v>1524</v>
      </c>
      <c r="C1185" s="27" t="s">
        <v>1525</v>
      </c>
      <c r="D1185" s="28">
        <f>SUMIFS(D1186:D1509,K1186:K1509,"0",B1186:B1509,"5 1 2 6*")-SUMIFS(E1186:E1509,K1186:K1509,"0",B1186:B1509,"5 1 2 6*")</f>
        <v>0</v>
      </c>
      <c r="E1185" s="29"/>
      <c r="F1185" s="28">
        <f>SUMIFS(F1186:F1509,K1186:K1509,"0",B1186:B1509,"5 1 2 6*")</f>
        <v>1048856.6599999999</v>
      </c>
      <c r="G1185" s="28">
        <f>SUMIFS(G1186:G1509,K1186:K1509,"0",B1186:B1509,"5 1 2 6*")</f>
        <v>0</v>
      </c>
      <c r="H1185" s="28">
        <f t="shared" si="23"/>
        <v>1048856.6599999999</v>
      </c>
      <c r="I1185" s="28"/>
      <c r="K1185" t="s">
        <v>15</v>
      </c>
    </row>
    <row r="1186" spans="2:11" ht="13" x14ac:dyDescent="0.15">
      <c r="B1186" s="27" t="s">
        <v>1526</v>
      </c>
      <c r="C1186" s="27" t="s">
        <v>1525</v>
      </c>
      <c r="D1186" s="28">
        <f>SUMIFS(D1187:D1509,K1187:K1509,"0",B1187:B1509,"5 1 2 6 1*")-SUMIFS(E1187:E1509,K1187:K1509,"0",B1187:B1509,"5 1 2 6 1*")</f>
        <v>0</v>
      </c>
      <c r="E1186" s="29"/>
      <c r="F1186" s="28">
        <f>SUMIFS(F1187:F1509,K1187:K1509,"0",B1187:B1509,"5 1 2 6 1*")</f>
        <v>1048856.6599999999</v>
      </c>
      <c r="G1186" s="28">
        <f>SUMIFS(G1187:G1509,K1187:K1509,"0",B1187:B1509,"5 1 2 6 1*")</f>
        <v>0</v>
      </c>
      <c r="H1186" s="28">
        <f t="shared" si="23"/>
        <v>1048856.6599999999</v>
      </c>
      <c r="I1186" s="28"/>
      <c r="K1186" t="s">
        <v>15</v>
      </c>
    </row>
    <row r="1187" spans="2:11" ht="13" x14ac:dyDescent="0.15">
      <c r="B1187" s="27" t="s">
        <v>1527</v>
      </c>
      <c r="C1187" s="27" t="s">
        <v>26</v>
      </c>
      <c r="D1187" s="28">
        <f>SUMIFS(D1188:D1509,K1188:K1509,"0",B1188:B1509,"5 1 2 6 1 12*")-SUMIFS(E1188:E1509,K1188:K1509,"0",B1188:B1509,"5 1 2 6 1 12*")</f>
        <v>0</v>
      </c>
      <c r="E1187" s="29"/>
      <c r="F1187" s="28">
        <f>SUMIFS(F1188:F1509,K1188:K1509,"0",B1188:B1509,"5 1 2 6 1 12*")</f>
        <v>1048856.6599999999</v>
      </c>
      <c r="G1187" s="28">
        <f>SUMIFS(G1188:G1509,K1188:K1509,"0",B1188:B1509,"5 1 2 6 1 12*")</f>
        <v>0</v>
      </c>
      <c r="H1187" s="28">
        <f t="shared" si="23"/>
        <v>1048856.6599999999</v>
      </c>
      <c r="I1187" s="28"/>
      <c r="K1187" t="s">
        <v>15</v>
      </c>
    </row>
    <row r="1188" spans="2:11" ht="13" x14ac:dyDescent="0.15">
      <c r="B1188" s="27" t="s">
        <v>1528</v>
      </c>
      <c r="C1188" s="27" t="s">
        <v>28</v>
      </c>
      <c r="D1188" s="28">
        <f>SUMIFS(D1189:D1509,K1189:K1509,"0",B1189:B1509,"5 1 2 6 1 12 31111*")-SUMIFS(E1189:E1509,K1189:K1509,"0",B1189:B1509,"5 1 2 6 1 12 31111*")</f>
        <v>0</v>
      </c>
      <c r="E1188" s="29"/>
      <c r="F1188" s="28">
        <f>SUMIFS(F1189:F1509,K1189:K1509,"0",B1189:B1509,"5 1 2 6 1 12 31111*")</f>
        <v>1048856.6599999999</v>
      </c>
      <c r="G1188" s="28">
        <f>SUMIFS(G1189:G1509,K1189:K1509,"0",B1189:B1509,"5 1 2 6 1 12 31111*")</f>
        <v>0</v>
      </c>
      <c r="H1188" s="28">
        <f t="shared" si="23"/>
        <v>1048856.6599999999</v>
      </c>
      <c r="I1188" s="28"/>
      <c r="K1188" t="s">
        <v>15</v>
      </c>
    </row>
    <row r="1189" spans="2:11" ht="13" x14ac:dyDescent="0.15">
      <c r="B1189" s="27" t="s">
        <v>1529</v>
      </c>
      <c r="C1189" s="27" t="s">
        <v>30</v>
      </c>
      <c r="D1189" s="28">
        <f>SUMIFS(D1190:D1509,K1190:K1509,"0",B1190:B1509,"5 1 2 6 1 12 31111 6*")-SUMIFS(E1190:E1509,K1190:K1509,"0",B1190:B1509,"5 1 2 6 1 12 31111 6*")</f>
        <v>0</v>
      </c>
      <c r="E1189" s="29"/>
      <c r="F1189" s="28">
        <f>SUMIFS(F1190:F1509,K1190:K1509,"0",B1190:B1509,"5 1 2 6 1 12 31111 6*")</f>
        <v>1048856.6599999999</v>
      </c>
      <c r="G1189" s="28">
        <f>SUMIFS(G1190:G1509,K1190:K1509,"0",B1190:B1509,"5 1 2 6 1 12 31111 6*")</f>
        <v>0</v>
      </c>
      <c r="H1189" s="28">
        <f t="shared" si="23"/>
        <v>1048856.6599999999</v>
      </c>
      <c r="I1189" s="28"/>
      <c r="K1189" t="s">
        <v>15</v>
      </c>
    </row>
    <row r="1190" spans="2:11" ht="13" x14ac:dyDescent="0.15">
      <c r="B1190" s="27" t="s">
        <v>1530</v>
      </c>
      <c r="C1190" s="27" t="s">
        <v>733</v>
      </c>
      <c r="D1190" s="28">
        <f>SUMIFS(D1191:D1509,K1191:K1509,"0",B1191:B1509,"5 1 2 6 1 12 31111 6 M78*")-SUMIFS(E1191:E1509,K1191:K1509,"0",B1191:B1509,"5 1 2 6 1 12 31111 6 M78*")</f>
        <v>0</v>
      </c>
      <c r="E1190" s="29"/>
      <c r="F1190" s="28">
        <f>SUMIFS(F1191:F1509,K1191:K1509,"0",B1191:B1509,"5 1 2 6 1 12 31111 6 M78*")</f>
        <v>1048856.6599999999</v>
      </c>
      <c r="G1190" s="28">
        <f>SUMIFS(G1191:G1509,K1191:K1509,"0",B1191:B1509,"5 1 2 6 1 12 31111 6 M78*")</f>
        <v>0</v>
      </c>
      <c r="H1190" s="28">
        <f t="shared" si="23"/>
        <v>1048856.6599999999</v>
      </c>
      <c r="I1190" s="28"/>
      <c r="K1190" t="s">
        <v>15</v>
      </c>
    </row>
    <row r="1191" spans="2:11" ht="13" x14ac:dyDescent="0.15">
      <c r="B1191" s="27" t="s">
        <v>1531</v>
      </c>
      <c r="C1191" s="27" t="s">
        <v>8</v>
      </c>
      <c r="D1191" s="28">
        <f>SUMIFS(D1192:D1509,K1192:K1509,"0",B1192:B1509,"5 1 2 6 1 12 31111 6 M78 07000*")-SUMIFS(E1192:E1509,K1192:K1509,"0",B1192:B1509,"5 1 2 6 1 12 31111 6 M78 07000*")</f>
        <v>0</v>
      </c>
      <c r="E1191" s="29"/>
      <c r="F1191" s="28">
        <f>SUMIFS(F1192:F1509,K1192:K1509,"0",B1192:B1509,"5 1 2 6 1 12 31111 6 M78 07000*")</f>
        <v>1048856.6599999999</v>
      </c>
      <c r="G1191" s="28">
        <f>SUMIFS(G1192:G1509,K1192:K1509,"0",B1192:B1509,"5 1 2 6 1 12 31111 6 M78 07000*")</f>
        <v>0</v>
      </c>
      <c r="H1191" s="28">
        <f t="shared" si="23"/>
        <v>1048856.6599999999</v>
      </c>
      <c r="I1191" s="28"/>
      <c r="K1191" t="s">
        <v>15</v>
      </c>
    </row>
    <row r="1192" spans="2:11" ht="13" x14ac:dyDescent="0.15">
      <c r="B1192" s="27" t="s">
        <v>1532</v>
      </c>
      <c r="C1192" s="27" t="s">
        <v>168</v>
      </c>
      <c r="D1192" s="28">
        <f>SUMIFS(D1193:D1509,K1193:K1509,"0",B1193:B1509,"5 1 2 6 1 12 31111 6 M78 07000 151*")-SUMIFS(E1193:E1509,K1193:K1509,"0",B1193:B1509,"5 1 2 6 1 12 31111 6 M78 07000 151*")</f>
        <v>0</v>
      </c>
      <c r="E1192" s="29"/>
      <c r="F1192" s="28">
        <f>SUMIFS(F1193:F1509,K1193:K1509,"0",B1193:B1509,"5 1 2 6 1 12 31111 6 M78 07000 151*")</f>
        <v>1048856.6599999999</v>
      </c>
      <c r="G1192" s="28">
        <f>SUMIFS(G1193:G1509,K1193:K1509,"0",B1193:B1509,"5 1 2 6 1 12 31111 6 M78 07000 151*")</f>
        <v>0</v>
      </c>
      <c r="H1192" s="28">
        <f t="shared" si="23"/>
        <v>1048856.6599999999</v>
      </c>
      <c r="I1192" s="28"/>
      <c r="K1192" t="s">
        <v>15</v>
      </c>
    </row>
    <row r="1193" spans="2:11" ht="13" x14ac:dyDescent="0.15">
      <c r="B1193" s="27" t="s">
        <v>1533</v>
      </c>
      <c r="C1193" s="27" t="s">
        <v>170</v>
      </c>
      <c r="D1193" s="28">
        <f>SUMIFS(D1194:D1509,K1194:K1509,"0",B1194:B1509,"5 1 2 6 1 12 31111 6 M78 07000 151 00C*")-SUMIFS(E1194:E1509,K1194:K1509,"0",B1194:B1509,"5 1 2 6 1 12 31111 6 M78 07000 151 00C*")</f>
        <v>0</v>
      </c>
      <c r="E1193" s="29"/>
      <c r="F1193" s="28">
        <f>SUMIFS(F1194:F1509,K1194:K1509,"0",B1194:B1509,"5 1 2 6 1 12 31111 6 M78 07000 151 00C*")</f>
        <v>1048856.6599999999</v>
      </c>
      <c r="G1193" s="28">
        <f>SUMIFS(G1194:G1509,K1194:K1509,"0",B1194:B1509,"5 1 2 6 1 12 31111 6 M78 07000 151 00C*")</f>
        <v>0</v>
      </c>
      <c r="H1193" s="28">
        <f t="shared" si="23"/>
        <v>1048856.6599999999</v>
      </c>
      <c r="I1193" s="28"/>
      <c r="K1193" t="s">
        <v>15</v>
      </c>
    </row>
    <row r="1194" spans="2:11" ht="22" x14ac:dyDescent="0.15">
      <c r="B1194" s="27" t="s">
        <v>1534</v>
      </c>
      <c r="C1194" s="27" t="s">
        <v>9</v>
      </c>
      <c r="D1194" s="28">
        <f>SUMIFS(D1195:D1509,K1195:K1509,"0",B1195:B1509,"5 1 2 6 1 12 31111 6 M78 07000 151 00C 001*")-SUMIFS(E1195:E1509,K1195:K1509,"0",B1195:B1509,"5 1 2 6 1 12 31111 6 M78 07000 151 00C 001*")</f>
        <v>0</v>
      </c>
      <c r="E1194" s="29"/>
      <c r="F1194" s="28">
        <f>SUMIFS(F1195:F1509,K1195:K1509,"0",B1195:B1509,"5 1 2 6 1 12 31111 6 M78 07000 151 00C 001*")</f>
        <v>1048856.6599999999</v>
      </c>
      <c r="G1194" s="28">
        <f>SUMIFS(G1195:G1509,K1195:K1509,"0",B1195:B1509,"5 1 2 6 1 12 31111 6 M78 07000 151 00C 001*")</f>
        <v>0</v>
      </c>
      <c r="H1194" s="28">
        <f t="shared" si="23"/>
        <v>1048856.6599999999</v>
      </c>
      <c r="I1194" s="28"/>
      <c r="K1194" t="s">
        <v>15</v>
      </c>
    </row>
    <row r="1195" spans="2:11" ht="33" x14ac:dyDescent="0.15">
      <c r="B1195" s="27" t="s">
        <v>1535</v>
      </c>
      <c r="C1195" s="27" t="s">
        <v>1536</v>
      </c>
      <c r="D1195" s="28">
        <f>SUMIFS(D1196:D1509,K1196:K1509,"0",B1196:B1509,"5 1 2 6 1 12 31111 6 M78 07000 151 00C 001 26104*")-SUMIFS(E1196:E1509,K1196:K1509,"0",B1196:B1509,"5 1 2 6 1 12 31111 6 M78 07000 151 00C 001 26104*")</f>
        <v>0</v>
      </c>
      <c r="E1195" s="29"/>
      <c r="F1195" s="28">
        <f>SUMIFS(F1196:F1509,K1196:K1509,"0",B1196:B1509,"5 1 2 6 1 12 31111 6 M78 07000 151 00C 001 26104*")</f>
        <v>1048856.6599999999</v>
      </c>
      <c r="G1195" s="28">
        <f>SUMIFS(G1196:G1509,K1196:K1509,"0",B1196:B1509,"5 1 2 6 1 12 31111 6 M78 07000 151 00C 001 26104*")</f>
        <v>0</v>
      </c>
      <c r="H1195" s="28">
        <f t="shared" si="23"/>
        <v>1048856.6599999999</v>
      </c>
      <c r="I1195" s="28"/>
      <c r="K1195" t="s">
        <v>15</v>
      </c>
    </row>
    <row r="1196" spans="2:11" ht="22" x14ac:dyDescent="0.15">
      <c r="B1196" s="27" t="s">
        <v>1537</v>
      </c>
      <c r="C1196" s="27" t="s">
        <v>176</v>
      </c>
      <c r="D1196" s="28">
        <f>SUMIFS(D1197:D1509,K1197:K1509,"0",B1197:B1509,"5 1 2 6 1 12 31111 6 M78 07000 151 00C 001 26104 015*")-SUMIFS(E1197:E1509,K1197:K1509,"0",B1197:B1509,"5 1 2 6 1 12 31111 6 M78 07000 151 00C 001 26104 015*")</f>
        <v>0</v>
      </c>
      <c r="E1196" s="29"/>
      <c r="F1196" s="28">
        <f>SUMIFS(F1197:F1509,K1197:K1509,"0",B1197:B1509,"5 1 2 6 1 12 31111 6 M78 07000 151 00C 001 26104 015*")</f>
        <v>1048856.6599999999</v>
      </c>
      <c r="G1196" s="28">
        <f>SUMIFS(G1197:G1509,K1197:K1509,"0",B1197:B1509,"5 1 2 6 1 12 31111 6 M78 07000 151 00C 001 26104 015*")</f>
        <v>0</v>
      </c>
      <c r="H1196" s="28">
        <f t="shared" si="23"/>
        <v>1048856.6599999999</v>
      </c>
      <c r="I1196" s="28"/>
      <c r="K1196" t="s">
        <v>15</v>
      </c>
    </row>
    <row r="1197" spans="2:11" ht="22" x14ac:dyDescent="0.15">
      <c r="B1197" s="27" t="s">
        <v>1538</v>
      </c>
      <c r="C1197" s="27" t="s">
        <v>178</v>
      </c>
      <c r="D1197" s="28">
        <f>SUMIFS(D1198:D1509,K1198:K1509,"0",B1198:B1509,"5 1 2 6 1 12 31111 6 M78 07000 151 00C 001 26104 015 2112000*")-SUMIFS(E1198:E1509,K1198:K1509,"0",B1198:B1509,"5 1 2 6 1 12 31111 6 M78 07000 151 00C 001 26104 015 2112000*")</f>
        <v>0</v>
      </c>
      <c r="E1197" s="29"/>
      <c r="F1197" s="28">
        <f>SUMIFS(F1198:F1509,K1198:K1509,"0",B1198:B1509,"5 1 2 6 1 12 31111 6 M78 07000 151 00C 001 26104 015 2112000*")</f>
        <v>1048856.6599999999</v>
      </c>
      <c r="G1197" s="28">
        <f>SUMIFS(G1198:G1509,K1198:K1509,"0",B1198:B1509,"5 1 2 6 1 12 31111 6 M78 07000 151 00C 001 26104 015 2112000*")</f>
        <v>0</v>
      </c>
      <c r="H1197" s="28">
        <f t="shared" si="23"/>
        <v>1048856.6599999999</v>
      </c>
      <c r="I1197" s="28"/>
      <c r="K1197" t="s">
        <v>15</v>
      </c>
    </row>
    <row r="1198" spans="2:11" ht="22" x14ac:dyDescent="0.15">
      <c r="B1198" s="27" t="s">
        <v>1539</v>
      </c>
      <c r="C1198" s="27" t="s">
        <v>248</v>
      </c>
      <c r="D1198" s="28">
        <f>SUMIFS(D1199:D1509,K1199:K1509,"0",B1199:B1509,"5 1 2 6 1 12 31111 6 M78 07000 151 00C 001 26104 015 2112000 2024*")-SUMIFS(E1199:E1509,K1199:K1509,"0",B1199:B1509,"5 1 2 6 1 12 31111 6 M78 07000 151 00C 001 26104 015 2112000 2024*")</f>
        <v>0</v>
      </c>
      <c r="E1198" s="29"/>
      <c r="F1198" s="28">
        <f>SUMIFS(F1199:F1509,K1199:K1509,"0",B1199:B1509,"5 1 2 6 1 12 31111 6 M78 07000 151 00C 001 26104 015 2112000 2024*")</f>
        <v>1048856.6599999999</v>
      </c>
      <c r="G1198" s="28">
        <f>SUMIFS(G1199:G1509,K1199:K1509,"0",B1199:B1509,"5 1 2 6 1 12 31111 6 M78 07000 151 00C 001 26104 015 2112000 2024*")</f>
        <v>0</v>
      </c>
      <c r="H1198" s="28">
        <f t="shared" si="23"/>
        <v>1048856.6599999999</v>
      </c>
      <c r="I1198" s="28"/>
      <c r="K1198" t="s">
        <v>15</v>
      </c>
    </row>
    <row r="1199" spans="2:11" ht="22" x14ac:dyDescent="0.15">
      <c r="B1199" s="27" t="s">
        <v>1540</v>
      </c>
      <c r="C1199" s="27" t="s">
        <v>182</v>
      </c>
      <c r="D1199" s="28">
        <f>SUMIFS(D1200:D1509,K1200:K1509,"0",B1200:B1509,"5 1 2 6 1 12 31111 6 M78 07000 151 00C 001 26104 015 2112000 2024 00000000*")-SUMIFS(E1200:E1509,K1200:K1509,"0",B1200:B1509,"5 1 2 6 1 12 31111 6 M78 07000 151 00C 001 26104 015 2112000 2024 00000000*")</f>
        <v>0</v>
      </c>
      <c r="E1199" s="29"/>
      <c r="F1199" s="28">
        <f>SUMIFS(F1200:F1509,K1200:K1509,"0",B1200:B1509,"5 1 2 6 1 12 31111 6 M78 07000 151 00C 001 26104 015 2112000 2024 00000000*")</f>
        <v>1048856.6599999999</v>
      </c>
      <c r="G1199" s="28">
        <f>SUMIFS(G1200:G1509,K1200:K1509,"0",B1200:B1509,"5 1 2 6 1 12 31111 6 M78 07000 151 00C 001 26104 015 2112000 2024 00000000*")</f>
        <v>0</v>
      </c>
      <c r="H1199" s="28">
        <f t="shared" si="23"/>
        <v>1048856.6599999999</v>
      </c>
      <c r="I1199" s="28"/>
      <c r="K1199" t="s">
        <v>15</v>
      </c>
    </row>
    <row r="1200" spans="2:11" ht="33" x14ac:dyDescent="0.15">
      <c r="B1200" s="27" t="s">
        <v>1541</v>
      </c>
      <c r="C1200" s="27" t="s">
        <v>9</v>
      </c>
      <c r="D1200" s="28">
        <f>SUMIFS(D1201:D1509,K1201:K1509,"0",B1201:B1509,"5 1 2 6 1 12 31111 6 M78 07000 151 00C 001 26104 015 2112000 2024 00000000 001*")-SUMIFS(E1201:E1509,K1201:K1509,"0",B1201:B1509,"5 1 2 6 1 12 31111 6 M78 07000 151 00C 001 26104 015 2112000 2024 00000000 001*")</f>
        <v>0</v>
      </c>
      <c r="E1200" s="29"/>
      <c r="F1200" s="28">
        <f>SUMIFS(F1201:F1509,K1201:K1509,"0",B1201:B1509,"5 1 2 6 1 12 31111 6 M78 07000 151 00C 001 26104 015 2112000 2024 00000000 001*")</f>
        <v>1048856.6599999999</v>
      </c>
      <c r="G1200" s="28">
        <f>SUMIFS(G1201:G1509,K1201:K1509,"0",B1201:B1509,"5 1 2 6 1 12 31111 6 M78 07000 151 00C 001 26104 015 2112000 2024 00000000 001*")</f>
        <v>0</v>
      </c>
      <c r="H1200" s="28">
        <f t="shared" si="23"/>
        <v>1048856.6599999999</v>
      </c>
      <c r="I1200" s="28"/>
      <c r="K1200" t="s">
        <v>15</v>
      </c>
    </row>
    <row r="1201" spans="2:11" ht="33" x14ac:dyDescent="0.15">
      <c r="B1201" s="30" t="s">
        <v>1542</v>
      </c>
      <c r="C1201" s="30" t="s">
        <v>1543</v>
      </c>
      <c r="D1201" s="31">
        <v>0</v>
      </c>
      <c r="E1201" s="31"/>
      <c r="F1201" s="31">
        <v>1048856.6599999999</v>
      </c>
      <c r="G1201" s="31">
        <v>0</v>
      </c>
      <c r="H1201" s="31">
        <f t="shared" si="23"/>
        <v>1048856.6599999999</v>
      </c>
      <c r="I1201" s="31"/>
      <c r="K1201" t="s">
        <v>38</v>
      </c>
    </row>
    <row r="1202" spans="2:11" ht="13" x14ac:dyDescent="0.15">
      <c r="B1202" s="27" t="s">
        <v>1544</v>
      </c>
      <c r="C1202" s="27" t="s">
        <v>1545</v>
      </c>
      <c r="D1202" s="28">
        <f>SUMIFS(D1203:D1509,K1203:K1509,"0",B1203:B1509,"5 1 3*")-SUMIFS(E1203:E1509,K1203:K1509,"0",B1203:B1509,"5 1 3*")</f>
        <v>0</v>
      </c>
      <c r="E1202" s="29"/>
      <c r="F1202" s="28">
        <f>SUMIFS(F1203:F1509,K1203:K1509,"0",B1203:B1509,"5 1 3*")</f>
        <v>3193850.1100000003</v>
      </c>
      <c r="G1202" s="28">
        <f>SUMIFS(G1203:G1509,K1203:K1509,"0",B1203:B1509,"5 1 3*")</f>
        <v>0</v>
      </c>
      <c r="H1202" s="28">
        <f t="shared" si="23"/>
        <v>3193850.1100000003</v>
      </c>
      <c r="I1202" s="28"/>
      <c r="K1202" t="s">
        <v>15</v>
      </c>
    </row>
    <row r="1203" spans="2:11" ht="13" x14ac:dyDescent="0.15">
      <c r="B1203" s="27" t="s">
        <v>1546</v>
      </c>
      <c r="C1203" s="27" t="s">
        <v>1547</v>
      </c>
      <c r="D1203" s="28">
        <f>SUMIFS(D1204:D1509,K1204:K1509,"0",B1204:B1509,"5 1 3 1*")-SUMIFS(E1204:E1509,K1204:K1509,"0",B1204:B1509,"5 1 3 1*")</f>
        <v>0</v>
      </c>
      <c r="E1203" s="29"/>
      <c r="F1203" s="28">
        <f>SUMIFS(F1204:F1509,K1204:K1509,"0",B1204:B1509,"5 1 3 1*")</f>
        <v>5450</v>
      </c>
      <c r="G1203" s="28">
        <f>SUMIFS(G1204:G1509,K1204:K1509,"0",B1204:B1509,"5 1 3 1*")</f>
        <v>0</v>
      </c>
      <c r="H1203" s="28">
        <f t="shared" si="23"/>
        <v>5450</v>
      </c>
      <c r="I1203" s="28"/>
      <c r="K1203" t="s">
        <v>15</v>
      </c>
    </row>
    <row r="1204" spans="2:11" ht="13" x14ac:dyDescent="0.15">
      <c r="B1204" s="27" t="s">
        <v>1548</v>
      </c>
      <c r="C1204" s="27" t="s">
        <v>1549</v>
      </c>
      <c r="D1204" s="28">
        <f>SUMIFS(D1205:D1509,K1205:K1509,"0",B1205:B1509,"5 1 3 1 5*")-SUMIFS(E1205:E1509,K1205:K1509,"0",B1205:B1509,"5 1 3 1 5*")</f>
        <v>0</v>
      </c>
      <c r="E1204" s="29"/>
      <c r="F1204" s="28">
        <f>SUMIFS(F1205:F1509,K1205:K1509,"0",B1205:B1509,"5 1 3 1 5*")</f>
        <v>650</v>
      </c>
      <c r="G1204" s="28">
        <f>SUMIFS(G1205:G1509,K1205:K1509,"0",B1205:B1509,"5 1 3 1 5*")</f>
        <v>0</v>
      </c>
      <c r="H1204" s="28">
        <f t="shared" si="23"/>
        <v>650</v>
      </c>
      <c r="I1204" s="28"/>
      <c r="K1204" t="s">
        <v>15</v>
      </c>
    </row>
    <row r="1205" spans="2:11" ht="13" x14ac:dyDescent="0.15">
      <c r="B1205" s="27" t="s">
        <v>1550</v>
      </c>
      <c r="C1205" s="27" t="s">
        <v>26</v>
      </c>
      <c r="D1205" s="28">
        <f>SUMIFS(D1206:D1509,K1206:K1509,"0",B1206:B1509,"5 1 3 1 5 12*")-SUMIFS(E1206:E1509,K1206:K1509,"0",B1206:B1509,"5 1 3 1 5 12*")</f>
        <v>0</v>
      </c>
      <c r="E1205" s="29"/>
      <c r="F1205" s="28">
        <f>SUMIFS(F1206:F1509,K1206:K1509,"0",B1206:B1509,"5 1 3 1 5 12*")</f>
        <v>650</v>
      </c>
      <c r="G1205" s="28">
        <f>SUMIFS(G1206:G1509,K1206:K1509,"0",B1206:B1509,"5 1 3 1 5 12*")</f>
        <v>0</v>
      </c>
      <c r="H1205" s="28">
        <f t="shared" si="23"/>
        <v>650</v>
      </c>
      <c r="I1205" s="28"/>
      <c r="K1205" t="s">
        <v>15</v>
      </c>
    </row>
    <row r="1206" spans="2:11" ht="13" x14ac:dyDescent="0.15">
      <c r="B1206" s="27" t="s">
        <v>1551</v>
      </c>
      <c r="C1206" s="27" t="s">
        <v>28</v>
      </c>
      <c r="D1206" s="28">
        <f>SUMIFS(D1207:D1509,K1207:K1509,"0",B1207:B1509,"5 1 3 1 5 12 31111*")-SUMIFS(E1207:E1509,K1207:K1509,"0",B1207:B1509,"5 1 3 1 5 12 31111*")</f>
        <v>0</v>
      </c>
      <c r="E1206" s="29"/>
      <c r="F1206" s="28">
        <f>SUMIFS(F1207:F1509,K1207:K1509,"0",B1207:B1509,"5 1 3 1 5 12 31111*")</f>
        <v>650</v>
      </c>
      <c r="G1206" s="28">
        <f>SUMIFS(G1207:G1509,K1207:K1509,"0",B1207:B1509,"5 1 3 1 5 12 31111*")</f>
        <v>0</v>
      </c>
      <c r="H1206" s="28">
        <f t="shared" si="23"/>
        <v>650</v>
      </c>
      <c r="I1206" s="28"/>
      <c r="K1206" t="s">
        <v>15</v>
      </c>
    </row>
    <row r="1207" spans="2:11" ht="13" x14ac:dyDescent="0.15">
      <c r="B1207" s="27" t="s">
        <v>1552</v>
      </c>
      <c r="C1207" s="27" t="s">
        <v>30</v>
      </c>
      <c r="D1207" s="28">
        <f>SUMIFS(D1208:D1509,K1208:K1509,"0",B1208:B1509,"5 1 3 1 5 12 31111 6*")-SUMIFS(E1208:E1509,K1208:K1509,"0",B1208:B1509,"5 1 3 1 5 12 31111 6*")</f>
        <v>0</v>
      </c>
      <c r="E1207" s="29"/>
      <c r="F1207" s="28">
        <f>SUMIFS(F1208:F1509,K1208:K1509,"0",B1208:B1509,"5 1 3 1 5 12 31111 6*")</f>
        <v>650</v>
      </c>
      <c r="G1207" s="28">
        <f>SUMIFS(G1208:G1509,K1208:K1509,"0",B1208:B1509,"5 1 3 1 5 12 31111 6*")</f>
        <v>0</v>
      </c>
      <c r="H1207" s="28">
        <f t="shared" si="23"/>
        <v>650</v>
      </c>
      <c r="I1207" s="28"/>
      <c r="K1207" t="s">
        <v>15</v>
      </c>
    </row>
    <row r="1208" spans="2:11" ht="13" x14ac:dyDescent="0.15">
      <c r="B1208" s="27" t="s">
        <v>1553</v>
      </c>
      <c r="C1208" s="27" t="s">
        <v>733</v>
      </c>
      <c r="D1208" s="28">
        <f>SUMIFS(D1209:D1509,K1209:K1509,"0",B1209:B1509,"5 1 3 1 5 12 31111 6 M78*")-SUMIFS(E1209:E1509,K1209:K1509,"0",B1209:B1509,"5 1 3 1 5 12 31111 6 M78*")</f>
        <v>0</v>
      </c>
      <c r="E1208" s="29"/>
      <c r="F1208" s="28">
        <f>SUMIFS(F1209:F1509,K1209:K1509,"0",B1209:B1509,"5 1 3 1 5 12 31111 6 M78*")</f>
        <v>650</v>
      </c>
      <c r="G1208" s="28">
        <f>SUMIFS(G1209:G1509,K1209:K1509,"0",B1209:B1509,"5 1 3 1 5 12 31111 6 M78*")</f>
        <v>0</v>
      </c>
      <c r="H1208" s="28">
        <f t="shared" si="23"/>
        <v>650</v>
      </c>
      <c r="I1208" s="28"/>
      <c r="K1208" t="s">
        <v>15</v>
      </c>
    </row>
    <row r="1209" spans="2:11" ht="13" x14ac:dyDescent="0.15">
      <c r="B1209" s="27" t="s">
        <v>1554</v>
      </c>
      <c r="C1209" s="27" t="s">
        <v>8</v>
      </c>
      <c r="D1209" s="28">
        <f>SUMIFS(D1210:D1509,K1210:K1509,"0",B1210:B1509,"5 1 3 1 5 12 31111 6 M78 07000*")-SUMIFS(E1210:E1509,K1210:K1509,"0",B1210:B1509,"5 1 3 1 5 12 31111 6 M78 07000*")</f>
        <v>0</v>
      </c>
      <c r="E1209" s="29"/>
      <c r="F1209" s="28">
        <f>SUMIFS(F1210:F1509,K1210:K1509,"0",B1210:B1509,"5 1 3 1 5 12 31111 6 M78 07000*")</f>
        <v>650</v>
      </c>
      <c r="G1209" s="28">
        <f>SUMIFS(G1210:G1509,K1210:K1509,"0",B1210:B1509,"5 1 3 1 5 12 31111 6 M78 07000*")</f>
        <v>0</v>
      </c>
      <c r="H1209" s="28">
        <f t="shared" si="23"/>
        <v>650</v>
      </c>
      <c r="I1209" s="28"/>
      <c r="K1209" t="s">
        <v>15</v>
      </c>
    </row>
    <row r="1210" spans="2:11" ht="13" x14ac:dyDescent="0.15">
      <c r="B1210" s="27" t="s">
        <v>1555</v>
      </c>
      <c r="C1210" s="27" t="s">
        <v>168</v>
      </c>
      <c r="D1210" s="28">
        <f>SUMIFS(D1211:D1509,K1211:K1509,"0",B1211:B1509,"5 1 3 1 5 12 31111 6 M78 07000 151*")-SUMIFS(E1211:E1509,K1211:K1509,"0",B1211:B1509,"5 1 3 1 5 12 31111 6 M78 07000 151*")</f>
        <v>0</v>
      </c>
      <c r="E1210" s="29"/>
      <c r="F1210" s="28">
        <f>SUMIFS(F1211:F1509,K1211:K1509,"0",B1211:B1509,"5 1 3 1 5 12 31111 6 M78 07000 151*")</f>
        <v>650</v>
      </c>
      <c r="G1210" s="28">
        <f>SUMIFS(G1211:G1509,K1211:K1509,"0",B1211:B1509,"5 1 3 1 5 12 31111 6 M78 07000 151*")</f>
        <v>0</v>
      </c>
      <c r="H1210" s="28">
        <f t="shared" si="23"/>
        <v>650</v>
      </c>
      <c r="I1210" s="28"/>
      <c r="K1210" t="s">
        <v>15</v>
      </c>
    </row>
    <row r="1211" spans="2:11" ht="13" x14ac:dyDescent="0.15">
      <c r="B1211" s="27" t="s">
        <v>1556</v>
      </c>
      <c r="C1211" s="27" t="s">
        <v>170</v>
      </c>
      <c r="D1211" s="28">
        <f>SUMIFS(D1212:D1509,K1212:K1509,"0",B1212:B1509,"5 1 3 1 5 12 31111 6 M78 07000 151 00C*")-SUMIFS(E1212:E1509,K1212:K1509,"0",B1212:B1509,"5 1 3 1 5 12 31111 6 M78 07000 151 00C*")</f>
        <v>0</v>
      </c>
      <c r="E1211" s="29"/>
      <c r="F1211" s="28">
        <f>SUMIFS(F1212:F1509,K1212:K1509,"0",B1212:B1509,"5 1 3 1 5 12 31111 6 M78 07000 151 00C*")</f>
        <v>650</v>
      </c>
      <c r="G1211" s="28">
        <f>SUMIFS(G1212:G1509,K1212:K1509,"0",B1212:B1509,"5 1 3 1 5 12 31111 6 M78 07000 151 00C*")</f>
        <v>0</v>
      </c>
      <c r="H1211" s="28">
        <f t="shared" si="23"/>
        <v>650</v>
      </c>
      <c r="I1211" s="28"/>
      <c r="K1211" t="s">
        <v>15</v>
      </c>
    </row>
    <row r="1212" spans="2:11" ht="22" x14ac:dyDescent="0.15">
      <c r="B1212" s="27" t="s">
        <v>1557</v>
      </c>
      <c r="C1212" s="27" t="s">
        <v>9</v>
      </c>
      <c r="D1212" s="28">
        <f>SUMIFS(D1213:D1509,K1213:K1509,"0",B1213:B1509,"5 1 3 1 5 12 31111 6 M78 07000 151 00C 001*")-SUMIFS(E1213:E1509,K1213:K1509,"0",B1213:B1509,"5 1 3 1 5 12 31111 6 M78 07000 151 00C 001*")</f>
        <v>0</v>
      </c>
      <c r="E1212" s="29"/>
      <c r="F1212" s="28">
        <f>SUMIFS(F1213:F1509,K1213:K1509,"0",B1213:B1509,"5 1 3 1 5 12 31111 6 M78 07000 151 00C 001*")</f>
        <v>650</v>
      </c>
      <c r="G1212" s="28">
        <f>SUMIFS(G1213:G1509,K1213:K1509,"0",B1213:B1509,"5 1 3 1 5 12 31111 6 M78 07000 151 00C 001*")</f>
        <v>0</v>
      </c>
      <c r="H1212" s="28">
        <f t="shared" si="23"/>
        <v>650</v>
      </c>
      <c r="I1212" s="28"/>
      <c r="K1212" t="s">
        <v>15</v>
      </c>
    </row>
    <row r="1213" spans="2:11" ht="22" x14ac:dyDescent="0.15">
      <c r="B1213" s="27" t="s">
        <v>1558</v>
      </c>
      <c r="C1213" s="27" t="s">
        <v>1559</v>
      </c>
      <c r="D1213" s="28">
        <f>SUMIFS(D1214:D1509,K1214:K1509,"0",B1214:B1509,"5 1 3 1 5 12 31111 6 M78 07000 151 00C 001 31501*")-SUMIFS(E1214:E1509,K1214:K1509,"0",B1214:B1509,"5 1 3 1 5 12 31111 6 M78 07000 151 00C 001 31501*")</f>
        <v>0</v>
      </c>
      <c r="E1213" s="29"/>
      <c r="F1213" s="28">
        <f>SUMIFS(F1214:F1509,K1214:K1509,"0",B1214:B1509,"5 1 3 1 5 12 31111 6 M78 07000 151 00C 001 31501*")</f>
        <v>650</v>
      </c>
      <c r="G1213" s="28">
        <f>SUMIFS(G1214:G1509,K1214:K1509,"0",B1214:B1509,"5 1 3 1 5 12 31111 6 M78 07000 151 00C 001 31501*")</f>
        <v>0</v>
      </c>
      <c r="H1213" s="28">
        <f t="shared" si="23"/>
        <v>650</v>
      </c>
      <c r="I1213" s="28"/>
      <c r="K1213" t="s">
        <v>15</v>
      </c>
    </row>
    <row r="1214" spans="2:11" ht="22" x14ac:dyDescent="0.15">
      <c r="B1214" s="27" t="s">
        <v>1560</v>
      </c>
      <c r="C1214" s="27" t="s">
        <v>176</v>
      </c>
      <c r="D1214" s="28">
        <f>SUMIFS(D1215:D1509,K1215:K1509,"0",B1215:B1509,"5 1 3 1 5 12 31111 6 M78 07000 151 00C 001 31501 015*")-SUMIFS(E1215:E1509,K1215:K1509,"0",B1215:B1509,"5 1 3 1 5 12 31111 6 M78 07000 151 00C 001 31501 015*")</f>
        <v>0</v>
      </c>
      <c r="E1214" s="29"/>
      <c r="F1214" s="28">
        <f>SUMIFS(F1215:F1509,K1215:K1509,"0",B1215:B1509,"5 1 3 1 5 12 31111 6 M78 07000 151 00C 001 31501 015*")</f>
        <v>650</v>
      </c>
      <c r="G1214" s="28">
        <f>SUMIFS(G1215:G1509,K1215:K1509,"0",B1215:B1509,"5 1 3 1 5 12 31111 6 M78 07000 151 00C 001 31501 015*")</f>
        <v>0</v>
      </c>
      <c r="H1214" s="28">
        <f t="shared" si="23"/>
        <v>650</v>
      </c>
      <c r="I1214" s="28"/>
      <c r="K1214" t="s">
        <v>15</v>
      </c>
    </row>
    <row r="1215" spans="2:11" ht="22" x14ac:dyDescent="0.15">
      <c r="B1215" s="27" t="s">
        <v>1561</v>
      </c>
      <c r="C1215" s="27" t="s">
        <v>178</v>
      </c>
      <c r="D1215" s="28">
        <f>SUMIFS(D1216:D1509,K1216:K1509,"0",B1216:B1509,"5 1 3 1 5 12 31111 6 M78 07000 151 00C 001 31501 015 2112000*")-SUMIFS(E1216:E1509,K1216:K1509,"0",B1216:B1509,"5 1 3 1 5 12 31111 6 M78 07000 151 00C 001 31501 015 2112000*")</f>
        <v>0</v>
      </c>
      <c r="E1215" s="29"/>
      <c r="F1215" s="28">
        <f>SUMIFS(F1216:F1509,K1216:K1509,"0",B1216:B1509,"5 1 3 1 5 12 31111 6 M78 07000 151 00C 001 31501 015 2112000*")</f>
        <v>650</v>
      </c>
      <c r="G1215" s="28">
        <f>SUMIFS(G1216:G1509,K1216:K1509,"0",B1216:B1509,"5 1 3 1 5 12 31111 6 M78 07000 151 00C 001 31501 015 2112000*")</f>
        <v>0</v>
      </c>
      <c r="H1215" s="28">
        <f t="shared" si="23"/>
        <v>650</v>
      </c>
      <c r="I1215" s="28"/>
      <c r="K1215" t="s">
        <v>15</v>
      </c>
    </row>
    <row r="1216" spans="2:11" ht="22" x14ac:dyDescent="0.15">
      <c r="B1216" s="27" t="s">
        <v>1562</v>
      </c>
      <c r="C1216" s="27" t="s">
        <v>248</v>
      </c>
      <c r="D1216" s="28">
        <f>SUMIFS(D1217:D1509,K1217:K1509,"0",B1217:B1509,"5 1 3 1 5 12 31111 6 M78 07000 151 00C 001 31501 015 2112000 2024*")-SUMIFS(E1217:E1509,K1217:K1509,"0",B1217:B1509,"5 1 3 1 5 12 31111 6 M78 07000 151 00C 001 31501 015 2112000 2024*")</f>
        <v>0</v>
      </c>
      <c r="E1216" s="29"/>
      <c r="F1216" s="28">
        <f>SUMIFS(F1217:F1509,K1217:K1509,"0",B1217:B1509,"5 1 3 1 5 12 31111 6 M78 07000 151 00C 001 31501 015 2112000 2024*")</f>
        <v>650</v>
      </c>
      <c r="G1216" s="28">
        <f>SUMIFS(G1217:G1509,K1217:K1509,"0",B1217:B1509,"5 1 3 1 5 12 31111 6 M78 07000 151 00C 001 31501 015 2112000 2024*")</f>
        <v>0</v>
      </c>
      <c r="H1216" s="28">
        <f t="shared" si="23"/>
        <v>650</v>
      </c>
      <c r="I1216" s="28"/>
      <c r="K1216" t="s">
        <v>15</v>
      </c>
    </row>
    <row r="1217" spans="2:11" ht="22" x14ac:dyDescent="0.15">
      <c r="B1217" s="27" t="s">
        <v>1563</v>
      </c>
      <c r="C1217" s="27" t="s">
        <v>182</v>
      </c>
      <c r="D1217" s="28">
        <f>SUMIFS(D1218:D1509,K1218:K1509,"0",B1218:B1509,"5 1 3 1 5 12 31111 6 M78 07000 151 00C 001 31501 015 2112000 2024 00000000*")-SUMIFS(E1218:E1509,K1218:K1509,"0",B1218:B1509,"5 1 3 1 5 12 31111 6 M78 07000 151 00C 001 31501 015 2112000 2024 00000000*")</f>
        <v>0</v>
      </c>
      <c r="E1217" s="29"/>
      <c r="F1217" s="28">
        <f>SUMIFS(F1218:F1509,K1218:K1509,"0",B1218:B1509,"5 1 3 1 5 12 31111 6 M78 07000 151 00C 001 31501 015 2112000 2024 00000000*")</f>
        <v>650</v>
      </c>
      <c r="G1217" s="28">
        <f>SUMIFS(G1218:G1509,K1218:K1509,"0",B1218:B1509,"5 1 3 1 5 12 31111 6 M78 07000 151 00C 001 31501 015 2112000 2024 00000000*")</f>
        <v>0</v>
      </c>
      <c r="H1217" s="28">
        <f t="shared" si="23"/>
        <v>650</v>
      </c>
      <c r="I1217" s="28"/>
      <c r="K1217" t="s">
        <v>15</v>
      </c>
    </row>
    <row r="1218" spans="2:11" ht="33" x14ac:dyDescent="0.15">
      <c r="B1218" s="27" t="s">
        <v>1564</v>
      </c>
      <c r="C1218" s="27" t="s">
        <v>9</v>
      </c>
      <c r="D1218" s="28">
        <f>SUMIFS(D1219:D1509,K1219:K1509,"0",B1219:B1509,"5 1 3 1 5 12 31111 6 M78 07000 151 00C 001 31501 015 2112000 2024 00000000 001*")-SUMIFS(E1219:E1509,K1219:K1509,"0",B1219:B1509,"5 1 3 1 5 12 31111 6 M78 07000 151 00C 001 31501 015 2112000 2024 00000000 001*")</f>
        <v>0</v>
      </c>
      <c r="E1218" s="29"/>
      <c r="F1218" s="28">
        <f>SUMIFS(F1219:F1509,K1219:K1509,"0",B1219:B1509,"5 1 3 1 5 12 31111 6 M78 07000 151 00C 001 31501 015 2112000 2024 00000000 001*")</f>
        <v>650</v>
      </c>
      <c r="G1218" s="28">
        <f>SUMIFS(G1219:G1509,K1219:K1509,"0",B1219:B1509,"5 1 3 1 5 12 31111 6 M78 07000 151 00C 001 31501 015 2112000 2024 00000000 001*")</f>
        <v>0</v>
      </c>
      <c r="H1218" s="28">
        <f t="shared" si="23"/>
        <v>650</v>
      </c>
      <c r="I1218" s="28"/>
      <c r="K1218" t="s">
        <v>15</v>
      </c>
    </row>
    <row r="1219" spans="2:11" ht="33" x14ac:dyDescent="0.15">
      <c r="B1219" s="30" t="s">
        <v>1565</v>
      </c>
      <c r="C1219" s="30" t="s">
        <v>1566</v>
      </c>
      <c r="D1219" s="31">
        <v>0</v>
      </c>
      <c r="E1219" s="31"/>
      <c r="F1219" s="31">
        <v>650</v>
      </c>
      <c r="G1219" s="31">
        <v>0</v>
      </c>
      <c r="H1219" s="31">
        <f t="shared" si="23"/>
        <v>650</v>
      </c>
      <c r="I1219" s="31"/>
      <c r="K1219" t="s">
        <v>38</v>
      </c>
    </row>
    <row r="1220" spans="2:11" ht="22" x14ac:dyDescent="0.15">
      <c r="B1220" s="27" t="s">
        <v>1567</v>
      </c>
      <c r="C1220" s="27" t="s">
        <v>1568</v>
      </c>
      <c r="D1220" s="28">
        <f>SUMIFS(D1221:D1509,K1221:K1509,"0",B1221:B1509,"5 1 3 1 7*")-SUMIFS(E1221:E1509,K1221:K1509,"0",B1221:B1509,"5 1 3 1 7*")</f>
        <v>0</v>
      </c>
      <c r="E1220" s="29"/>
      <c r="F1220" s="28">
        <f>SUMIFS(F1221:F1509,K1221:K1509,"0",B1221:B1509,"5 1 3 1 7*")</f>
        <v>4800</v>
      </c>
      <c r="G1220" s="28">
        <f>SUMIFS(G1221:G1509,K1221:K1509,"0",B1221:B1509,"5 1 3 1 7*")</f>
        <v>0</v>
      </c>
      <c r="H1220" s="28">
        <f t="shared" si="23"/>
        <v>4800</v>
      </c>
      <c r="I1220" s="28"/>
      <c r="K1220" t="s">
        <v>15</v>
      </c>
    </row>
    <row r="1221" spans="2:11" ht="13" x14ac:dyDescent="0.15">
      <c r="B1221" s="27" t="s">
        <v>1569</v>
      </c>
      <c r="C1221" s="27" t="s">
        <v>26</v>
      </c>
      <c r="D1221" s="28">
        <f>SUMIFS(D1222:D1509,K1222:K1509,"0",B1222:B1509,"5 1 3 1 7 12*")-SUMIFS(E1222:E1509,K1222:K1509,"0",B1222:B1509,"5 1 3 1 7 12*")</f>
        <v>0</v>
      </c>
      <c r="E1221" s="29"/>
      <c r="F1221" s="28">
        <f>SUMIFS(F1222:F1509,K1222:K1509,"0",B1222:B1509,"5 1 3 1 7 12*")</f>
        <v>4800</v>
      </c>
      <c r="G1221" s="28">
        <f>SUMIFS(G1222:G1509,K1222:K1509,"0",B1222:B1509,"5 1 3 1 7 12*")</f>
        <v>0</v>
      </c>
      <c r="H1221" s="28">
        <f t="shared" si="23"/>
        <v>4800</v>
      </c>
      <c r="I1221" s="28"/>
      <c r="K1221" t="s">
        <v>15</v>
      </c>
    </row>
    <row r="1222" spans="2:11" ht="13" x14ac:dyDescent="0.15">
      <c r="B1222" s="27" t="s">
        <v>1570</v>
      </c>
      <c r="C1222" s="27" t="s">
        <v>28</v>
      </c>
      <c r="D1222" s="28">
        <f>SUMIFS(D1223:D1509,K1223:K1509,"0",B1223:B1509,"5 1 3 1 7 12 31111*")-SUMIFS(E1223:E1509,K1223:K1509,"0",B1223:B1509,"5 1 3 1 7 12 31111*")</f>
        <v>0</v>
      </c>
      <c r="E1222" s="29"/>
      <c r="F1222" s="28">
        <f>SUMIFS(F1223:F1509,K1223:K1509,"0",B1223:B1509,"5 1 3 1 7 12 31111*")</f>
        <v>4800</v>
      </c>
      <c r="G1222" s="28">
        <f>SUMIFS(G1223:G1509,K1223:K1509,"0",B1223:B1509,"5 1 3 1 7 12 31111*")</f>
        <v>0</v>
      </c>
      <c r="H1222" s="28">
        <f t="shared" si="23"/>
        <v>4800</v>
      </c>
      <c r="I1222" s="28"/>
      <c r="K1222" t="s">
        <v>15</v>
      </c>
    </row>
    <row r="1223" spans="2:11" ht="13" x14ac:dyDescent="0.15">
      <c r="B1223" s="27" t="s">
        <v>1571</v>
      </c>
      <c r="C1223" s="27" t="s">
        <v>30</v>
      </c>
      <c r="D1223" s="28">
        <f>SUMIFS(D1224:D1509,K1224:K1509,"0",B1224:B1509,"5 1 3 1 7 12 31111 6*")-SUMIFS(E1224:E1509,K1224:K1509,"0",B1224:B1509,"5 1 3 1 7 12 31111 6*")</f>
        <v>0</v>
      </c>
      <c r="E1223" s="29"/>
      <c r="F1223" s="28">
        <f>SUMIFS(F1224:F1509,K1224:K1509,"0",B1224:B1509,"5 1 3 1 7 12 31111 6*")</f>
        <v>4800</v>
      </c>
      <c r="G1223" s="28">
        <f>SUMIFS(G1224:G1509,K1224:K1509,"0",B1224:B1509,"5 1 3 1 7 12 31111 6*")</f>
        <v>0</v>
      </c>
      <c r="H1223" s="28">
        <f t="shared" si="23"/>
        <v>4800</v>
      </c>
      <c r="I1223" s="28"/>
      <c r="K1223" t="s">
        <v>15</v>
      </c>
    </row>
    <row r="1224" spans="2:11" ht="13" x14ac:dyDescent="0.15">
      <c r="B1224" s="27" t="s">
        <v>1572</v>
      </c>
      <c r="C1224" s="27" t="s">
        <v>733</v>
      </c>
      <c r="D1224" s="28">
        <f>SUMIFS(D1225:D1509,K1225:K1509,"0",B1225:B1509,"5 1 3 1 7 12 31111 6 M78*")-SUMIFS(E1225:E1509,K1225:K1509,"0",B1225:B1509,"5 1 3 1 7 12 31111 6 M78*")</f>
        <v>0</v>
      </c>
      <c r="E1224" s="29"/>
      <c r="F1224" s="28">
        <f>SUMIFS(F1225:F1509,K1225:K1509,"0",B1225:B1509,"5 1 3 1 7 12 31111 6 M78*")</f>
        <v>4800</v>
      </c>
      <c r="G1224" s="28">
        <f>SUMIFS(G1225:G1509,K1225:K1509,"0",B1225:B1509,"5 1 3 1 7 12 31111 6 M78*")</f>
        <v>0</v>
      </c>
      <c r="H1224" s="28">
        <f t="shared" si="23"/>
        <v>4800</v>
      </c>
      <c r="I1224" s="28"/>
      <c r="K1224" t="s">
        <v>15</v>
      </c>
    </row>
    <row r="1225" spans="2:11" ht="13" x14ac:dyDescent="0.15">
      <c r="B1225" s="27" t="s">
        <v>1573</v>
      </c>
      <c r="C1225" s="27" t="s">
        <v>8</v>
      </c>
      <c r="D1225" s="28">
        <f>SUMIFS(D1226:D1509,K1226:K1509,"0",B1226:B1509,"5 1 3 1 7 12 31111 6 M78 07000*")-SUMIFS(E1226:E1509,K1226:K1509,"0",B1226:B1509,"5 1 3 1 7 12 31111 6 M78 07000*")</f>
        <v>0</v>
      </c>
      <c r="E1225" s="29"/>
      <c r="F1225" s="28">
        <f>SUMIFS(F1226:F1509,K1226:K1509,"0",B1226:B1509,"5 1 3 1 7 12 31111 6 M78 07000*")</f>
        <v>4800</v>
      </c>
      <c r="G1225" s="28">
        <f>SUMIFS(G1226:G1509,K1226:K1509,"0",B1226:B1509,"5 1 3 1 7 12 31111 6 M78 07000*")</f>
        <v>0</v>
      </c>
      <c r="H1225" s="28">
        <f t="shared" si="23"/>
        <v>4800</v>
      </c>
      <c r="I1225" s="28"/>
      <c r="K1225" t="s">
        <v>15</v>
      </c>
    </row>
    <row r="1226" spans="2:11" ht="13" x14ac:dyDescent="0.15">
      <c r="B1226" s="27" t="s">
        <v>1574</v>
      </c>
      <c r="C1226" s="27" t="s">
        <v>168</v>
      </c>
      <c r="D1226" s="28">
        <f>SUMIFS(D1227:D1509,K1227:K1509,"0",B1227:B1509,"5 1 3 1 7 12 31111 6 M78 07000 151*")-SUMIFS(E1227:E1509,K1227:K1509,"0",B1227:B1509,"5 1 3 1 7 12 31111 6 M78 07000 151*")</f>
        <v>0</v>
      </c>
      <c r="E1226" s="29"/>
      <c r="F1226" s="28">
        <f>SUMIFS(F1227:F1509,K1227:K1509,"0",B1227:B1509,"5 1 3 1 7 12 31111 6 M78 07000 151*")</f>
        <v>4800</v>
      </c>
      <c r="G1226" s="28">
        <f>SUMIFS(G1227:G1509,K1227:K1509,"0",B1227:B1509,"5 1 3 1 7 12 31111 6 M78 07000 151*")</f>
        <v>0</v>
      </c>
      <c r="H1226" s="28">
        <f t="shared" si="23"/>
        <v>4800</v>
      </c>
      <c r="I1226" s="28"/>
      <c r="K1226" t="s">
        <v>15</v>
      </c>
    </row>
    <row r="1227" spans="2:11" ht="13" x14ac:dyDescent="0.15">
      <c r="B1227" s="27" t="s">
        <v>1575</v>
      </c>
      <c r="C1227" s="27" t="s">
        <v>170</v>
      </c>
      <c r="D1227" s="28">
        <f>SUMIFS(D1228:D1509,K1228:K1509,"0",B1228:B1509,"5 1 3 1 7 12 31111 6 M78 07000 151 00C*")-SUMIFS(E1228:E1509,K1228:K1509,"0",B1228:B1509,"5 1 3 1 7 12 31111 6 M78 07000 151 00C*")</f>
        <v>0</v>
      </c>
      <c r="E1227" s="29"/>
      <c r="F1227" s="28">
        <f>SUMIFS(F1228:F1509,K1228:K1509,"0",B1228:B1509,"5 1 3 1 7 12 31111 6 M78 07000 151 00C*")</f>
        <v>4800</v>
      </c>
      <c r="G1227" s="28">
        <f>SUMIFS(G1228:G1509,K1228:K1509,"0",B1228:B1509,"5 1 3 1 7 12 31111 6 M78 07000 151 00C*")</f>
        <v>0</v>
      </c>
      <c r="H1227" s="28">
        <f t="shared" si="23"/>
        <v>4800</v>
      </c>
      <c r="I1227" s="28"/>
      <c r="K1227" t="s">
        <v>15</v>
      </c>
    </row>
    <row r="1228" spans="2:11" ht="22" x14ac:dyDescent="0.15">
      <c r="B1228" s="27" t="s">
        <v>1576</v>
      </c>
      <c r="C1228" s="27" t="s">
        <v>9</v>
      </c>
      <c r="D1228" s="28">
        <f>SUMIFS(D1229:D1509,K1229:K1509,"0",B1229:B1509,"5 1 3 1 7 12 31111 6 M78 07000 151 00C 001*")-SUMIFS(E1229:E1509,K1229:K1509,"0",B1229:B1509,"5 1 3 1 7 12 31111 6 M78 07000 151 00C 001*")</f>
        <v>0</v>
      </c>
      <c r="E1228" s="29"/>
      <c r="F1228" s="28">
        <f>SUMIFS(F1229:F1509,K1229:K1509,"0",B1229:B1509,"5 1 3 1 7 12 31111 6 M78 07000 151 00C 001*")</f>
        <v>4800</v>
      </c>
      <c r="G1228" s="28">
        <f>SUMIFS(G1229:G1509,K1229:K1509,"0",B1229:B1509,"5 1 3 1 7 12 31111 6 M78 07000 151 00C 001*")</f>
        <v>0</v>
      </c>
      <c r="H1228" s="28">
        <f t="shared" si="23"/>
        <v>4800</v>
      </c>
      <c r="I1228" s="28"/>
      <c r="K1228" t="s">
        <v>15</v>
      </c>
    </row>
    <row r="1229" spans="2:11" ht="22" x14ac:dyDescent="0.15">
      <c r="B1229" s="27" t="s">
        <v>1577</v>
      </c>
      <c r="C1229" s="27" t="s">
        <v>1578</v>
      </c>
      <c r="D1229" s="28">
        <f>SUMIFS(D1230:D1509,K1230:K1509,"0",B1230:B1509,"5 1 3 1 7 12 31111 6 M78 07000 151 00C 001 31701*")-SUMIFS(E1230:E1509,K1230:K1509,"0",B1230:B1509,"5 1 3 1 7 12 31111 6 M78 07000 151 00C 001 31701*")</f>
        <v>0</v>
      </c>
      <c r="E1229" s="29"/>
      <c r="F1229" s="28">
        <f>SUMIFS(F1230:F1509,K1230:K1509,"0",B1230:B1509,"5 1 3 1 7 12 31111 6 M78 07000 151 00C 001 31701*")</f>
        <v>4800</v>
      </c>
      <c r="G1229" s="28">
        <f>SUMIFS(G1230:G1509,K1230:K1509,"0",B1230:B1509,"5 1 3 1 7 12 31111 6 M78 07000 151 00C 001 31701*")</f>
        <v>0</v>
      </c>
      <c r="H1229" s="28">
        <f t="shared" si="23"/>
        <v>4800</v>
      </c>
      <c r="I1229" s="28"/>
      <c r="K1229" t="s">
        <v>15</v>
      </c>
    </row>
    <row r="1230" spans="2:11" ht="22" x14ac:dyDescent="0.15">
      <c r="B1230" s="27" t="s">
        <v>1579</v>
      </c>
      <c r="C1230" s="27" t="s">
        <v>176</v>
      </c>
      <c r="D1230" s="28">
        <f>SUMIFS(D1231:D1509,K1231:K1509,"0",B1231:B1509,"5 1 3 1 7 12 31111 6 M78 07000 151 00C 001 31701 015*")-SUMIFS(E1231:E1509,K1231:K1509,"0",B1231:B1509,"5 1 3 1 7 12 31111 6 M78 07000 151 00C 001 31701 015*")</f>
        <v>0</v>
      </c>
      <c r="E1230" s="29"/>
      <c r="F1230" s="28">
        <f>SUMIFS(F1231:F1509,K1231:K1509,"0",B1231:B1509,"5 1 3 1 7 12 31111 6 M78 07000 151 00C 001 31701 015*")</f>
        <v>4800</v>
      </c>
      <c r="G1230" s="28">
        <f>SUMIFS(G1231:G1509,K1231:K1509,"0",B1231:B1509,"5 1 3 1 7 12 31111 6 M78 07000 151 00C 001 31701 015*")</f>
        <v>0</v>
      </c>
      <c r="H1230" s="28">
        <f t="shared" si="23"/>
        <v>4800</v>
      </c>
      <c r="I1230" s="28"/>
      <c r="K1230" t="s">
        <v>15</v>
      </c>
    </row>
    <row r="1231" spans="2:11" ht="22" x14ac:dyDescent="0.15">
      <c r="B1231" s="27" t="s">
        <v>1580</v>
      </c>
      <c r="C1231" s="27" t="s">
        <v>178</v>
      </c>
      <c r="D1231" s="28">
        <f>SUMIFS(D1232:D1509,K1232:K1509,"0",B1232:B1509,"5 1 3 1 7 12 31111 6 M78 07000 151 00C 001 31701 015 2112000*")-SUMIFS(E1232:E1509,K1232:K1509,"0",B1232:B1509,"5 1 3 1 7 12 31111 6 M78 07000 151 00C 001 31701 015 2112000*")</f>
        <v>0</v>
      </c>
      <c r="E1231" s="29"/>
      <c r="F1231" s="28">
        <f>SUMIFS(F1232:F1509,K1232:K1509,"0",B1232:B1509,"5 1 3 1 7 12 31111 6 M78 07000 151 00C 001 31701 015 2112000*")</f>
        <v>4800</v>
      </c>
      <c r="G1231" s="28">
        <f>SUMIFS(G1232:G1509,K1232:K1509,"0",B1232:B1509,"5 1 3 1 7 12 31111 6 M78 07000 151 00C 001 31701 015 2112000*")</f>
        <v>0</v>
      </c>
      <c r="H1231" s="28">
        <f t="shared" si="23"/>
        <v>4800</v>
      </c>
      <c r="I1231" s="28"/>
      <c r="K1231" t="s">
        <v>15</v>
      </c>
    </row>
    <row r="1232" spans="2:11" ht="22" x14ac:dyDescent="0.15">
      <c r="B1232" s="27" t="s">
        <v>1581</v>
      </c>
      <c r="C1232" s="27" t="s">
        <v>248</v>
      </c>
      <c r="D1232" s="28">
        <f>SUMIFS(D1233:D1509,K1233:K1509,"0",B1233:B1509,"5 1 3 1 7 12 31111 6 M78 07000 151 00C 001 31701 015 2112000 2024*")-SUMIFS(E1233:E1509,K1233:K1509,"0",B1233:B1509,"5 1 3 1 7 12 31111 6 M78 07000 151 00C 001 31701 015 2112000 2024*")</f>
        <v>0</v>
      </c>
      <c r="E1232" s="29"/>
      <c r="F1232" s="28">
        <f>SUMIFS(F1233:F1509,K1233:K1509,"0",B1233:B1509,"5 1 3 1 7 12 31111 6 M78 07000 151 00C 001 31701 015 2112000 2024*")</f>
        <v>4800</v>
      </c>
      <c r="G1232" s="28">
        <f>SUMIFS(G1233:G1509,K1233:K1509,"0",B1233:B1509,"5 1 3 1 7 12 31111 6 M78 07000 151 00C 001 31701 015 2112000 2024*")</f>
        <v>0</v>
      </c>
      <c r="H1232" s="28">
        <f t="shared" si="23"/>
        <v>4800</v>
      </c>
      <c r="I1232" s="28"/>
      <c r="K1232" t="s">
        <v>15</v>
      </c>
    </row>
    <row r="1233" spans="2:11" ht="22" x14ac:dyDescent="0.15">
      <c r="B1233" s="27" t="s">
        <v>1582</v>
      </c>
      <c r="C1233" s="27" t="s">
        <v>182</v>
      </c>
      <c r="D1233" s="28">
        <f>SUMIFS(D1234:D1509,K1234:K1509,"0",B1234:B1509,"5 1 3 1 7 12 31111 6 M78 07000 151 00C 001 31701 015 2112000 2024 00000000*")-SUMIFS(E1234:E1509,K1234:K1509,"0",B1234:B1509,"5 1 3 1 7 12 31111 6 M78 07000 151 00C 001 31701 015 2112000 2024 00000000*")</f>
        <v>0</v>
      </c>
      <c r="E1233" s="29"/>
      <c r="F1233" s="28">
        <f>SUMIFS(F1234:F1509,K1234:K1509,"0",B1234:B1509,"5 1 3 1 7 12 31111 6 M78 07000 151 00C 001 31701 015 2112000 2024 00000000*")</f>
        <v>4800</v>
      </c>
      <c r="G1233" s="28">
        <f>SUMIFS(G1234:G1509,K1234:K1509,"0",B1234:B1509,"5 1 3 1 7 12 31111 6 M78 07000 151 00C 001 31701 015 2112000 2024 00000000*")</f>
        <v>0</v>
      </c>
      <c r="H1233" s="28">
        <f t="shared" si="23"/>
        <v>4800</v>
      </c>
      <c r="I1233" s="28"/>
      <c r="K1233" t="s">
        <v>15</v>
      </c>
    </row>
    <row r="1234" spans="2:11" ht="33" x14ac:dyDescent="0.15">
      <c r="B1234" s="27" t="s">
        <v>1583</v>
      </c>
      <c r="C1234" s="27" t="s">
        <v>9</v>
      </c>
      <c r="D1234" s="28">
        <f>SUMIFS(D1235:D1509,K1235:K1509,"0",B1235:B1509,"5 1 3 1 7 12 31111 6 M78 07000 151 00C 001 31701 015 2112000 2024 00000000 001*")-SUMIFS(E1235:E1509,K1235:K1509,"0",B1235:B1509,"5 1 3 1 7 12 31111 6 M78 07000 151 00C 001 31701 015 2112000 2024 00000000 001*")</f>
        <v>0</v>
      </c>
      <c r="E1234" s="29"/>
      <c r="F1234" s="28">
        <f>SUMIFS(F1235:F1509,K1235:K1509,"0",B1235:B1509,"5 1 3 1 7 12 31111 6 M78 07000 151 00C 001 31701 015 2112000 2024 00000000 001*")</f>
        <v>4800</v>
      </c>
      <c r="G1234" s="28">
        <f>SUMIFS(G1235:G1509,K1235:K1509,"0",B1235:B1509,"5 1 3 1 7 12 31111 6 M78 07000 151 00C 001 31701 015 2112000 2024 00000000 001*")</f>
        <v>0</v>
      </c>
      <c r="H1234" s="28">
        <f t="shared" si="23"/>
        <v>4800</v>
      </c>
      <c r="I1234" s="28"/>
      <c r="K1234" t="s">
        <v>15</v>
      </c>
    </row>
    <row r="1235" spans="2:11" ht="33" x14ac:dyDescent="0.15">
      <c r="B1235" s="30" t="s">
        <v>1584</v>
      </c>
      <c r="C1235" s="30" t="s">
        <v>1585</v>
      </c>
      <c r="D1235" s="31">
        <v>0</v>
      </c>
      <c r="E1235" s="31"/>
      <c r="F1235" s="31">
        <v>4800</v>
      </c>
      <c r="G1235" s="31">
        <v>0</v>
      </c>
      <c r="H1235" s="31">
        <f t="shared" si="23"/>
        <v>4800</v>
      </c>
      <c r="I1235" s="31"/>
      <c r="K1235" t="s">
        <v>38</v>
      </c>
    </row>
    <row r="1236" spans="2:11" ht="13" x14ac:dyDescent="0.15">
      <c r="B1236" s="27" t="s">
        <v>1586</v>
      </c>
      <c r="C1236" s="27" t="s">
        <v>1587</v>
      </c>
      <c r="D1236" s="28">
        <f>SUMIFS(D1237:D1509,K1237:K1509,"0",B1237:B1509,"5 1 3 2*")-SUMIFS(E1237:E1509,K1237:K1509,"0",B1237:B1509,"5 1 3 2*")</f>
        <v>0</v>
      </c>
      <c r="E1236" s="29"/>
      <c r="F1236" s="28">
        <f>SUMIFS(F1237:F1509,K1237:K1509,"0",B1237:B1509,"5 1 3 2*")</f>
        <v>328428.55</v>
      </c>
      <c r="G1236" s="28">
        <f>SUMIFS(G1237:G1509,K1237:K1509,"0",B1237:B1509,"5 1 3 2*")</f>
        <v>0</v>
      </c>
      <c r="H1236" s="28">
        <f t="shared" si="23"/>
        <v>328428.55</v>
      </c>
      <c r="I1236" s="28"/>
      <c r="K1236" t="s">
        <v>15</v>
      </c>
    </row>
    <row r="1237" spans="2:11" ht="13" x14ac:dyDescent="0.15">
      <c r="B1237" s="27" t="s">
        <v>1588</v>
      </c>
      <c r="C1237" s="27" t="s">
        <v>1589</v>
      </c>
      <c r="D1237" s="28">
        <f>SUMIFS(D1238:D1509,K1238:K1509,"0",B1238:B1509,"5 1 3 2 9*")-SUMIFS(E1238:E1509,K1238:K1509,"0",B1238:B1509,"5 1 3 2 9*")</f>
        <v>0</v>
      </c>
      <c r="E1237" s="29"/>
      <c r="F1237" s="28">
        <f>SUMIFS(F1238:F1509,K1238:K1509,"0",B1238:B1509,"5 1 3 2 9*")</f>
        <v>328428.55</v>
      </c>
      <c r="G1237" s="28">
        <f>SUMIFS(G1238:G1509,K1238:K1509,"0",B1238:B1509,"5 1 3 2 9*")</f>
        <v>0</v>
      </c>
      <c r="H1237" s="28">
        <f t="shared" si="23"/>
        <v>328428.55</v>
      </c>
      <c r="I1237" s="28"/>
      <c r="K1237" t="s">
        <v>15</v>
      </c>
    </row>
    <row r="1238" spans="2:11" ht="13" x14ac:dyDescent="0.15">
      <c r="B1238" s="27" t="s">
        <v>1590</v>
      </c>
      <c r="C1238" s="27" t="s">
        <v>26</v>
      </c>
      <c r="D1238" s="28">
        <f>SUMIFS(D1239:D1509,K1239:K1509,"0",B1239:B1509,"5 1 3 2 9 12*")-SUMIFS(E1239:E1509,K1239:K1509,"0",B1239:B1509,"5 1 3 2 9 12*")</f>
        <v>0</v>
      </c>
      <c r="E1238" s="29"/>
      <c r="F1238" s="28">
        <f>SUMIFS(F1239:F1509,K1239:K1509,"0",B1239:B1509,"5 1 3 2 9 12*")</f>
        <v>328428.55</v>
      </c>
      <c r="G1238" s="28">
        <f>SUMIFS(G1239:G1509,K1239:K1509,"0",B1239:B1509,"5 1 3 2 9 12*")</f>
        <v>0</v>
      </c>
      <c r="H1238" s="28">
        <f t="shared" si="23"/>
        <v>328428.55</v>
      </c>
      <c r="I1238" s="28"/>
      <c r="K1238" t="s">
        <v>15</v>
      </c>
    </row>
    <row r="1239" spans="2:11" ht="13" x14ac:dyDescent="0.15">
      <c r="B1239" s="27" t="s">
        <v>1591</v>
      </c>
      <c r="C1239" s="27" t="s">
        <v>28</v>
      </c>
      <c r="D1239" s="28">
        <f>SUMIFS(D1240:D1509,K1240:K1509,"0",B1240:B1509,"5 1 3 2 9 12 31111*")-SUMIFS(E1240:E1509,K1240:K1509,"0",B1240:B1509,"5 1 3 2 9 12 31111*")</f>
        <v>0</v>
      </c>
      <c r="E1239" s="29"/>
      <c r="F1239" s="28">
        <f>SUMIFS(F1240:F1509,K1240:K1509,"0",B1240:B1509,"5 1 3 2 9 12 31111*")</f>
        <v>328428.55</v>
      </c>
      <c r="G1239" s="28">
        <f>SUMIFS(G1240:G1509,K1240:K1509,"0",B1240:B1509,"5 1 3 2 9 12 31111*")</f>
        <v>0</v>
      </c>
      <c r="H1239" s="28">
        <f t="shared" si="23"/>
        <v>328428.55</v>
      </c>
      <c r="I1239" s="28"/>
      <c r="K1239" t="s">
        <v>15</v>
      </c>
    </row>
    <row r="1240" spans="2:11" ht="13" x14ac:dyDescent="0.15">
      <c r="B1240" s="27" t="s">
        <v>1592</v>
      </c>
      <c r="C1240" s="27" t="s">
        <v>30</v>
      </c>
      <c r="D1240" s="28">
        <f>SUMIFS(D1241:D1509,K1241:K1509,"0",B1241:B1509,"5 1 3 2 9 12 31111 6*")-SUMIFS(E1241:E1509,K1241:K1509,"0",B1241:B1509,"5 1 3 2 9 12 31111 6*")</f>
        <v>0</v>
      </c>
      <c r="E1240" s="29"/>
      <c r="F1240" s="28">
        <f>SUMIFS(F1241:F1509,K1241:K1509,"0",B1241:B1509,"5 1 3 2 9 12 31111 6*")</f>
        <v>328428.55</v>
      </c>
      <c r="G1240" s="28">
        <f>SUMIFS(G1241:G1509,K1241:K1509,"0",B1241:B1509,"5 1 3 2 9 12 31111 6*")</f>
        <v>0</v>
      </c>
      <c r="H1240" s="28">
        <f t="shared" si="23"/>
        <v>328428.55</v>
      </c>
      <c r="I1240" s="28"/>
      <c r="K1240" t="s">
        <v>15</v>
      </c>
    </row>
    <row r="1241" spans="2:11" ht="13" x14ac:dyDescent="0.15">
      <c r="B1241" s="27" t="s">
        <v>1593</v>
      </c>
      <c r="C1241" s="27" t="s">
        <v>733</v>
      </c>
      <c r="D1241" s="28">
        <f>SUMIFS(D1242:D1509,K1242:K1509,"0",B1242:B1509,"5 1 3 2 9 12 31111 6 M78*")-SUMIFS(E1242:E1509,K1242:K1509,"0",B1242:B1509,"5 1 3 2 9 12 31111 6 M78*")</f>
        <v>0</v>
      </c>
      <c r="E1241" s="29"/>
      <c r="F1241" s="28">
        <f>SUMIFS(F1242:F1509,K1242:K1509,"0",B1242:B1509,"5 1 3 2 9 12 31111 6 M78*")</f>
        <v>328428.55</v>
      </c>
      <c r="G1241" s="28">
        <f>SUMIFS(G1242:G1509,K1242:K1509,"0",B1242:B1509,"5 1 3 2 9 12 31111 6 M78*")</f>
        <v>0</v>
      </c>
      <c r="H1241" s="28">
        <f t="shared" si="23"/>
        <v>328428.55</v>
      </c>
      <c r="I1241" s="28"/>
      <c r="K1241" t="s">
        <v>15</v>
      </c>
    </row>
    <row r="1242" spans="2:11" ht="13" x14ac:dyDescent="0.15">
      <c r="B1242" s="27" t="s">
        <v>1594</v>
      </c>
      <c r="C1242" s="27" t="s">
        <v>8</v>
      </c>
      <c r="D1242" s="28">
        <f>SUMIFS(D1243:D1509,K1243:K1509,"0",B1243:B1509,"5 1 3 2 9 12 31111 6 M78 07000*")-SUMIFS(E1243:E1509,K1243:K1509,"0",B1243:B1509,"5 1 3 2 9 12 31111 6 M78 07000*")</f>
        <v>0</v>
      </c>
      <c r="E1242" s="29"/>
      <c r="F1242" s="28">
        <f>SUMIFS(F1243:F1509,K1243:K1509,"0",B1243:B1509,"5 1 3 2 9 12 31111 6 M78 07000*")</f>
        <v>328428.55</v>
      </c>
      <c r="G1242" s="28">
        <f>SUMIFS(G1243:G1509,K1243:K1509,"0",B1243:B1509,"5 1 3 2 9 12 31111 6 M78 07000*")</f>
        <v>0</v>
      </c>
      <c r="H1242" s="28">
        <f t="shared" si="23"/>
        <v>328428.55</v>
      </c>
      <c r="I1242" s="28"/>
      <c r="K1242" t="s">
        <v>15</v>
      </c>
    </row>
    <row r="1243" spans="2:11" ht="13" x14ac:dyDescent="0.15">
      <c r="B1243" s="27" t="s">
        <v>1595</v>
      </c>
      <c r="C1243" s="27" t="s">
        <v>168</v>
      </c>
      <c r="D1243" s="28">
        <f>SUMIFS(D1244:D1509,K1244:K1509,"0",B1244:B1509,"5 1 3 2 9 12 31111 6 M78 07000 151*")-SUMIFS(E1244:E1509,K1244:K1509,"0",B1244:B1509,"5 1 3 2 9 12 31111 6 M78 07000 151*")</f>
        <v>0</v>
      </c>
      <c r="E1243" s="29"/>
      <c r="F1243" s="28">
        <f>SUMIFS(F1244:F1509,K1244:K1509,"0",B1244:B1509,"5 1 3 2 9 12 31111 6 M78 07000 151*")</f>
        <v>328428.55</v>
      </c>
      <c r="G1243" s="28">
        <f>SUMIFS(G1244:G1509,K1244:K1509,"0",B1244:B1509,"5 1 3 2 9 12 31111 6 M78 07000 151*")</f>
        <v>0</v>
      </c>
      <c r="H1243" s="28">
        <f t="shared" si="23"/>
        <v>328428.55</v>
      </c>
      <c r="I1243" s="28"/>
      <c r="K1243" t="s">
        <v>15</v>
      </c>
    </row>
    <row r="1244" spans="2:11" ht="13" x14ac:dyDescent="0.15">
      <c r="B1244" s="27" t="s">
        <v>1596</v>
      </c>
      <c r="C1244" s="27" t="s">
        <v>170</v>
      </c>
      <c r="D1244" s="28">
        <f>SUMIFS(D1245:D1509,K1245:K1509,"0",B1245:B1509,"5 1 3 2 9 12 31111 6 M78 07000 151 00C*")-SUMIFS(E1245:E1509,K1245:K1509,"0",B1245:B1509,"5 1 3 2 9 12 31111 6 M78 07000 151 00C*")</f>
        <v>0</v>
      </c>
      <c r="E1244" s="29"/>
      <c r="F1244" s="28">
        <f>SUMIFS(F1245:F1509,K1245:K1509,"0",B1245:B1509,"5 1 3 2 9 12 31111 6 M78 07000 151 00C*")</f>
        <v>328428.55</v>
      </c>
      <c r="G1244" s="28">
        <f>SUMIFS(G1245:G1509,K1245:K1509,"0",B1245:B1509,"5 1 3 2 9 12 31111 6 M78 07000 151 00C*")</f>
        <v>0</v>
      </c>
      <c r="H1244" s="28">
        <f t="shared" si="23"/>
        <v>328428.55</v>
      </c>
      <c r="I1244" s="28"/>
      <c r="K1244" t="s">
        <v>15</v>
      </c>
    </row>
    <row r="1245" spans="2:11" ht="22" x14ac:dyDescent="0.15">
      <c r="B1245" s="27" t="s">
        <v>1597</v>
      </c>
      <c r="C1245" s="27" t="s">
        <v>9</v>
      </c>
      <c r="D1245" s="28">
        <f>SUMIFS(D1246:D1509,K1246:K1509,"0",B1246:B1509,"5 1 3 2 9 12 31111 6 M78 07000 151 00C 001*")-SUMIFS(E1246:E1509,K1246:K1509,"0",B1246:B1509,"5 1 3 2 9 12 31111 6 M78 07000 151 00C 001*")</f>
        <v>0</v>
      </c>
      <c r="E1245" s="29"/>
      <c r="F1245" s="28">
        <f>SUMIFS(F1246:F1509,K1246:K1509,"0",B1246:B1509,"5 1 3 2 9 12 31111 6 M78 07000 151 00C 001*")</f>
        <v>328428.55</v>
      </c>
      <c r="G1245" s="28">
        <f>SUMIFS(G1246:G1509,K1246:K1509,"0",B1246:B1509,"5 1 3 2 9 12 31111 6 M78 07000 151 00C 001*")</f>
        <v>0</v>
      </c>
      <c r="H1245" s="28">
        <f t="shared" si="23"/>
        <v>328428.55</v>
      </c>
      <c r="I1245" s="28"/>
      <c r="K1245" t="s">
        <v>15</v>
      </c>
    </row>
    <row r="1246" spans="2:11" ht="22" x14ac:dyDescent="0.15">
      <c r="B1246" s="27" t="s">
        <v>1598</v>
      </c>
      <c r="C1246" s="27" t="s">
        <v>1599</v>
      </c>
      <c r="D1246" s="28">
        <f>SUMIFS(D1247:D1509,K1247:K1509,"0",B1247:B1509,"5 1 3 2 9 12 31111 6 M78 07000 151 00C 001 32903*")-SUMIFS(E1247:E1509,K1247:K1509,"0",B1247:B1509,"5 1 3 2 9 12 31111 6 M78 07000 151 00C 001 32903*")</f>
        <v>0</v>
      </c>
      <c r="E1246" s="29"/>
      <c r="F1246" s="28">
        <f>SUMIFS(F1247:F1509,K1247:K1509,"0",B1247:B1509,"5 1 3 2 9 12 31111 6 M78 07000 151 00C 001 32903*")</f>
        <v>328428.55</v>
      </c>
      <c r="G1246" s="28">
        <f>SUMIFS(G1247:G1509,K1247:K1509,"0",B1247:B1509,"5 1 3 2 9 12 31111 6 M78 07000 151 00C 001 32903*")</f>
        <v>0</v>
      </c>
      <c r="H1246" s="28">
        <f t="shared" si="23"/>
        <v>328428.55</v>
      </c>
      <c r="I1246" s="28"/>
      <c r="K1246" t="s">
        <v>15</v>
      </c>
    </row>
    <row r="1247" spans="2:11" ht="22" x14ac:dyDescent="0.15">
      <c r="B1247" s="27" t="s">
        <v>1600</v>
      </c>
      <c r="C1247" s="27" t="s">
        <v>176</v>
      </c>
      <c r="D1247" s="28">
        <f>SUMIFS(D1248:D1509,K1248:K1509,"0",B1248:B1509,"5 1 3 2 9 12 31111 6 M78 07000 151 00C 001 32903 015*")-SUMIFS(E1248:E1509,K1248:K1509,"0",B1248:B1509,"5 1 3 2 9 12 31111 6 M78 07000 151 00C 001 32903 015*")</f>
        <v>0</v>
      </c>
      <c r="E1247" s="29"/>
      <c r="F1247" s="28">
        <f>SUMIFS(F1248:F1509,K1248:K1509,"0",B1248:B1509,"5 1 3 2 9 12 31111 6 M78 07000 151 00C 001 32903 015*")</f>
        <v>328428.55</v>
      </c>
      <c r="G1247" s="28">
        <f>SUMIFS(G1248:G1509,K1248:K1509,"0",B1248:B1509,"5 1 3 2 9 12 31111 6 M78 07000 151 00C 001 32903 015*")</f>
        <v>0</v>
      </c>
      <c r="H1247" s="28">
        <f t="shared" si="23"/>
        <v>328428.55</v>
      </c>
      <c r="I1247" s="28"/>
      <c r="K1247" t="s">
        <v>15</v>
      </c>
    </row>
    <row r="1248" spans="2:11" ht="22" x14ac:dyDescent="0.15">
      <c r="B1248" s="27" t="s">
        <v>1601</v>
      </c>
      <c r="C1248" s="27" t="s">
        <v>178</v>
      </c>
      <c r="D1248" s="28">
        <f>SUMIFS(D1249:D1509,K1249:K1509,"0",B1249:B1509,"5 1 3 2 9 12 31111 6 M78 07000 151 00C 001 32903 015 2112000*")-SUMIFS(E1249:E1509,K1249:K1509,"0",B1249:B1509,"5 1 3 2 9 12 31111 6 M78 07000 151 00C 001 32903 015 2112000*")</f>
        <v>0</v>
      </c>
      <c r="E1248" s="29"/>
      <c r="F1248" s="28">
        <f>SUMIFS(F1249:F1509,K1249:K1509,"0",B1249:B1509,"5 1 3 2 9 12 31111 6 M78 07000 151 00C 001 32903 015 2112000*")</f>
        <v>328428.55</v>
      </c>
      <c r="G1248" s="28">
        <f>SUMIFS(G1249:G1509,K1249:K1509,"0",B1249:B1509,"5 1 3 2 9 12 31111 6 M78 07000 151 00C 001 32903 015 2112000*")</f>
        <v>0</v>
      </c>
      <c r="H1248" s="28">
        <f t="shared" ref="H1248:H1311" si="24">D1248 + F1248 - G1248</f>
        <v>328428.55</v>
      </c>
      <c r="I1248" s="28"/>
      <c r="K1248" t="s">
        <v>15</v>
      </c>
    </row>
    <row r="1249" spans="2:11" ht="22" x14ac:dyDescent="0.15">
      <c r="B1249" s="27" t="s">
        <v>1602</v>
      </c>
      <c r="C1249" s="27" t="s">
        <v>248</v>
      </c>
      <c r="D1249" s="28">
        <f>SUMIFS(D1250:D1509,K1250:K1509,"0",B1250:B1509,"5 1 3 2 9 12 31111 6 M78 07000 151 00C 001 32903 015 2112000 2024*")-SUMIFS(E1250:E1509,K1250:K1509,"0",B1250:B1509,"5 1 3 2 9 12 31111 6 M78 07000 151 00C 001 32903 015 2112000 2024*")</f>
        <v>0</v>
      </c>
      <c r="E1249" s="29"/>
      <c r="F1249" s="28">
        <f>SUMIFS(F1250:F1509,K1250:K1509,"0",B1250:B1509,"5 1 3 2 9 12 31111 6 M78 07000 151 00C 001 32903 015 2112000 2024*")</f>
        <v>328428.55</v>
      </c>
      <c r="G1249" s="28">
        <f>SUMIFS(G1250:G1509,K1250:K1509,"0",B1250:B1509,"5 1 3 2 9 12 31111 6 M78 07000 151 00C 001 32903 015 2112000 2024*")</f>
        <v>0</v>
      </c>
      <c r="H1249" s="28">
        <f t="shared" si="24"/>
        <v>328428.55</v>
      </c>
      <c r="I1249" s="28"/>
      <c r="K1249" t="s">
        <v>15</v>
      </c>
    </row>
    <row r="1250" spans="2:11" ht="22" x14ac:dyDescent="0.15">
      <c r="B1250" s="27" t="s">
        <v>1603</v>
      </c>
      <c r="C1250" s="27" t="s">
        <v>182</v>
      </c>
      <c r="D1250" s="28">
        <f>SUMIFS(D1251:D1509,K1251:K1509,"0",B1251:B1509,"5 1 3 2 9 12 31111 6 M78 07000 151 00C 001 32903 015 2112000 2024 00000000*")-SUMIFS(E1251:E1509,K1251:K1509,"0",B1251:B1509,"5 1 3 2 9 12 31111 6 M78 07000 151 00C 001 32903 015 2112000 2024 00000000*")</f>
        <v>0</v>
      </c>
      <c r="E1250" s="29"/>
      <c r="F1250" s="28">
        <f>SUMIFS(F1251:F1509,K1251:K1509,"0",B1251:B1509,"5 1 3 2 9 12 31111 6 M78 07000 151 00C 001 32903 015 2112000 2024 00000000*")</f>
        <v>328428.55</v>
      </c>
      <c r="G1250" s="28">
        <f>SUMIFS(G1251:G1509,K1251:K1509,"0",B1251:B1509,"5 1 3 2 9 12 31111 6 M78 07000 151 00C 001 32903 015 2112000 2024 00000000*")</f>
        <v>0</v>
      </c>
      <c r="H1250" s="28">
        <f t="shared" si="24"/>
        <v>328428.55</v>
      </c>
      <c r="I1250" s="28"/>
      <c r="K1250" t="s">
        <v>15</v>
      </c>
    </row>
    <row r="1251" spans="2:11" ht="33" x14ac:dyDescent="0.15">
      <c r="B1251" s="27" t="s">
        <v>1604</v>
      </c>
      <c r="C1251" s="27" t="s">
        <v>9</v>
      </c>
      <c r="D1251" s="28">
        <f>SUMIFS(D1252:D1509,K1252:K1509,"0",B1252:B1509,"5 1 3 2 9 12 31111 6 M78 07000 151 00C 001 32903 015 2112000 2024 00000000 001*")-SUMIFS(E1252:E1509,K1252:K1509,"0",B1252:B1509,"5 1 3 2 9 12 31111 6 M78 07000 151 00C 001 32903 015 2112000 2024 00000000 001*")</f>
        <v>0</v>
      </c>
      <c r="E1251" s="29"/>
      <c r="F1251" s="28">
        <f>SUMIFS(F1252:F1509,K1252:K1509,"0",B1252:B1509,"5 1 3 2 9 12 31111 6 M78 07000 151 00C 001 32903 015 2112000 2024 00000000 001*")</f>
        <v>328428.55</v>
      </c>
      <c r="G1251" s="28">
        <f>SUMIFS(G1252:G1509,K1252:K1509,"0",B1252:B1509,"5 1 3 2 9 12 31111 6 M78 07000 151 00C 001 32903 015 2112000 2024 00000000 001*")</f>
        <v>0</v>
      </c>
      <c r="H1251" s="28">
        <f t="shared" si="24"/>
        <v>328428.55</v>
      </c>
      <c r="I1251" s="28"/>
      <c r="K1251" t="s">
        <v>15</v>
      </c>
    </row>
    <row r="1252" spans="2:11" ht="33" x14ac:dyDescent="0.15">
      <c r="B1252" s="30" t="s">
        <v>1605</v>
      </c>
      <c r="C1252" s="30" t="s">
        <v>1589</v>
      </c>
      <c r="D1252" s="31">
        <v>0</v>
      </c>
      <c r="E1252" s="31"/>
      <c r="F1252" s="31">
        <v>328428.55</v>
      </c>
      <c r="G1252" s="31">
        <v>0</v>
      </c>
      <c r="H1252" s="31">
        <f t="shared" si="24"/>
        <v>328428.55</v>
      </c>
      <c r="I1252" s="31"/>
      <c r="K1252" t="s">
        <v>38</v>
      </c>
    </row>
    <row r="1253" spans="2:11" ht="22" x14ac:dyDescent="0.15">
      <c r="B1253" s="27" t="s">
        <v>1606</v>
      </c>
      <c r="C1253" s="27" t="s">
        <v>1607</v>
      </c>
      <c r="D1253" s="28">
        <f>SUMIFS(D1254:D1509,K1254:K1509,"0",B1254:B1509,"5 1 3 3*")-SUMIFS(E1254:E1509,K1254:K1509,"0",B1254:B1509,"5 1 3 3*")</f>
        <v>0</v>
      </c>
      <c r="E1253" s="29"/>
      <c r="F1253" s="28">
        <f>SUMIFS(F1254:F1509,K1254:K1509,"0",B1254:B1509,"5 1 3 3*")</f>
        <v>466710.96</v>
      </c>
      <c r="G1253" s="28">
        <f>SUMIFS(G1254:G1509,K1254:K1509,"0",B1254:B1509,"5 1 3 3*")</f>
        <v>0</v>
      </c>
      <c r="H1253" s="28">
        <f t="shared" si="24"/>
        <v>466710.96</v>
      </c>
      <c r="I1253" s="28"/>
      <c r="K1253" t="s">
        <v>15</v>
      </c>
    </row>
    <row r="1254" spans="2:11" ht="13" x14ac:dyDescent="0.15">
      <c r="B1254" s="27" t="s">
        <v>1608</v>
      </c>
      <c r="C1254" s="27" t="s">
        <v>1609</v>
      </c>
      <c r="D1254" s="28">
        <f>SUMIFS(D1255:D1509,K1255:K1509,"0",B1255:B1509,"5 1 3 3 1*")-SUMIFS(E1255:E1509,K1255:K1509,"0",B1255:B1509,"5 1 3 3 1*")</f>
        <v>0</v>
      </c>
      <c r="E1254" s="29"/>
      <c r="F1254" s="28">
        <f>SUMIFS(F1255:F1509,K1255:K1509,"0",B1255:B1509,"5 1 3 3 1*")</f>
        <v>371163.4</v>
      </c>
      <c r="G1254" s="28">
        <f>SUMIFS(G1255:G1509,K1255:K1509,"0",B1255:B1509,"5 1 3 3 1*")</f>
        <v>0</v>
      </c>
      <c r="H1254" s="28">
        <f t="shared" si="24"/>
        <v>371163.4</v>
      </c>
      <c r="I1254" s="28"/>
      <c r="K1254" t="s">
        <v>15</v>
      </c>
    </row>
    <row r="1255" spans="2:11" ht="13" x14ac:dyDescent="0.15">
      <c r="B1255" s="27" t="s">
        <v>1610</v>
      </c>
      <c r="C1255" s="27" t="s">
        <v>26</v>
      </c>
      <c r="D1255" s="28">
        <f>SUMIFS(D1256:D1509,K1256:K1509,"0",B1256:B1509,"5 1 3 3 1 12*")-SUMIFS(E1256:E1509,K1256:K1509,"0",B1256:B1509,"5 1 3 3 1 12*")</f>
        <v>0</v>
      </c>
      <c r="E1255" s="29"/>
      <c r="F1255" s="28">
        <f>SUMIFS(F1256:F1509,K1256:K1509,"0",B1256:B1509,"5 1 3 3 1 12*")</f>
        <v>371163.4</v>
      </c>
      <c r="G1255" s="28">
        <f>SUMIFS(G1256:G1509,K1256:K1509,"0",B1256:B1509,"5 1 3 3 1 12*")</f>
        <v>0</v>
      </c>
      <c r="H1255" s="28">
        <f t="shared" si="24"/>
        <v>371163.4</v>
      </c>
      <c r="I1255" s="28"/>
      <c r="K1255" t="s">
        <v>15</v>
      </c>
    </row>
    <row r="1256" spans="2:11" ht="13" x14ac:dyDescent="0.15">
      <c r="B1256" s="27" t="s">
        <v>1611</v>
      </c>
      <c r="C1256" s="27" t="s">
        <v>28</v>
      </c>
      <c r="D1256" s="28">
        <f>SUMIFS(D1257:D1509,K1257:K1509,"0",B1257:B1509,"5 1 3 3 1 12 31111*")-SUMIFS(E1257:E1509,K1257:K1509,"0",B1257:B1509,"5 1 3 3 1 12 31111*")</f>
        <v>0</v>
      </c>
      <c r="E1256" s="29"/>
      <c r="F1256" s="28">
        <f>SUMIFS(F1257:F1509,K1257:K1509,"0",B1257:B1509,"5 1 3 3 1 12 31111*")</f>
        <v>371163.4</v>
      </c>
      <c r="G1256" s="28">
        <f>SUMIFS(G1257:G1509,K1257:K1509,"0",B1257:B1509,"5 1 3 3 1 12 31111*")</f>
        <v>0</v>
      </c>
      <c r="H1256" s="28">
        <f t="shared" si="24"/>
        <v>371163.4</v>
      </c>
      <c r="I1256" s="28"/>
      <c r="K1256" t="s">
        <v>15</v>
      </c>
    </row>
    <row r="1257" spans="2:11" ht="13" x14ac:dyDescent="0.15">
      <c r="B1257" s="27" t="s">
        <v>1612</v>
      </c>
      <c r="C1257" s="27" t="s">
        <v>30</v>
      </c>
      <c r="D1257" s="28">
        <f>SUMIFS(D1258:D1509,K1258:K1509,"0",B1258:B1509,"5 1 3 3 1 12 31111 6*")-SUMIFS(E1258:E1509,K1258:K1509,"0",B1258:B1509,"5 1 3 3 1 12 31111 6*")</f>
        <v>0</v>
      </c>
      <c r="E1257" s="29"/>
      <c r="F1257" s="28">
        <f>SUMIFS(F1258:F1509,K1258:K1509,"0",B1258:B1509,"5 1 3 3 1 12 31111 6*")</f>
        <v>371163.4</v>
      </c>
      <c r="G1257" s="28">
        <f>SUMIFS(G1258:G1509,K1258:K1509,"0",B1258:B1509,"5 1 3 3 1 12 31111 6*")</f>
        <v>0</v>
      </c>
      <c r="H1257" s="28">
        <f t="shared" si="24"/>
        <v>371163.4</v>
      </c>
      <c r="I1257" s="28"/>
      <c r="K1257" t="s">
        <v>15</v>
      </c>
    </row>
    <row r="1258" spans="2:11" ht="13" x14ac:dyDescent="0.15">
      <c r="B1258" s="27" t="s">
        <v>1613</v>
      </c>
      <c r="C1258" s="27" t="s">
        <v>733</v>
      </c>
      <c r="D1258" s="28">
        <f>SUMIFS(D1259:D1509,K1259:K1509,"0",B1259:B1509,"5 1 3 3 1 12 31111 6 M78*")-SUMIFS(E1259:E1509,K1259:K1509,"0",B1259:B1509,"5 1 3 3 1 12 31111 6 M78*")</f>
        <v>0</v>
      </c>
      <c r="E1258" s="29"/>
      <c r="F1258" s="28">
        <f>SUMIFS(F1259:F1509,K1259:K1509,"0",B1259:B1509,"5 1 3 3 1 12 31111 6 M78*")</f>
        <v>371163.4</v>
      </c>
      <c r="G1258" s="28">
        <f>SUMIFS(G1259:G1509,K1259:K1509,"0",B1259:B1509,"5 1 3 3 1 12 31111 6 M78*")</f>
        <v>0</v>
      </c>
      <c r="H1258" s="28">
        <f t="shared" si="24"/>
        <v>371163.4</v>
      </c>
      <c r="I1258" s="28"/>
      <c r="K1258" t="s">
        <v>15</v>
      </c>
    </row>
    <row r="1259" spans="2:11" ht="13" x14ac:dyDescent="0.15">
      <c r="B1259" s="27" t="s">
        <v>1614</v>
      </c>
      <c r="C1259" s="27" t="s">
        <v>8</v>
      </c>
      <c r="D1259" s="28">
        <f>SUMIFS(D1260:D1509,K1260:K1509,"0",B1260:B1509,"5 1 3 3 1 12 31111 6 M78 07000*")-SUMIFS(E1260:E1509,K1260:K1509,"0",B1260:B1509,"5 1 3 3 1 12 31111 6 M78 07000*")</f>
        <v>0</v>
      </c>
      <c r="E1259" s="29"/>
      <c r="F1259" s="28">
        <f>SUMIFS(F1260:F1509,K1260:K1509,"0",B1260:B1509,"5 1 3 3 1 12 31111 6 M78 07000*")</f>
        <v>371163.4</v>
      </c>
      <c r="G1259" s="28">
        <f>SUMIFS(G1260:G1509,K1260:K1509,"0",B1260:B1509,"5 1 3 3 1 12 31111 6 M78 07000*")</f>
        <v>0</v>
      </c>
      <c r="H1259" s="28">
        <f t="shared" si="24"/>
        <v>371163.4</v>
      </c>
      <c r="I1259" s="28"/>
      <c r="K1259" t="s">
        <v>15</v>
      </c>
    </row>
    <row r="1260" spans="2:11" ht="13" x14ac:dyDescent="0.15">
      <c r="B1260" s="27" t="s">
        <v>1615</v>
      </c>
      <c r="C1260" s="27" t="s">
        <v>168</v>
      </c>
      <c r="D1260" s="28">
        <f>SUMIFS(D1261:D1509,K1261:K1509,"0",B1261:B1509,"5 1 3 3 1 12 31111 6 M78 07000 151*")-SUMIFS(E1261:E1509,K1261:K1509,"0",B1261:B1509,"5 1 3 3 1 12 31111 6 M78 07000 151*")</f>
        <v>0</v>
      </c>
      <c r="E1260" s="29"/>
      <c r="F1260" s="28">
        <f>SUMIFS(F1261:F1509,K1261:K1509,"0",B1261:B1509,"5 1 3 3 1 12 31111 6 M78 07000 151*")</f>
        <v>371163.4</v>
      </c>
      <c r="G1260" s="28">
        <f>SUMIFS(G1261:G1509,K1261:K1509,"0",B1261:B1509,"5 1 3 3 1 12 31111 6 M78 07000 151*")</f>
        <v>0</v>
      </c>
      <c r="H1260" s="28">
        <f t="shared" si="24"/>
        <v>371163.4</v>
      </c>
      <c r="I1260" s="28"/>
      <c r="K1260" t="s">
        <v>15</v>
      </c>
    </row>
    <row r="1261" spans="2:11" ht="13" x14ac:dyDescent="0.15">
      <c r="B1261" s="27" t="s">
        <v>1616</v>
      </c>
      <c r="C1261" s="27" t="s">
        <v>170</v>
      </c>
      <c r="D1261" s="28">
        <f>SUMIFS(D1262:D1509,K1262:K1509,"0",B1262:B1509,"5 1 3 3 1 12 31111 6 M78 07000 151 00C*")-SUMIFS(E1262:E1509,K1262:K1509,"0",B1262:B1509,"5 1 3 3 1 12 31111 6 M78 07000 151 00C*")</f>
        <v>0</v>
      </c>
      <c r="E1261" s="29"/>
      <c r="F1261" s="28">
        <f>SUMIFS(F1262:F1509,K1262:K1509,"0",B1262:B1509,"5 1 3 3 1 12 31111 6 M78 07000 151 00C*")</f>
        <v>371163.4</v>
      </c>
      <c r="G1261" s="28">
        <f>SUMIFS(G1262:G1509,K1262:K1509,"0",B1262:B1509,"5 1 3 3 1 12 31111 6 M78 07000 151 00C*")</f>
        <v>0</v>
      </c>
      <c r="H1261" s="28">
        <f t="shared" si="24"/>
        <v>371163.4</v>
      </c>
      <c r="I1261" s="28"/>
      <c r="K1261" t="s">
        <v>15</v>
      </c>
    </row>
    <row r="1262" spans="2:11" ht="22" x14ac:dyDescent="0.15">
      <c r="B1262" s="27" t="s">
        <v>1617</v>
      </c>
      <c r="C1262" s="27" t="s">
        <v>9</v>
      </c>
      <c r="D1262" s="28">
        <f>SUMIFS(D1263:D1509,K1263:K1509,"0",B1263:B1509,"5 1 3 3 1 12 31111 6 M78 07000 151 00C 001*")-SUMIFS(E1263:E1509,K1263:K1509,"0",B1263:B1509,"5 1 3 3 1 12 31111 6 M78 07000 151 00C 001*")</f>
        <v>0</v>
      </c>
      <c r="E1262" s="29"/>
      <c r="F1262" s="28">
        <f>SUMIFS(F1263:F1509,K1263:K1509,"0",B1263:B1509,"5 1 3 3 1 12 31111 6 M78 07000 151 00C 001*")</f>
        <v>371163.4</v>
      </c>
      <c r="G1262" s="28">
        <f>SUMIFS(G1263:G1509,K1263:K1509,"0",B1263:B1509,"5 1 3 3 1 12 31111 6 M78 07000 151 00C 001*")</f>
        <v>0</v>
      </c>
      <c r="H1262" s="28">
        <f t="shared" si="24"/>
        <v>371163.4</v>
      </c>
      <c r="I1262" s="28"/>
      <c r="K1262" t="s">
        <v>15</v>
      </c>
    </row>
    <row r="1263" spans="2:11" ht="22" x14ac:dyDescent="0.15">
      <c r="B1263" s="27" t="s">
        <v>1618</v>
      </c>
      <c r="C1263" s="27" t="s">
        <v>1609</v>
      </c>
      <c r="D1263" s="28">
        <f>SUMIFS(D1264:D1509,K1264:K1509,"0",B1264:B1509,"5 1 3 3 1 12 31111 6 M78 07000 151 00C 001 33101*")-SUMIFS(E1264:E1509,K1264:K1509,"0",B1264:B1509,"5 1 3 3 1 12 31111 6 M78 07000 151 00C 001 33101*")</f>
        <v>0</v>
      </c>
      <c r="E1263" s="29"/>
      <c r="F1263" s="28">
        <f>SUMIFS(F1264:F1509,K1264:K1509,"0",B1264:B1509,"5 1 3 3 1 12 31111 6 M78 07000 151 00C 001 33101*")</f>
        <v>371163.4</v>
      </c>
      <c r="G1263" s="28">
        <f>SUMIFS(G1264:G1509,K1264:K1509,"0",B1264:B1509,"5 1 3 3 1 12 31111 6 M78 07000 151 00C 001 33101*")</f>
        <v>0</v>
      </c>
      <c r="H1263" s="28">
        <f t="shared" si="24"/>
        <v>371163.4</v>
      </c>
      <c r="I1263" s="28"/>
      <c r="K1263" t="s">
        <v>15</v>
      </c>
    </row>
    <row r="1264" spans="2:11" ht="22" x14ac:dyDescent="0.15">
      <c r="B1264" s="27" t="s">
        <v>1619</v>
      </c>
      <c r="C1264" s="27" t="s">
        <v>176</v>
      </c>
      <c r="D1264" s="28">
        <f>SUMIFS(D1265:D1509,K1265:K1509,"0",B1265:B1509,"5 1 3 3 1 12 31111 6 M78 07000 151 00C 001 33101 015*")-SUMIFS(E1265:E1509,K1265:K1509,"0",B1265:B1509,"5 1 3 3 1 12 31111 6 M78 07000 151 00C 001 33101 015*")</f>
        <v>0</v>
      </c>
      <c r="E1264" s="29"/>
      <c r="F1264" s="28">
        <f>SUMIFS(F1265:F1509,K1265:K1509,"0",B1265:B1509,"5 1 3 3 1 12 31111 6 M78 07000 151 00C 001 33101 015*")</f>
        <v>371163.4</v>
      </c>
      <c r="G1264" s="28">
        <f>SUMIFS(G1265:G1509,K1265:K1509,"0",B1265:B1509,"5 1 3 3 1 12 31111 6 M78 07000 151 00C 001 33101 015*")</f>
        <v>0</v>
      </c>
      <c r="H1264" s="28">
        <f t="shared" si="24"/>
        <v>371163.4</v>
      </c>
      <c r="I1264" s="28"/>
      <c r="K1264" t="s">
        <v>15</v>
      </c>
    </row>
    <row r="1265" spans="2:11" ht="22" x14ac:dyDescent="0.15">
      <c r="B1265" s="27" t="s">
        <v>1620</v>
      </c>
      <c r="C1265" s="27" t="s">
        <v>178</v>
      </c>
      <c r="D1265" s="28">
        <f>SUMIFS(D1266:D1509,K1266:K1509,"0",B1266:B1509,"5 1 3 3 1 12 31111 6 M78 07000 151 00C 001 33101 015 2112000*")-SUMIFS(E1266:E1509,K1266:K1509,"0",B1266:B1509,"5 1 3 3 1 12 31111 6 M78 07000 151 00C 001 33101 015 2112000*")</f>
        <v>0</v>
      </c>
      <c r="E1265" s="29"/>
      <c r="F1265" s="28">
        <f>SUMIFS(F1266:F1509,K1266:K1509,"0",B1266:B1509,"5 1 3 3 1 12 31111 6 M78 07000 151 00C 001 33101 015 2112000*")</f>
        <v>371163.4</v>
      </c>
      <c r="G1265" s="28">
        <f>SUMIFS(G1266:G1509,K1266:K1509,"0",B1266:B1509,"5 1 3 3 1 12 31111 6 M78 07000 151 00C 001 33101 015 2112000*")</f>
        <v>0</v>
      </c>
      <c r="H1265" s="28">
        <f t="shared" si="24"/>
        <v>371163.4</v>
      </c>
      <c r="I1265" s="28"/>
      <c r="K1265" t="s">
        <v>15</v>
      </c>
    </row>
    <row r="1266" spans="2:11" ht="22" x14ac:dyDescent="0.15">
      <c r="B1266" s="27" t="s">
        <v>1621</v>
      </c>
      <c r="C1266" s="27" t="s">
        <v>248</v>
      </c>
      <c r="D1266" s="28">
        <f>SUMIFS(D1267:D1509,K1267:K1509,"0",B1267:B1509,"5 1 3 3 1 12 31111 6 M78 07000 151 00C 001 33101 015 2112000 2024*")-SUMIFS(E1267:E1509,K1267:K1509,"0",B1267:B1509,"5 1 3 3 1 12 31111 6 M78 07000 151 00C 001 33101 015 2112000 2024*")</f>
        <v>0</v>
      </c>
      <c r="E1266" s="29"/>
      <c r="F1266" s="28">
        <f>SUMIFS(F1267:F1509,K1267:K1509,"0",B1267:B1509,"5 1 3 3 1 12 31111 6 M78 07000 151 00C 001 33101 015 2112000 2024*")</f>
        <v>371163.4</v>
      </c>
      <c r="G1266" s="28">
        <f>SUMIFS(G1267:G1509,K1267:K1509,"0",B1267:B1509,"5 1 3 3 1 12 31111 6 M78 07000 151 00C 001 33101 015 2112000 2024*")</f>
        <v>0</v>
      </c>
      <c r="H1266" s="28">
        <f t="shared" si="24"/>
        <v>371163.4</v>
      </c>
      <c r="I1266" s="28"/>
      <c r="K1266" t="s">
        <v>15</v>
      </c>
    </row>
    <row r="1267" spans="2:11" ht="22" x14ac:dyDescent="0.15">
      <c r="B1267" s="27" t="s">
        <v>1622</v>
      </c>
      <c r="C1267" s="27" t="s">
        <v>182</v>
      </c>
      <c r="D1267" s="28">
        <f>SUMIFS(D1268:D1509,K1268:K1509,"0",B1268:B1509,"5 1 3 3 1 12 31111 6 M78 07000 151 00C 001 33101 015 2112000 2024 00000000*")-SUMIFS(E1268:E1509,K1268:K1509,"0",B1268:B1509,"5 1 3 3 1 12 31111 6 M78 07000 151 00C 001 33101 015 2112000 2024 00000000*")</f>
        <v>0</v>
      </c>
      <c r="E1267" s="29"/>
      <c r="F1267" s="28">
        <f>SUMIFS(F1268:F1509,K1268:K1509,"0",B1268:B1509,"5 1 3 3 1 12 31111 6 M78 07000 151 00C 001 33101 015 2112000 2024 00000000*")</f>
        <v>371163.4</v>
      </c>
      <c r="G1267" s="28">
        <f>SUMIFS(G1268:G1509,K1268:K1509,"0",B1268:B1509,"5 1 3 3 1 12 31111 6 M78 07000 151 00C 001 33101 015 2112000 2024 00000000*")</f>
        <v>0</v>
      </c>
      <c r="H1267" s="28">
        <f t="shared" si="24"/>
        <v>371163.4</v>
      </c>
      <c r="I1267" s="28"/>
      <c r="K1267" t="s">
        <v>15</v>
      </c>
    </row>
    <row r="1268" spans="2:11" ht="33" x14ac:dyDescent="0.15">
      <c r="B1268" s="27" t="s">
        <v>1623</v>
      </c>
      <c r="C1268" s="27" t="s">
        <v>9</v>
      </c>
      <c r="D1268" s="28">
        <f>SUMIFS(D1269:D1509,K1269:K1509,"0",B1269:B1509,"5 1 3 3 1 12 31111 6 M78 07000 151 00C 001 33101 015 2112000 2024 00000000 001*")-SUMIFS(E1269:E1509,K1269:K1509,"0",B1269:B1509,"5 1 3 3 1 12 31111 6 M78 07000 151 00C 001 33101 015 2112000 2024 00000000 001*")</f>
        <v>0</v>
      </c>
      <c r="E1268" s="29"/>
      <c r="F1268" s="28">
        <f>SUMIFS(F1269:F1509,K1269:K1509,"0",B1269:B1509,"5 1 3 3 1 12 31111 6 M78 07000 151 00C 001 33101 015 2112000 2024 00000000 001*")</f>
        <v>371163.4</v>
      </c>
      <c r="G1268" s="28">
        <f>SUMIFS(G1269:G1509,K1269:K1509,"0",B1269:B1509,"5 1 3 3 1 12 31111 6 M78 07000 151 00C 001 33101 015 2112000 2024 00000000 001*")</f>
        <v>0</v>
      </c>
      <c r="H1268" s="28">
        <f t="shared" si="24"/>
        <v>371163.4</v>
      </c>
      <c r="I1268" s="28"/>
      <c r="K1268" t="s">
        <v>15</v>
      </c>
    </row>
    <row r="1269" spans="2:11" ht="33" x14ac:dyDescent="0.15">
      <c r="B1269" s="30" t="s">
        <v>1624</v>
      </c>
      <c r="C1269" s="30" t="s">
        <v>1609</v>
      </c>
      <c r="D1269" s="31">
        <v>0</v>
      </c>
      <c r="E1269" s="31"/>
      <c r="F1269" s="31">
        <v>371163.4</v>
      </c>
      <c r="G1269" s="31">
        <v>0</v>
      </c>
      <c r="H1269" s="31">
        <f t="shared" si="24"/>
        <v>371163.4</v>
      </c>
      <c r="I1269" s="31"/>
      <c r="K1269" t="s">
        <v>38</v>
      </c>
    </row>
    <row r="1270" spans="2:11" ht="22" x14ac:dyDescent="0.15">
      <c r="B1270" s="27" t="s">
        <v>1625</v>
      </c>
      <c r="C1270" s="27" t="s">
        <v>1626</v>
      </c>
      <c r="D1270" s="28">
        <f>SUMIFS(D1271:D1509,K1271:K1509,"0",B1271:B1509,"5 1 3 3 6*")-SUMIFS(E1271:E1509,K1271:K1509,"0",B1271:B1509,"5 1 3 3 6*")</f>
        <v>0</v>
      </c>
      <c r="E1270" s="29"/>
      <c r="F1270" s="28">
        <f>SUMIFS(F1271:F1509,K1271:K1509,"0",B1271:B1509,"5 1 3 3 6*")</f>
        <v>95547.56</v>
      </c>
      <c r="G1270" s="28">
        <f>SUMIFS(G1271:G1509,K1271:K1509,"0",B1271:B1509,"5 1 3 3 6*")</f>
        <v>0</v>
      </c>
      <c r="H1270" s="28">
        <f t="shared" si="24"/>
        <v>95547.56</v>
      </c>
      <c r="I1270" s="28"/>
      <c r="K1270" t="s">
        <v>15</v>
      </c>
    </row>
    <row r="1271" spans="2:11" ht="13" x14ac:dyDescent="0.15">
      <c r="B1271" s="27" t="s">
        <v>1627</v>
      </c>
      <c r="C1271" s="27" t="s">
        <v>26</v>
      </c>
      <c r="D1271" s="28">
        <f>SUMIFS(D1272:D1509,K1272:K1509,"0",B1272:B1509,"5 1 3 3 6 12*")-SUMIFS(E1272:E1509,K1272:K1509,"0",B1272:B1509,"5 1 3 3 6 12*")</f>
        <v>0</v>
      </c>
      <c r="E1271" s="29"/>
      <c r="F1271" s="28">
        <f>SUMIFS(F1272:F1509,K1272:K1509,"0",B1272:B1509,"5 1 3 3 6 12*")</f>
        <v>95547.56</v>
      </c>
      <c r="G1271" s="28">
        <f>SUMIFS(G1272:G1509,K1272:K1509,"0",B1272:B1509,"5 1 3 3 6 12*")</f>
        <v>0</v>
      </c>
      <c r="H1271" s="28">
        <f t="shared" si="24"/>
        <v>95547.56</v>
      </c>
      <c r="I1271" s="28"/>
      <c r="K1271" t="s">
        <v>15</v>
      </c>
    </row>
    <row r="1272" spans="2:11" ht="13" x14ac:dyDescent="0.15">
      <c r="B1272" s="27" t="s">
        <v>1628</v>
      </c>
      <c r="C1272" s="27" t="s">
        <v>28</v>
      </c>
      <c r="D1272" s="28">
        <f>SUMIFS(D1273:D1509,K1273:K1509,"0",B1273:B1509,"5 1 3 3 6 12 31111*")-SUMIFS(E1273:E1509,K1273:K1509,"0",B1273:B1509,"5 1 3 3 6 12 31111*")</f>
        <v>0</v>
      </c>
      <c r="E1272" s="29"/>
      <c r="F1272" s="28">
        <f>SUMIFS(F1273:F1509,K1273:K1509,"0",B1273:B1509,"5 1 3 3 6 12 31111*")</f>
        <v>95547.56</v>
      </c>
      <c r="G1272" s="28">
        <f>SUMIFS(G1273:G1509,K1273:K1509,"0",B1273:B1509,"5 1 3 3 6 12 31111*")</f>
        <v>0</v>
      </c>
      <c r="H1272" s="28">
        <f t="shared" si="24"/>
        <v>95547.56</v>
      </c>
      <c r="I1272" s="28"/>
      <c r="K1272" t="s">
        <v>15</v>
      </c>
    </row>
    <row r="1273" spans="2:11" ht="13" x14ac:dyDescent="0.15">
      <c r="B1273" s="27" t="s">
        <v>1629</v>
      </c>
      <c r="C1273" s="27" t="s">
        <v>30</v>
      </c>
      <c r="D1273" s="28">
        <f>SUMIFS(D1274:D1509,K1274:K1509,"0",B1274:B1509,"5 1 3 3 6 12 31111 6*")-SUMIFS(E1274:E1509,K1274:K1509,"0",B1274:B1509,"5 1 3 3 6 12 31111 6*")</f>
        <v>0</v>
      </c>
      <c r="E1273" s="29"/>
      <c r="F1273" s="28">
        <f>SUMIFS(F1274:F1509,K1274:K1509,"0",B1274:B1509,"5 1 3 3 6 12 31111 6*")</f>
        <v>95547.56</v>
      </c>
      <c r="G1273" s="28">
        <f>SUMIFS(G1274:G1509,K1274:K1509,"0",B1274:B1509,"5 1 3 3 6 12 31111 6*")</f>
        <v>0</v>
      </c>
      <c r="H1273" s="28">
        <f t="shared" si="24"/>
        <v>95547.56</v>
      </c>
      <c r="I1273" s="28"/>
      <c r="K1273" t="s">
        <v>15</v>
      </c>
    </row>
    <row r="1274" spans="2:11" ht="13" x14ac:dyDescent="0.15">
      <c r="B1274" s="27" t="s">
        <v>1630</v>
      </c>
      <c r="C1274" s="27" t="s">
        <v>733</v>
      </c>
      <c r="D1274" s="28">
        <f>SUMIFS(D1275:D1509,K1275:K1509,"0",B1275:B1509,"5 1 3 3 6 12 31111 6 M78*")-SUMIFS(E1275:E1509,K1275:K1509,"0",B1275:B1509,"5 1 3 3 6 12 31111 6 M78*")</f>
        <v>0</v>
      </c>
      <c r="E1274" s="29"/>
      <c r="F1274" s="28">
        <f>SUMIFS(F1275:F1509,K1275:K1509,"0",B1275:B1509,"5 1 3 3 6 12 31111 6 M78*")</f>
        <v>95547.56</v>
      </c>
      <c r="G1274" s="28">
        <f>SUMIFS(G1275:G1509,K1275:K1509,"0",B1275:B1509,"5 1 3 3 6 12 31111 6 M78*")</f>
        <v>0</v>
      </c>
      <c r="H1274" s="28">
        <f t="shared" si="24"/>
        <v>95547.56</v>
      </c>
      <c r="I1274" s="28"/>
      <c r="K1274" t="s">
        <v>15</v>
      </c>
    </row>
    <row r="1275" spans="2:11" ht="13" x14ac:dyDescent="0.15">
      <c r="B1275" s="27" t="s">
        <v>1631</v>
      </c>
      <c r="C1275" s="27" t="s">
        <v>8</v>
      </c>
      <c r="D1275" s="28">
        <f>SUMIFS(D1276:D1509,K1276:K1509,"0",B1276:B1509,"5 1 3 3 6 12 31111 6 M78 07000*")-SUMIFS(E1276:E1509,K1276:K1509,"0",B1276:B1509,"5 1 3 3 6 12 31111 6 M78 07000*")</f>
        <v>0</v>
      </c>
      <c r="E1275" s="29"/>
      <c r="F1275" s="28">
        <f>SUMIFS(F1276:F1509,K1276:K1509,"0",B1276:B1509,"5 1 3 3 6 12 31111 6 M78 07000*")</f>
        <v>95547.56</v>
      </c>
      <c r="G1275" s="28">
        <f>SUMIFS(G1276:G1509,K1276:K1509,"0",B1276:B1509,"5 1 3 3 6 12 31111 6 M78 07000*")</f>
        <v>0</v>
      </c>
      <c r="H1275" s="28">
        <f t="shared" si="24"/>
        <v>95547.56</v>
      </c>
      <c r="I1275" s="28"/>
      <c r="K1275" t="s">
        <v>15</v>
      </c>
    </row>
    <row r="1276" spans="2:11" ht="13" x14ac:dyDescent="0.15">
      <c r="B1276" s="27" t="s">
        <v>1632</v>
      </c>
      <c r="C1276" s="27" t="s">
        <v>168</v>
      </c>
      <c r="D1276" s="28">
        <f>SUMIFS(D1277:D1509,K1277:K1509,"0",B1277:B1509,"5 1 3 3 6 12 31111 6 M78 07000 151*")-SUMIFS(E1277:E1509,K1277:K1509,"0",B1277:B1509,"5 1 3 3 6 12 31111 6 M78 07000 151*")</f>
        <v>0</v>
      </c>
      <c r="E1276" s="29"/>
      <c r="F1276" s="28">
        <f>SUMIFS(F1277:F1509,K1277:K1509,"0",B1277:B1509,"5 1 3 3 6 12 31111 6 M78 07000 151*")</f>
        <v>95547.56</v>
      </c>
      <c r="G1276" s="28">
        <f>SUMIFS(G1277:G1509,K1277:K1509,"0",B1277:B1509,"5 1 3 3 6 12 31111 6 M78 07000 151*")</f>
        <v>0</v>
      </c>
      <c r="H1276" s="28">
        <f t="shared" si="24"/>
        <v>95547.56</v>
      </c>
      <c r="I1276" s="28"/>
      <c r="K1276" t="s">
        <v>15</v>
      </c>
    </row>
    <row r="1277" spans="2:11" ht="13" x14ac:dyDescent="0.15">
      <c r="B1277" s="27" t="s">
        <v>1633</v>
      </c>
      <c r="C1277" s="27" t="s">
        <v>170</v>
      </c>
      <c r="D1277" s="28">
        <f>SUMIFS(D1278:D1509,K1278:K1509,"0",B1278:B1509,"5 1 3 3 6 12 31111 6 M78 07000 151 00C*")-SUMIFS(E1278:E1509,K1278:K1509,"0",B1278:B1509,"5 1 3 3 6 12 31111 6 M78 07000 151 00C*")</f>
        <v>0</v>
      </c>
      <c r="E1277" s="29"/>
      <c r="F1277" s="28">
        <f>SUMIFS(F1278:F1509,K1278:K1509,"0",B1278:B1509,"5 1 3 3 6 12 31111 6 M78 07000 151 00C*")</f>
        <v>95547.56</v>
      </c>
      <c r="G1277" s="28">
        <f>SUMIFS(G1278:G1509,K1278:K1509,"0",B1278:B1509,"5 1 3 3 6 12 31111 6 M78 07000 151 00C*")</f>
        <v>0</v>
      </c>
      <c r="H1277" s="28">
        <f t="shared" si="24"/>
        <v>95547.56</v>
      </c>
      <c r="I1277" s="28"/>
      <c r="K1277" t="s">
        <v>15</v>
      </c>
    </row>
    <row r="1278" spans="2:11" ht="22" x14ac:dyDescent="0.15">
      <c r="B1278" s="27" t="s">
        <v>1634</v>
      </c>
      <c r="C1278" s="27" t="s">
        <v>9</v>
      </c>
      <c r="D1278" s="28">
        <f>SUMIFS(D1279:D1509,K1279:K1509,"0",B1279:B1509,"5 1 3 3 6 12 31111 6 M78 07000 151 00C 001*")-SUMIFS(E1279:E1509,K1279:K1509,"0",B1279:B1509,"5 1 3 3 6 12 31111 6 M78 07000 151 00C 001*")</f>
        <v>0</v>
      </c>
      <c r="E1278" s="29"/>
      <c r="F1278" s="28">
        <f>SUMIFS(F1279:F1509,K1279:K1509,"0",B1279:B1509,"5 1 3 3 6 12 31111 6 M78 07000 151 00C 001*")</f>
        <v>95547.56</v>
      </c>
      <c r="G1278" s="28">
        <f>SUMIFS(G1279:G1509,K1279:K1509,"0",B1279:B1509,"5 1 3 3 6 12 31111 6 M78 07000 151 00C 001*")</f>
        <v>0</v>
      </c>
      <c r="H1278" s="28">
        <f t="shared" si="24"/>
        <v>95547.56</v>
      </c>
      <c r="I1278" s="28"/>
      <c r="K1278" t="s">
        <v>15</v>
      </c>
    </row>
    <row r="1279" spans="2:11" ht="33" x14ac:dyDescent="0.15">
      <c r="B1279" s="27" t="s">
        <v>1635</v>
      </c>
      <c r="C1279" s="27" t="s">
        <v>1636</v>
      </c>
      <c r="D1279" s="28">
        <f>SUMIFS(D1280:D1509,K1280:K1509,"0",B1280:B1509,"5 1 3 3 6 12 31111 6 M78 07000 151 00C 001 33603*")-SUMIFS(E1280:E1509,K1280:K1509,"0",B1280:B1509,"5 1 3 3 6 12 31111 6 M78 07000 151 00C 001 33603*")</f>
        <v>0</v>
      </c>
      <c r="E1279" s="29"/>
      <c r="F1279" s="28">
        <f>SUMIFS(F1280:F1509,K1280:K1509,"0",B1280:B1509,"5 1 3 3 6 12 31111 6 M78 07000 151 00C 001 33603*")</f>
        <v>11400</v>
      </c>
      <c r="G1279" s="28">
        <f>SUMIFS(G1280:G1509,K1280:K1509,"0",B1280:B1509,"5 1 3 3 6 12 31111 6 M78 07000 151 00C 001 33603*")</f>
        <v>0</v>
      </c>
      <c r="H1279" s="28">
        <f t="shared" si="24"/>
        <v>11400</v>
      </c>
      <c r="I1279" s="28"/>
      <c r="K1279" t="s">
        <v>15</v>
      </c>
    </row>
    <row r="1280" spans="2:11" ht="22" x14ac:dyDescent="0.15">
      <c r="B1280" s="27" t="s">
        <v>1637</v>
      </c>
      <c r="C1280" s="27" t="s">
        <v>176</v>
      </c>
      <c r="D1280" s="28">
        <f>SUMIFS(D1281:D1509,K1281:K1509,"0",B1281:B1509,"5 1 3 3 6 12 31111 6 M78 07000 151 00C 001 33603 015*")-SUMIFS(E1281:E1509,K1281:K1509,"0",B1281:B1509,"5 1 3 3 6 12 31111 6 M78 07000 151 00C 001 33603 015*")</f>
        <v>0</v>
      </c>
      <c r="E1280" s="29"/>
      <c r="F1280" s="28">
        <f>SUMIFS(F1281:F1509,K1281:K1509,"0",B1281:B1509,"5 1 3 3 6 12 31111 6 M78 07000 151 00C 001 33603 015*")</f>
        <v>11400</v>
      </c>
      <c r="G1280" s="28">
        <f>SUMIFS(G1281:G1509,K1281:K1509,"0",B1281:B1509,"5 1 3 3 6 12 31111 6 M78 07000 151 00C 001 33603 015*")</f>
        <v>0</v>
      </c>
      <c r="H1280" s="28">
        <f t="shared" si="24"/>
        <v>11400</v>
      </c>
      <c r="I1280" s="28"/>
      <c r="K1280" t="s">
        <v>15</v>
      </c>
    </row>
    <row r="1281" spans="2:11" ht="22" x14ac:dyDescent="0.15">
      <c r="B1281" s="27" t="s">
        <v>1638</v>
      </c>
      <c r="C1281" s="27" t="s">
        <v>178</v>
      </c>
      <c r="D1281" s="28">
        <f>SUMIFS(D1282:D1509,K1282:K1509,"0",B1282:B1509,"5 1 3 3 6 12 31111 6 M78 07000 151 00C 001 33603 015 2112000*")-SUMIFS(E1282:E1509,K1282:K1509,"0",B1282:B1509,"5 1 3 3 6 12 31111 6 M78 07000 151 00C 001 33603 015 2112000*")</f>
        <v>0</v>
      </c>
      <c r="E1281" s="29"/>
      <c r="F1281" s="28">
        <f>SUMIFS(F1282:F1509,K1282:K1509,"0",B1282:B1509,"5 1 3 3 6 12 31111 6 M78 07000 151 00C 001 33603 015 2112000*")</f>
        <v>11400</v>
      </c>
      <c r="G1281" s="28">
        <f>SUMIFS(G1282:G1509,K1282:K1509,"0",B1282:B1509,"5 1 3 3 6 12 31111 6 M78 07000 151 00C 001 33603 015 2112000*")</f>
        <v>0</v>
      </c>
      <c r="H1281" s="28">
        <f t="shared" si="24"/>
        <v>11400</v>
      </c>
      <c r="I1281" s="28"/>
      <c r="K1281" t="s">
        <v>15</v>
      </c>
    </row>
    <row r="1282" spans="2:11" ht="22" x14ac:dyDescent="0.15">
      <c r="B1282" s="27" t="s">
        <v>1639</v>
      </c>
      <c r="C1282" s="27" t="s">
        <v>248</v>
      </c>
      <c r="D1282" s="28">
        <f>SUMIFS(D1283:D1509,K1283:K1509,"0",B1283:B1509,"5 1 3 3 6 12 31111 6 M78 07000 151 00C 001 33603 015 2112000 2024*")-SUMIFS(E1283:E1509,K1283:K1509,"0",B1283:B1509,"5 1 3 3 6 12 31111 6 M78 07000 151 00C 001 33603 015 2112000 2024*")</f>
        <v>0</v>
      </c>
      <c r="E1282" s="29"/>
      <c r="F1282" s="28">
        <f>SUMIFS(F1283:F1509,K1283:K1509,"0",B1283:B1509,"5 1 3 3 6 12 31111 6 M78 07000 151 00C 001 33603 015 2112000 2024*")</f>
        <v>11400</v>
      </c>
      <c r="G1282" s="28">
        <f>SUMIFS(G1283:G1509,K1283:K1509,"0",B1283:B1509,"5 1 3 3 6 12 31111 6 M78 07000 151 00C 001 33603 015 2112000 2024*")</f>
        <v>0</v>
      </c>
      <c r="H1282" s="28">
        <f t="shared" si="24"/>
        <v>11400</v>
      </c>
      <c r="I1282" s="28"/>
      <c r="K1282" t="s">
        <v>15</v>
      </c>
    </row>
    <row r="1283" spans="2:11" ht="22" x14ac:dyDescent="0.15">
      <c r="B1283" s="27" t="s">
        <v>1640</v>
      </c>
      <c r="C1283" s="27" t="s">
        <v>182</v>
      </c>
      <c r="D1283" s="28">
        <f>SUMIFS(D1284:D1509,K1284:K1509,"0",B1284:B1509,"5 1 3 3 6 12 31111 6 M78 07000 151 00C 001 33603 015 2112000 2024 00000000*")-SUMIFS(E1284:E1509,K1284:K1509,"0",B1284:B1509,"5 1 3 3 6 12 31111 6 M78 07000 151 00C 001 33603 015 2112000 2024 00000000*")</f>
        <v>0</v>
      </c>
      <c r="E1283" s="29"/>
      <c r="F1283" s="28">
        <f>SUMIFS(F1284:F1509,K1284:K1509,"0",B1284:B1509,"5 1 3 3 6 12 31111 6 M78 07000 151 00C 001 33603 015 2112000 2024 00000000*")</f>
        <v>11400</v>
      </c>
      <c r="G1283" s="28">
        <f>SUMIFS(G1284:G1509,K1284:K1509,"0",B1284:B1509,"5 1 3 3 6 12 31111 6 M78 07000 151 00C 001 33603 015 2112000 2024 00000000*")</f>
        <v>0</v>
      </c>
      <c r="H1283" s="28">
        <f t="shared" si="24"/>
        <v>11400</v>
      </c>
      <c r="I1283" s="28"/>
      <c r="K1283" t="s">
        <v>15</v>
      </c>
    </row>
    <row r="1284" spans="2:11" ht="33" x14ac:dyDescent="0.15">
      <c r="B1284" s="27" t="s">
        <v>1641</v>
      </c>
      <c r="C1284" s="27" t="s">
        <v>9</v>
      </c>
      <c r="D1284" s="28">
        <f>SUMIFS(D1285:D1509,K1285:K1509,"0",B1285:B1509,"5 1 3 3 6 12 31111 6 M78 07000 151 00C 001 33603 015 2112000 2024 00000000 001*")-SUMIFS(E1285:E1509,K1285:K1509,"0",B1285:B1509,"5 1 3 3 6 12 31111 6 M78 07000 151 00C 001 33603 015 2112000 2024 00000000 001*")</f>
        <v>0</v>
      </c>
      <c r="E1284" s="29"/>
      <c r="F1284" s="28">
        <f>SUMIFS(F1285:F1509,K1285:K1509,"0",B1285:B1509,"5 1 3 3 6 12 31111 6 M78 07000 151 00C 001 33603 015 2112000 2024 00000000 001*")</f>
        <v>11400</v>
      </c>
      <c r="G1284" s="28">
        <f>SUMIFS(G1285:G1509,K1285:K1509,"0",B1285:B1509,"5 1 3 3 6 12 31111 6 M78 07000 151 00C 001 33603 015 2112000 2024 00000000 001*")</f>
        <v>0</v>
      </c>
      <c r="H1284" s="28">
        <f t="shared" si="24"/>
        <v>11400</v>
      </c>
      <c r="I1284" s="28"/>
      <c r="K1284" t="s">
        <v>15</v>
      </c>
    </row>
    <row r="1285" spans="2:11" ht="33" x14ac:dyDescent="0.15">
      <c r="B1285" s="30" t="s">
        <v>1642</v>
      </c>
      <c r="C1285" s="30" t="s">
        <v>1643</v>
      </c>
      <c r="D1285" s="31">
        <v>0</v>
      </c>
      <c r="E1285" s="31"/>
      <c r="F1285" s="31">
        <v>11400</v>
      </c>
      <c r="G1285" s="31">
        <v>0</v>
      </c>
      <c r="H1285" s="31">
        <f t="shared" si="24"/>
        <v>11400</v>
      </c>
      <c r="I1285" s="31"/>
      <c r="K1285" t="s">
        <v>38</v>
      </c>
    </row>
    <row r="1286" spans="2:11" ht="22" x14ac:dyDescent="0.15">
      <c r="B1286" s="27" t="s">
        <v>1644</v>
      </c>
      <c r="C1286" s="27" t="s">
        <v>1645</v>
      </c>
      <c r="D1286" s="28">
        <f>SUMIFS(D1287:D1509,K1287:K1509,"0",B1287:B1509,"5 1 3 3 6 12 31111 6 M78 07000 151 00C 001 33604*")-SUMIFS(E1287:E1509,K1287:K1509,"0",B1287:B1509,"5 1 3 3 6 12 31111 6 M78 07000 151 00C 001 33604*")</f>
        <v>0</v>
      </c>
      <c r="E1286" s="29"/>
      <c r="F1286" s="28">
        <f>SUMIFS(F1287:F1509,K1287:K1509,"0",B1287:B1509,"5 1 3 3 6 12 31111 6 M78 07000 151 00C 001 33604*")</f>
        <v>84147.56</v>
      </c>
      <c r="G1286" s="28">
        <f>SUMIFS(G1287:G1509,K1287:K1509,"0",B1287:B1509,"5 1 3 3 6 12 31111 6 M78 07000 151 00C 001 33604*")</f>
        <v>0</v>
      </c>
      <c r="H1286" s="28">
        <f t="shared" si="24"/>
        <v>84147.56</v>
      </c>
      <c r="I1286" s="28"/>
      <c r="K1286" t="s">
        <v>15</v>
      </c>
    </row>
    <row r="1287" spans="2:11" ht="22" x14ac:dyDescent="0.15">
      <c r="B1287" s="27" t="s">
        <v>1646</v>
      </c>
      <c r="C1287" s="27" t="s">
        <v>176</v>
      </c>
      <c r="D1287" s="28">
        <f>SUMIFS(D1288:D1509,K1288:K1509,"0",B1288:B1509,"5 1 3 3 6 12 31111 6 M78 07000 151 00C 001 33604 015*")-SUMIFS(E1288:E1509,K1288:K1509,"0",B1288:B1509,"5 1 3 3 6 12 31111 6 M78 07000 151 00C 001 33604 015*")</f>
        <v>0</v>
      </c>
      <c r="E1287" s="29"/>
      <c r="F1287" s="28">
        <f>SUMIFS(F1288:F1509,K1288:K1509,"0",B1288:B1509,"5 1 3 3 6 12 31111 6 M78 07000 151 00C 001 33604 015*")</f>
        <v>84147.56</v>
      </c>
      <c r="G1287" s="28">
        <f>SUMIFS(G1288:G1509,K1288:K1509,"0",B1288:B1509,"5 1 3 3 6 12 31111 6 M78 07000 151 00C 001 33604 015*")</f>
        <v>0</v>
      </c>
      <c r="H1287" s="28">
        <f t="shared" si="24"/>
        <v>84147.56</v>
      </c>
      <c r="I1287" s="28"/>
      <c r="K1287" t="s">
        <v>15</v>
      </c>
    </row>
    <row r="1288" spans="2:11" ht="22" x14ac:dyDescent="0.15">
      <c r="B1288" s="27" t="s">
        <v>1647</v>
      </c>
      <c r="C1288" s="27" t="s">
        <v>178</v>
      </c>
      <c r="D1288" s="28">
        <f>SUMIFS(D1289:D1509,K1289:K1509,"0",B1289:B1509,"5 1 3 3 6 12 31111 6 M78 07000 151 00C 001 33604 015 2112000*")-SUMIFS(E1289:E1509,K1289:K1509,"0",B1289:B1509,"5 1 3 3 6 12 31111 6 M78 07000 151 00C 001 33604 015 2112000*")</f>
        <v>0</v>
      </c>
      <c r="E1288" s="29"/>
      <c r="F1288" s="28">
        <f>SUMIFS(F1289:F1509,K1289:K1509,"0",B1289:B1509,"5 1 3 3 6 12 31111 6 M78 07000 151 00C 001 33604 015 2112000*")</f>
        <v>84147.56</v>
      </c>
      <c r="G1288" s="28">
        <f>SUMIFS(G1289:G1509,K1289:K1509,"0",B1289:B1509,"5 1 3 3 6 12 31111 6 M78 07000 151 00C 001 33604 015 2112000*")</f>
        <v>0</v>
      </c>
      <c r="H1288" s="28">
        <f t="shared" si="24"/>
        <v>84147.56</v>
      </c>
      <c r="I1288" s="28"/>
      <c r="K1288" t="s">
        <v>15</v>
      </c>
    </row>
    <row r="1289" spans="2:11" ht="22" x14ac:dyDescent="0.15">
      <c r="B1289" s="27" t="s">
        <v>1648</v>
      </c>
      <c r="C1289" s="27" t="s">
        <v>248</v>
      </c>
      <c r="D1289" s="28">
        <f>SUMIFS(D1290:D1509,K1290:K1509,"0",B1290:B1509,"5 1 3 3 6 12 31111 6 M78 07000 151 00C 001 33604 015 2112000 2024*")-SUMIFS(E1290:E1509,K1290:K1509,"0",B1290:B1509,"5 1 3 3 6 12 31111 6 M78 07000 151 00C 001 33604 015 2112000 2024*")</f>
        <v>0</v>
      </c>
      <c r="E1289" s="29"/>
      <c r="F1289" s="28">
        <f>SUMIFS(F1290:F1509,K1290:K1509,"0",B1290:B1509,"5 1 3 3 6 12 31111 6 M78 07000 151 00C 001 33604 015 2112000 2024*")</f>
        <v>84147.56</v>
      </c>
      <c r="G1289" s="28">
        <f>SUMIFS(G1290:G1509,K1290:K1509,"0",B1290:B1509,"5 1 3 3 6 12 31111 6 M78 07000 151 00C 001 33604 015 2112000 2024*")</f>
        <v>0</v>
      </c>
      <c r="H1289" s="28">
        <f t="shared" si="24"/>
        <v>84147.56</v>
      </c>
      <c r="I1289" s="28"/>
      <c r="K1289" t="s">
        <v>15</v>
      </c>
    </row>
    <row r="1290" spans="2:11" ht="22" x14ac:dyDescent="0.15">
      <c r="B1290" s="27" t="s">
        <v>1649</v>
      </c>
      <c r="C1290" s="27" t="s">
        <v>182</v>
      </c>
      <c r="D1290" s="28">
        <f>SUMIFS(D1291:D1509,K1291:K1509,"0",B1291:B1509,"5 1 3 3 6 12 31111 6 M78 07000 151 00C 001 33604 015 2112000 2024 00000000*")-SUMIFS(E1291:E1509,K1291:K1509,"0",B1291:B1509,"5 1 3 3 6 12 31111 6 M78 07000 151 00C 001 33604 015 2112000 2024 00000000*")</f>
        <v>0</v>
      </c>
      <c r="E1290" s="29"/>
      <c r="F1290" s="28">
        <f>SUMIFS(F1291:F1509,K1291:K1509,"0",B1291:B1509,"5 1 3 3 6 12 31111 6 M78 07000 151 00C 001 33604 015 2112000 2024 00000000*")</f>
        <v>84147.56</v>
      </c>
      <c r="G1290" s="28">
        <f>SUMIFS(G1291:G1509,K1291:K1509,"0",B1291:B1509,"5 1 3 3 6 12 31111 6 M78 07000 151 00C 001 33604 015 2112000 2024 00000000*")</f>
        <v>0</v>
      </c>
      <c r="H1290" s="28">
        <f t="shared" si="24"/>
        <v>84147.56</v>
      </c>
      <c r="I1290" s="28"/>
      <c r="K1290" t="s">
        <v>15</v>
      </c>
    </row>
    <row r="1291" spans="2:11" ht="33" x14ac:dyDescent="0.15">
      <c r="B1291" s="27" t="s">
        <v>1650</v>
      </c>
      <c r="C1291" s="27" t="s">
        <v>9</v>
      </c>
      <c r="D1291" s="28">
        <f>SUMIFS(D1292:D1509,K1292:K1509,"0",B1292:B1509,"5 1 3 3 6 12 31111 6 M78 07000 151 00C 001 33604 015 2112000 2024 00000000 001*")-SUMIFS(E1292:E1509,K1292:K1509,"0",B1292:B1509,"5 1 3 3 6 12 31111 6 M78 07000 151 00C 001 33604 015 2112000 2024 00000000 001*")</f>
        <v>0</v>
      </c>
      <c r="E1291" s="29"/>
      <c r="F1291" s="28">
        <f>SUMIFS(F1292:F1509,K1292:K1509,"0",B1292:B1509,"5 1 3 3 6 12 31111 6 M78 07000 151 00C 001 33604 015 2112000 2024 00000000 001*")</f>
        <v>84147.56</v>
      </c>
      <c r="G1291" s="28">
        <f>SUMIFS(G1292:G1509,K1292:K1509,"0",B1292:B1509,"5 1 3 3 6 12 31111 6 M78 07000 151 00C 001 33604 015 2112000 2024 00000000 001*")</f>
        <v>0</v>
      </c>
      <c r="H1291" s="28">
        <f t="shared" si="24"/>
        <v>84147.56</v>
      </c>
      <c r="I1291" s="28"/>
      <c r="K1291" t="s">
        <v>15</v>
      </c>
    </row>
    <row r="1292" spans="2:11" ht="33" x14ac:dyDescent="0.15">
      <c r="B1292" s="30" t="s">
        <v>1651</v>
      </c>
      <c r="C1292" s="30" t="s">
        <v>1652</v>
      </c>
      <c r="D1292" s="31">
        <v>0</v>
      </c>
      <c r="E1292" s="31"/>
      <c r="F1292" s="31">
        <v>84147.56</v>
      </c>
      <c r="G1292" s="31">
        <v>0</v>
      </c>
      <c r="H1292" s="31">
        <f t="shared" si="24"/>
        <v>84147.56</v>
      </c>
      <c r="I1292" s="31"/>
      <c r="K1292" t="s">
        <v>38</v>
      </c>
    </row>
    <row r="1293" spans="2:11" ht="13" x14ac:dyDescent="0.15">
      <c r="B1293" s="27" t="s">
        <v>1653</v>
      </c>
      <c r="C1293" s="27" t="s">
        <v>1654</v>
      </c>
      <c r="D1293" s="28">
        <f>SUMIFS(D1294:D1509,K1294:K1509,"0",B1294:B1509,"5 1 3 4*")-SUMIFS(E1294:E1509,K1294:K1509,"0",B1294:B1509,"5 1 3 4*")</f>
        <v>0</v>
      </c>
      <c r="E1293" s="29"/>
      <c r="F1293" s="28">
        <f>SUMIFS(F1294:F1509,K1294:K1509,"0",B1294:B1509,"5 1 3 4*")</f>
        <v>293391.13</v>
      </c>
      <c r="G1293" s="28">
        <f>SUMIFS(G1294:G1509,K1294:K1509,"0",B1294:B1509,"5 1 3 4*")</f>
        <v>0</v>
      </c>
      <c r="H1293" s="28">
        <f t="shared" si="24"/>
        <v>293391.13</v>
      </c>
      <c r="I1293" s="28"/>
      <c r="K1293" t="s">
        <v>15</v>
      </c>
    </row>
    <row r="1294" spans="2:11" ht="13" x14ac:dyDescent="0.15">
      <c r="B1294" s="27" t="s">
        <v>1655</v>
      </c>
      <c r="C1294" s="27" t="s">
        <v>1656</v>
      </c>
      <c r="D1294" s="28">
        <f>SUMIFS(D1295:D1509,K1295:K1509,"0",B1295:B1509,"5 1 3 4 7*")-SUMIFS(E1295:E1509,K1295:K1509,"0",B1295:B1509,"5 1 3 4 7*")</f>
        <v>0</v>
      </c>
      <c r="E1294" s="29"/>
      <c r="F1294" s="28">
        <f>SUMIFS(F1295:F1509,K1295:K1509,"0",B1295:B1509,"5 1 3 4 7*")</f>
        <v>293391.13</v>
      </c>
      <c r="G1294" s="28">
        <f>SUMIFS(G1295:G1509,K1295:K1509,"0",B1295:B1509,"5 1 3 4 7*")</f>
        <v>0</v>
      </c>
      <c r="H1294" s="28">
        <f t="shared" si="24"/>
        <v>293391.13</v>
      </c>
      <c r="I1294" s="28"/>
      <c r="K1294" t="s">
        <v>15</v>
      </c>
    </row>
    <row r="1295" spans="2:11" ht="13" x14ac:dyDescent="0.15">
      <c r="B1295" s="27" t="s">
        <v>1657</v>
      </c>
      <c r="C1295" s="27" t="s">
        <v>26</v>
      </c>
      <c r="D1295" s="28">
        <f>SUMIFS(D1296:D1509,K1296:K1509,"0",B1296:B1509,"5 1 3 4 7 12*")-SUMIFS(E1296:E1509,K1296:K1509,"0",B1296:B1509,"5 1 3 4 7 12*")</f>
        <v>0</v>
      </c>
      <c r="E1295" s="29"/>
      <c r="F1295" s="28">
        <f>SUMIFS(F1296:F1509,K1296:K1509,"0",B1296:B1509,"5 1 3 4 7 12*")</f>
        <v>293391.13</v>
      </c>
      <c r="G1295" s="28">
        <f>SUMIFS(G1296:G1509,K1296:K1509,"0",B1296:B1509,"5 1 3 4 7 12*")</f>
        <v>0</v>
      </c>
      <c r="H1295" s="28">
        <f t="shared" si="24"/>
        <v>293391.13</v>
      </c>
      <c r="I1295" s="28"/>
      <c r="K1295" t="s">
        <v>15</v>
      </c>
    </row>
    <row r="1296" spans="2:11" ht="13" x14ac:dyDescent="0.15">
      <c r="B1296" s="27" t="s">
        <v>1658</v>
      </c>
      <c r="C1296" s="27" t="s">
        <v>28</v>
      </c>
      <c r="D1296" s="28">
        <f>SUMIFS(D1297:D1509,K1297:K1509,"0",B1297:B1509,"5 1 3 4 7 12 31111*")-SUMIFS(E1297:E1509,K1297:K1509,"0",B1297:B1509,"5 1 3 4 7 12 31111*")</f>
        <v>0</v>
      </c>
      <c r="E1296" s="29"/>
      <c r="F1296" s="28">
        <f>SUMIFS(F1297:F1509,K1297:K1509,"0",B1297:B1509,"5 1 3 4 7 12 31111*")</f>
        <v>293391.13</v>
      </c>
      <c r="G1296" s="28">
        <f>SUMIFS(G1297:G1509,K1297:K1509,"0",B1297:B1509,"5 1 3 4 7 12 31111*")</f>
        <v>0</v>
      </c>
      <c r="H1296" s="28">
        <f t="shared" si="24"/>
        <v>293391.13</v>
      </c>
      <c r="I1296" s="28"/>
      <c r="K1296" t="s">
        <v>15</v>
      </c>
    </row>
    <row r="1297" spans="2:11" ht="13" x14ac:dyDescent="0.15">
      <c r="B1297" s="27" t="s">
        <v>1659</v>
      </c>
      <c r="C1297" s="27" t="s">
        <v>30</v>
      </c>
      <c r="D1297" s="28">
        <f>SUMIFS(D1298:D1509,K1298:K1509,"0",B1298:B1509,"5 1 3 4 7 12 31111 6*")-SUMIFS(E1298:E1509,K1298:K1509,"0",B1298:B1509,"5 1 3 4 7 12 31111 6*")</f>
        <v>0</v>
      </c>
      <c r="E1297" s="29"/>
      <c r="F1297" s="28">
        <f>SUMIFS(F1298:F1509,K1298:K1509,"0",B1298:B1509,"5 1 3 4 7 12 31111 6*")</f>
        <v>293391.13</v>
      </c>
      <c r="G1297" s="28">
        <f>SUMIFS(G1298:G1509,K1298:K1509,"0",B1298:B1509,"5 1 3 4 7 12 31111 6*")</f>
        <v>0</v>
      </c>
      <c r="H1297" s="28">
        <f t="shared" si="24"/>
        <v>293391.13</v>
      </c>
      <c r="I1297" s="28"/>
      <c r="K1297" t="s">
        <v>15</v>
      </c>
    </row>
    <row r="1298" spans="2:11" ht="13" x14ac:dyDescent="0.15">
      <c r="B1298" s="27" t="s">
        <v>1660</v>
      </c>
      <c r="C1298" s="27" t="s">
        <v>733</v>
      </c>
      <c r="D1298" s="28">
        <f>SUMIFS(D1299:D1509,K1299:K1509,"0",B1299:B1509,"5 1 3 4 7 12 31111 6 M78*")-SUMIFS(E1299:E1509,K1299:K1509,"0",B1299:B1509,"5 1 3 4 7 12 31111 6 M78*")</f>
        <v>0</v>
      </c>
      <c r="E1298" s="29"/>
      <c r="F1298" s="28">
        <f>SUMIFS(F1299:F1509,K1299:K1509,"0",B1299:B1509,"5 1 3 4 7 12 31111 6 M78*")</f>
        <v>293391.13</v>
      </c>
      <c r="G1298" s="28">
        <f>SUMIFS(G1299:G1509,K1299:K1509,"0",B1299:B1509,"5 1 3 4 7 12 31111 6 M78*")</f>
        <v>0</v>
      </c>
      <c r="H1298" s="28">
        <f t="shared" si="24"/>
        <v>293391.13</v>
      </c>
      <c r="I1298" s="28"/>
      <c r="K1298" t="s">
        <v>15</v>
      </c>
    </row>
    <row r="1299" spans="2:11" ht="13" x14ac:dyDescent="0.15">
      <c r="B1299" s="27" t="s">
        <v>1661</v>
      </c>
      <c r="C1299" s="27" t="s">
        <v>8</v>
      </c>
      <c r="D1299" s="28">
        <f>SUMIFS(D1300:D1509,K1300:K1509,"0",B1300:B1509,"5 1 3 4 7 12 31111 6 M78 07000*")-SUMIFS(E1300:E1509,K1300:K1509,"0",B1300:B1509,"5 1 3 4 7 12 31111 6 M78 07000*")</f>
        <v>0</v>
      </c>
      <c r="E1299" s="29"/>
      <c r="F1299" s="28">
        <f>SUMIFS(F1300:F1509,K1300:K1509,"0",B1300:B1509,"5 1 3 4 7 12 31111 6 M78 07000*")</f>
        <v>293391.13</v>
      </c>
      <c r="G1299" s="28">
        <f>SUMIFS(G1300:G1509,K1300:K1509,"0",B1300:B1509,"5 1 3 4 7 12 31111 6 M78 07000*")</f>
        <v>0</v>
      </c>
      <c r="H1299" s="28">
        <f t="shared" si="24"/>
        <v>293391.13</v>
      </c>
      <c r="I1299" s="28"/>
      <c r="K1299" t="s">
        <v>15</v>
      </c>
    </row>
    <row r="1300" spans="2:11" ht="13" x14ac:dyDescent="0.15">
      <c r="B1300" s="27" t="s">
        <v>1662</v>
      </c>
      <c r="C1300" s="27" t="s">
        <v>168</v>
      </c>
      <c r="D1300" s="28">
        <f>SUMIFS(D1301:D1509,K1301:K1509,"0",B1301:B1509,"5 1 3 4 7 12 31111 6 M78 07000 151*")-SUMIFS(E1301:E1509,K1301:K1509,"0",B1301:B1509,"5 1 3 4 7 12 31111 6 M78 07000 151*")</f>
        <v>0</v>
      </c>
      <c r="E1300" s="29"/>
      <c r="F1300" s="28">
        <f>SUMIFS(F1301:F1509,K1301:K1509,"0",B1301:B1509,"5 1 3 4 7 12 31111 6 M78 07000 151*")</f>
        <v>293391.13</v>
      </c>
      <c r="G1300" s="28">
        <f>SUMIFS(G1301:G1509,K1301:K1509,"0",B1301:B1509,"5 1 3 4 7 12 31111 6 M78 07000 151*")</f>
        <v>0</v>
      </c>
      <c r="H1300" s="28">
        <f t="shared" si="24"/>
        <v>293391.13</v>
      </c>
      <c r="I1300" s="28"/>
      <c r="K1300" t="s">
        <v>15</v>
      </c>
    </row>
    <row r="1301" spans="2:11" ht="13" x14ac:dyDescent="0.15">
      <c r="B1301" s="27" t="s">
        <v>1663</v>
      </c>
      <c r="C1301" s="27" t="s">
        <v>170</v>
      </c>
      <c r="D1301" s="28">
        <f>SUMIFS(D1302:D1509,K1302:K1509,"0",B1302:B1509,"5 1 3 4 7 12 31111 6 M78 07000 151 00C*")-SUMIFS(E1302:E1509,K1302:K1509,"0",B1302:B1509,"5 1 3 4 7 12 31111 6 M78 07000 151 00C*")</f>
        <v>0</v>
      </c>
      <c r="E1301" s="29"/>
      <c r="F1301" s="28">
        <f>SUMIFS(F1302:F1509,K1302:K1509,"0",B1302:B1509,"5 1 3 4 7 12 31111 6 M78 07000 151 00C*")</f>
        <v>293391.13</v>
      </c>
      <c r="G1301" s="28">
        <f>SUMIFS(G1302:G1509,K1302:K1509,"0",B1302:B1509,"5 1 3 4 7 12 31111 6 M78 07000 151 00C*")</f>
        <v>0</v>
      </c>
      <c r="H1301" s="28">
        <f t="shared" si="24"/>
        <v>293391.13</v>
      </c>
      <c r="I1301" s="28"/>
      <c r="K1301" t="s">
        <v>15</v>
      </c>
    </row>
    <row r="1302" spans="2:11" ht="22" x14ac:dyDescent="0.15">
      <c r="B1302" s="27" t="s">
        <v>1664</v>
      </c>
      <c r="C1302" s="27" t="s">
        <v>9</v>
      </c>
      <c r="D1302" s="28">
        <f>SUMIFS(D1303:D1509,K1303:K1509,"0",B1303:B1509,"5 1 3 4 7 12 31111 6 M78 07000 151 00C 001*")-SUMIFS(E1303:E1509,K1303:K1509,"0",B1303:B1509,"5 1 3 4 7 12 31111 6 M78 07000 151 00C 001*")</f>
        <v>0</v>
      </c>
      <c r="E1302" s="29"/>
      <c r="F1302" s="28">
        <f>SUMIFS(F1303:F1509,K1303:K1509,"0",B1303:B1509,"5 1 3 4 7 12 31111 6 M78 07000 151 00C 001*")</f>
        <v>293391.13</v>
      </c>
      <c r="G1302" s="28">
        <f>SUMIFS(G1303:G1509,K1303:K1509,"0",B1303:B1509,"5 1 3 4 7 12 31111 6 M78 07000 151 00C 001*")</f>
        <v>0</v>
      </c>
      <c r="H1302" s="28">
        <f t="shared" si="24"/>
        <v>293391.13</v>
      </c>
      <c r="I1302" s="28"/>
      <c r="K1302" t="s">
        <v>15</v>
      </c>
    </row>
    <row r="1303" spans="2:11" ht="22" x14ac:dyDescent="0.15">
      <c r="B1303" s="27" t="s">
        <v>1665</v>
      </c>
      <c r="C1303" s="27" t="s">
        <v>1666</v>
      </c>
      <c r="D1303" s="28">
        <f>SUMIFS(D1304:D1509,K1304:K1509,"0",B1304:B1509,"5 1 3 4 7 12 31111 6 M78 07000 151 00C 001 34701*")-SUMIFS(E1304:E1509,K1304:K1509,"0",B1304:B1509,"5 1 3 4 7 12 31111 6 M78 07000 151 00C 001 34701*")</f>
        <v>0</v>
      </c>
      <c r="E1303" s="29"/>
      <c r="F1303" s="28">
        <f>SUMIFS(F1304:F1509,K1304:K1509,"0",B1304:B1509,"5 1 3 4 7 12 31111 6 M78 07000 151 00C 001 34701*")</f>
        <v>293391.13</v>
      </c>
      <c r="G1303" s="28">
        <f>SUMIFS(G1304:G1509,K1304:K1509,"0",B1304:B1509,"5 1 3 4 7 12 31111 6 M78 07000 151 00C 001 34701*")</f>
        <v>0</v>
      </c>
      <c r="H1303" s="28">
        <f t="shared" si="24"/>
        <v>293391.13</v>
      </c>
      <c r="I1303" s="28"/>
      <c r="K1303" t="s">
        <v>15</v>
      </c>
    </row>
    <row r="1304" spans="2:11" ht="22" x14ac:dyDescent="0.15">
      <c r="B1304" s="27" t="s">
        <v>1667</v>
      </c>
      <c r="C1304" s="27" t="s">
        <v>176</v>
      </c>
      <c r="D1304" s="28">
        <f>SUMIFS(D1305:D1509,K1305:K1509,"0",B1305:B1509,"5 1 3 4 7 12 31111 6 M78 07000 151 00C 001 34701 015*")-SUMIFS(E1305:E1509,K1305:K1509,"0",B1305:B1509,"5 1 3 4 7 12 31111 6 M78 07000 151 00C 001 34701 015*")</f>
        <v>0</v>
      </c>
      <c r="E1304" s="29"/>
      <c r="F1304" s="28">
        <f>SUMIFS(F1305:F1509,K1305:K1509,"0",B1305:B1509,"5 1 3 4 7 12 31111 6 M78 07000 151 00C 001 34701 015*")</f>
        <v>293391.13</v>
      </c>
      <c r="G1304" s="28">
        <f>SUMIFS(G1305:G1509,K1305:K1509,"0",B1305:B1509,"5 1 3 4 7 12 31111 6 M78 07000 151 00C 001 34701 015*")</f>
        <v>0</v>
      </c>
      <c r="H1304" s="28">
        <f t="shared" si="24"/>
        <v>293391.13</v>
      </c>
      <c r="I1304" s="28"/>
      <c r="K1304" t="s">
        <v>15</v>
      </c>
    </row>
    <row r="1305" spans="2:11" ht="22" x14ac:dyDescent="0.15">
      <c r="B1305" s="27" t="s">
        <v>1668</v>
      </c>
      <c r="C1305" s="27" t="s">
        <v>178</v>
      </c>
      <c r="D1305" s="28">
        <f>SUMIFS(D1306:D1509,K1306:K1509,"0",B1306:B1509,"5 1 3 4 7 12 31111 6 M78 07000 151 00C 001 34701 015 2112000*")-SUMIFS(E1306:E1509,K1306:K1509,"0",B1306:B1509,"5 1 3 4 7 12 31111 6 M78 07000 151 00C 001 34701 015 2112000*")</f>
        <v>0</v>
      </c>
      <c r="E1305" s="29"/>
      <c r="F1305" s="28">
        <f>SUMIFS(F1306:F1509,K1306:K1509,"0",B1306:B1509,"5 1 3 4 7 12 31111 6 M78 07000 151 00C 001 34701 015 2112000*")</f>
        <v>293391.13</v>
      </c>
      <c r="G1305" s="28">
        <f>SUMIFS(G1306:G1509,K1306:K1509,"0",B1306:B1509,"5 1 3 4 7 12 31111 6 M78 07000 151 00C 001 34701 015 2112000*")</f>
        <v>0</v>
      </c>
      <c r="H1305" s="28">
        <f t="shared" si="24"/>
        <v>293391.13</v>
      </c>
      <c r="I1305" s="28"/>
      <c r="K1305" t="s">
        <v>15</v>
      </c>
    </row>
    <row r="1306" spans="2:11" ht="22" x14ac:dyDescent="0.15">
      <c r="B1306" s="27" t="s">
        <v>1669</v>
      </c>
      <c r="C1306" s="27" t="s">
        <v>248</v>
      </c>
      <c r="D1306" s="28">
        <f>SUMIFS(D1307:D1509,K1307:K1509,"0",B1307:B1509,"5 1 3 4 7 12 31111 6 M78 07000 151 00C 001 34701 015 2112000 2024*")-SUMIFS(E1307:E1509,K1307:K1509,"0",B1307:B1509,"5 1 3 4 7 12 31111 6 M78 07000 151 00C 001 34701 015 2112000 2024*")</f>
        <v>0</v>
      </c>
      <c r="E1306" s="29"/>
      <c r="F1306" s="28">
        <f>SUMIFS(F1307:F1509,K1307:K1509,"0",B1307:B1509,"5 1 3 4 7 12 31111 6 M78 07000 151 00C 001 34701 015 2112000 2024*")</f>
        <v>293391.13</v>
      </c>
      <c r="G1306" s="28">
        <f>SUMIFS(G1307:G1509,K1307:K1509,"0",B1307:B1509,"5 1 3 4 7 12 31111 6 M78 07000 151 00C 001 34701 015 2112000 2024*")</f>
        <v>0</v>
      </c>
      <c r="H1306" s="28">
        <f t="shared" si="24"/>
        <v>293391.13</v>
      </c>
      <c r="I1306" s="28"/>
      <c r="K1306" t="s">
        <v>15</v>
      </c>
    </row>
    <row r="1307" spans="2:11" ht="22" x14ac:dyDescent="0.15">
      <c r="B1307" s="27" t="s">
        <v>1670</v>
      </c>
      <c r="C1307" s="27" t="s">
        <v>182</v>
      </c>
      <c r="D1307" s="28">
        <f>SUMIFS(D1308:D1509,K1308:K1509,"0",B1308:B1509,"5 1 3 4 7 12 31111 6 M78 07000 151 00C 001 34701 015 2112000 2024 00000000*")-SUMIFS(E1308:E1509,K1308:K1509,"0",B1308:B1509,"5 1 3 4 7 12 31111 6 M78 07000 151 00C 001 34701 015 2112000 2024 00000000*")</f>
        <v>0</v>
      </c>
      <c r="E1307" s="29"/>
      <c r="F1307" s="28">
        <f>SUMIFS(F1308:F1509,K1308:K1509,"0",B1308:B1509,"5 1 3 4 7 12 31111 6 M78 07000 151 00C 001 34701 015 2112000 2024 00000000*")</f>
        <v>293391.13</v>
      </c>
      <c r="G1307" s="28">
        <f>SUMIFS(G1308:G1509,K1308:K1509,"0",B1308:B1509,"5 1 3 4 7 12 31111 6 M78 07000 151 00C 001 34701 015 2112000 2024 00000000*")</f>
        <v>0</v>
      </c>
      <c r="H1307" s="28">
        <f t="shared" si="24"/>
        <v>293391.13</v>
      </c>
      <c r="I1307" s="28"/>
      <c r="K1307" t="s">
        <v>15</v>
      </c>
    </row>
    <row r="1308" spans="2:11" ht="33" x14ac:dyDescent="0.15">
      <c r="B1308" s="27" t="s">
        <v>1671</v>
      </c>
      <c r="C1308" s="27" t="s">
        <v>9</v>
      </c>
      <c r="D1308" s="28">
        <f>SUMIFS(D1309:D1509,K1309:K1509,"0",B1309:B1509,"5 1 3 4 7 12 31111 6 M78 07000 151 00C 001 34701 015 2112000 2024 00000000 001*")-SUMIFS(E1309:E1509,K1309:K1509,"0",B1309:B1509,"5 1 3 4 7 12 31111 6 M78 07000 151 00C 001 34701 015 2112000 2024 00000000 001*")</f>
        <v>0</v>
      </c>
      <c r="E1308" s="29"/>
      <c r="F1308" s="28">
        <f>SUMIFS(F1309:F1509,K1309:K1509,"0",B1309:B1509,"5 1 3 4 7 12 31111 6 M78 07000 151 00C 001 34701 015 2112000 2024 00000000 001*")</f>
        <v>293391.13</v>
      </c>
      <c r="G1308" s="28">
        <f>SUMIFS(G1309:G1509,K1309:K1509,"0",B1309:B1509,"5 1 3 4 7 12 31111 6 M78 07000 151 00C 001 34701 015 2112000 2024 00000000 001*")</f>
        <v>0</v>
      </c>
      <c r="H1308" s="28">
        <f t="shared" si="24"/>
        <v>293391.13</v>
      </c>
      <c r="I1308" s="28"/>
      <c r="K1308" t="s">
        <v>15</v>
      </c>
    </row>
    <row r="1309" spans="2:11" ht="33" x14ac:dyDescent="0.15">
      <c r="B1309" s="30" t="s">
        <v>1672</v>
      </c>
      <c r="C1309" s="30" t="s">
        <v>1666</v>
      </c>
      <c r="D1309" s="31">
        <v>0</v>
      </c>
      <c r="E1309" s="31"/>
      <c r="F1309" s="31">
        <v>293391.13</v>
      </c>
      <c r="G1309" s="31">
        <v>0</v>
      </c>
      <c r="H1309" s="31">
        <f t="shared" si="24"/>
        <v>293391.13</v>
      </c>
      <c r="I1309" s="31"/>
      <c r="K1309" t="s">
        <v>38</v>
      </c>
    </row>
    <row r="1310" spans="2:11" ht="22" x14ac:dyDescent="0.15">
      <c r="B1310" s="27" t="s">
        <v>1673</v>
      </c>
      <c r="C1310" s="27" t="s">
        <v>1674</v>
      </c>
      <c r="D1310" s="28">
        <f>SUMIFS(D1311:D1509,K1311:K1509,"0",B1311:B1509,"5 1 3 5*")-SUMIFS(E1311:E1509,K1311:K1509,"0",B1311:B1509,"5 1 3 5*")</f>
        <v>0</v>
      </c>
      <c r="E1310" s="29"/>
      <c r="F1310" s="28">
        <f>SUMIFS(F1311:F1509,K1311:K1509,"0",B1311:B1509,"5 1 3 5*")</f>
        <v>695306</v>
      </c>
      <c r="G1310" s="28">
        <f>SUMIFS(G1311:G1509,K1311:K1509,"0",B1311:B1509,"5 1 3 5*")</f>
        <v>0</v>
      </c>
      <c r="H1310" s="28">
        <f t="shared" si="24"/>
        <v>695306</v>
      </c>
      <c r="I1310" s="28"/>
      <c r="K1310" t="s">
        <v>15</v>
      </c>
    </row>
    <row r="1311" spans="2:11" ht="13" x14ac:dyDescent="0.15">
      <c r="B1311" s="27" t="s">
        <v>1675</v>
      </c>
      <c r="C1311" s="27" t="s">
        <v>1676</v>
      </c>
      <c r="D1311" s="28">
        <f>SUMIFS(D1312:D1509,K1312:K1509,"0",B1312:B1509,"5 1 3 5 1*")-SUMIFS(E1312:E1509,K1312:K1509,"0",B1312:B1509,"5 1 3 5 1*")</f>
        <v>0</v>
      </c>
      <c r="E1311" s="29"/>
      <c r="F1311" s="28">
        <f>SUMIFS(F1312:F1509,K1312:K1509,"0",B1312:B1509,"5 1 3 5 1*")</f>
        <v>20625</v>
      </c>
      <c r="G1311" s="28">
        <f>SUMIFS(G1312:G1509,K1312:K1509,"0",B1312:B1509,"5 1 3 5 1*")</f>
        <v>0</v>
      </c>
      <c r="H1311" s="28">
        <f t="shared" si="24"/>
        <v>20625</v>
      </c>
      <c r="I1311" s="28"/>
      <c r="K1311" t="s">
        <v>15</v>
      </c>
    </row>
    <row r="1312" spans="2:11" ht="13" x14ac:dyDescent="0.15">
      <c r="B1312" s="27" t="s">
        <v>1677</v>
      </c>
      <c r="C1312" s="27" t="s">
        <v>26</v>
      </c>
      <c r="D1312" s="28">
        <f>SUMIFS(D1313:D1509,K1313:K1509,"0",B1313:B1509,"5 1 3 5 1 12*")-SUMIFS(E1313:E1509,K1313:K1509,"0",B1313:B1509,"5 1 3 5 1 12*")</f>
        <v>0</v>
      </c>
      <c r="E1312" s="29"/>
      <c r="F1312" s="28">
        <f>SUMIFS(F1313:F1509,K1313:K1509,"0",B1313:B1509,"5 1 3 5 1 12*")</f>
        <v>20625</v>
      </c>
      <c r="G1312" s="28">
        <f>SUMIFS(G1313:G1509,K1313:K1509,"0",B1313:B1509,"5 1 3 5 1 12*")</f>
        <v>0</v>
      </c>
      <c r="H1312" s="28">
        <f t="shared" ref="H1312:H1375" si="25">D1312 + F1312 - G1312</f>
        <v>20625</v>
      </c>
      <c r="I1312" s="28"/>
      <c r="K1312" t="s">
        <v>15</v>
      </c>
    </row>
    <row r="1313" spans="2:11" ht="13" x14ac:dyDescent="0.15">
      <c r="B1313" s="27" t="s">
        <v>1678</v>
      </c>
      <c r="C1313" s="27" t="s">
        <v>28</v>
      </c>
      <c r="D1313" s="28">
        <f>SUMIFS(D1314:D1509,K1314:K1509,"0",B1314:B1509,"5 1 3 5 1 12 31111*")-SUMIFS(E1314:E1509,K1314:K1509,"0",B1314:B1509,"5 1 3 5 1 12 31111*")</f>
        <v>0</v>
      </c>
      <c r="E1313" s="29"/>
      <c r="F1313" s="28">
        <f>SUMIFS(F1314:F1509,K1314:K1509,"0",B1314:B1509,"5 1 3 5 1 12 31111*")</f>
        <v>20625</v>
      </c>
      <c r="G1313" s="28">
        <f>SUMIFS(G1314:G1509,K1314:K1509,"0",B1314:B1509,"5 1 3 5 1 12 31111*")</f>
        <v>0</v>
      </c>
      <c r="H1313" s="28">
        <f t="shared" si="25"/>
        <v>20625</v>
      </c>
      <c r="I1313" s="28"/>
      <c r="K1313" t="s">
        <v>15</v>
      </c>
    </row>
    <row r="1314" spans="2:11" ht="13" x14ac:dyDescent="0.15">
      <c r="B1314" s="27" t="s">
        <v>1679</v>
      </c>
      <c r="C1314" s="27" t="s">
        <v>30</v>
      </c>
      <c r="D1314" s="28">
        <f>SUMIFS(D1315:D1509,K1315:K1509,"0",B1315:B1509,"5 1 3 5 1 12 31111 6*")-SUMIFS(E1315:E1509,K1315:K1509,"0",B1315:B1509,"5 1 3 5 1 12 31111 6*")</f>
        <v>0</v>
      </c>
      <c r="E1314" s="29"/>
      <c r="F1314" s="28">
        <f>SUMIFS(F1315:F1509,K1315:K1509,"0",B1315:B1509,"5 1 3 5 1 12 31111 6*")</f>
        <v>20625</v>
      </c>
      <c r="G1314" s="28">
        <f>SUMIFS(G1315:G1509,K1315:K1509,"0",B1315:B1509,"5 1 3 5 1 12 31111 6*")</f>
        <v>0</v>
      </c>
      <c r="H1314" s="28">
        <f t="shared" si="25"/>
        <v>20625</v>
      </c>
      <c r="I1314" s="28"/>
      <c r="K1314" t="s">
        <v>15</v>
      </c>
    </row>
    <row r="1315" spans="2:11" ht="13" x14ac:dyDescent="0.15">
      <c r="B1315" s="27" t="s">
        <v>1680</v>
      </c>
      <c r="C1315" s="27" t="s">
        <v>733</v>
      </c>
      <c r="D1315" s="28">
        <f>SUMIFS(D1316:D1509,K1316:K1509,"0",B1316:B1509,"5 1 3 5 1 12 31111 6 M78*")-SUMIFS(E1316:E1509,K1316:K1509,"0",B1316:B1509,"5 1 3 5 1 12 31111 6 M78*")</f>
        <v>0</v>
      </c>
      <c r="E1315" s="29"/>
      <c r="F1315" s="28">
        <f>SUMIFS(F1316:F1509,K1316:K1509,"0",B1316:B1509,"5 1 3 5 1 12 31111 6 M78*")</f>
        <v>20625</v>
      </c>
      <c r="G1315" s="28">
        <f>SUMIFS(G1316:G1509,K1316:K1509,"0",B1316:B1509,"5 1 3 5 1 12 31111 6 M78*")</f>
        <v>0</v>
      </c>
      <c r="H1315" s="28">
        <f t="shared" si="25"/>
        <v>20625</v>
      </c>
      <c r="I1315" s="28"/>
      <c r="K1315" t="s">
        <v>15</v>
      </c>
    </row>
    <row r="1316" spans="2:11" ht="13" x14ac:dyDescent="0.15">
      <c r="B1316" s="27" t="s">
        <v>1681</v>
      </c>
      <c r="C1316" s="27" t="s">
        <v>8</v>
      </c>
      <c r="D1316" s="28">
        <f>SUMIFS(D1317:D1509,K1317:K1509,"0",B1317:B1509,"5 1 3 5 1 12 31111 6 M78 07000*")-SUMIFS(E1317:E1509,K1317:K1509,"0",B1317:B1509,"5 1 3 5 1 12 31111 6 M78 07000*")</f>
        <v>0</v>
      </c>
      <c r="E1316" s="29"/>
      <c r="F1316" s="28">
        <f>SUMIFS(F1317:F1509,K1317:K1509,"0",B1317:B1509,"5 1 3 5 1 12 31111 6 M78 07000*")</f>
        <v>20625</v>
      </c>
      <c r="G1316" s="28">
        <f>SUMIFS(G1317:G1509,K1317:K1509,"0",B1317:B1509,"5 1 3 5 1 12 31111 6 M78 07000*")</f>
        <v>0</v>
      </c>
      <c r="H1316" s="28">
        <f t="shared" si="25"/>
        <v>20625</v>
      </c>
      <c r="I1316" s="28"/>
      <c r="K1316" t="s">
        <v>15</v>
      </c>
    </row>
    <row r="1317" spans="2:11" ht="13" x14ac:dyDescent="0.15">
      <c r="B1317" s="27" t="s">
        <v>1682</v>
      </c>
      <c r="C1317" s="27" t="s">
        <v>168</v>
      </c>
      <c r="D1317" s="28">
        <f>SUMIFS(D1318:D1509,K1318:K1509,"0",B1318:B1509,"5 1 3 5 1 12 31111 6 M78 07000 151*")-SUMIFS(E1318:E1509,K1318:K1509,"0",B1318:B1509,"5 1 3 5 1 12 31111 6 M78 07000 151*")</f>
        <v>0</v>
      </c>
      <c r="E1317" s="29"/>
      <c r="F1317" s="28">
        <f>SUMIFS(F1318:F1509,K1318:K1509,"0",B1318:B1509,"5 1 3 5 1 12 31111 6 M78 07000 151*")</f>
        <v>20625</v>
      </c>
      <c r="G1317" s="28">
        <f>SUMIFS(G1318:G1509,K1318:K1509,"0",B1318:B1509,"5 1 3 5 1 12 31111 6 M78 07000 151*")</f>
        <v>0</v>
      </c>
      <c r="H1317" s="28">
        <f t="shared" si="25"/>
        <v>20625</v>
      </c>
      <c r="I1317" s="28"/>
      <c r="K1317" t="s">
        <v>15</v>
      </c>
    </row>
    <row r="1318" spans="2:11" ht="13" x14ac:dyDescent="0.15">
      <c r="B1318" s="27" t="s">
        <v>1683</v>
      </c>
      <c r="C1318" s="27" t="s">
        <v>170</v>
      </c>
      <c r="D1318" s="28">
        <f>SUMIFS(D1319:D1509,K1319:K1509,"0",B1319:B1509,"5 1 3 5 1 12 31111 6 M78 07000 151 00C*")-SUMIFS(E1319:E1509,K1319:K1509,"0",B1319:B1509,"5 1 3 5 1 12 31111 6 M78 07000 151 00C*")</f>
        <v>0</v>
      </c>
      <c r="E1318" s="29"/>
      <c r="F1318" s="28">
        <f>SUMIFS(F1319:F1509,K1319:K1509,"0",B1319:B1509,"5 1 3 5 1 12 31111 6 M78 07000 151 00C*")</f>
        <v>20625</v>
      </c>
      <c r="G1318" s="28">
        <f>SUMIFS(G1319:G1509,K1319:K1509,"0",B1319:B1509,"5 1 3 5 1 12 31111 6 M78 07000 151 00C*")</f>
        <v>0</v>
      </c>
      <c r="H1318" s="28">
        <f t="shared" si="25"/>
        <v>20625</v>
      </c>
      <c r="I1318" s="28"/>
      <c r="K1318" t="s">
        <v>15</v>
      </c>
    </row>
    <row r="1319" spans="2:11" ht="22" x14ac:dyDescent="0.15">
      <c r="B1319" s="27" t="s">
        <v>1684</v>
      </c>
      <c r="C1319" s="27" t="s">
        <v>9</v>
      </c>
      <c r="D1319" s="28">
        <f>SUMIFS(D1320:D1509,K1320:K1509,"0",B1320:B1509,"5 1 3 5 1 12 31111 6 M78 07000 151 00C 001*")-SUMIFS(E1320:E1509,K1320:K1509,"0",B1320:B1509,"5 1 3 5 1 12 31111 6 M78 07000 151 00C 001*")</f>
        <v>0</v>
      </c>
      <c r="E1319" s="29"/>
      <c r="F1319" s="28">
        <f>SUMIFS(F1320:F1509,K1320:K1509,"0",B1320:B1509,"5 1 3 5 1 12 31111 6 M78 07000 151 00C 001*")</f>
        <v>20625</v>
      </c>
      <c r="G1319" s="28">
        <f>SUMIFS(G1320:G1509,K1320:K1509,"0",B1320:B1509,"5 1 3 5 1 12 31111 6 M78 07000 151 00C 001*")</f>
        <v>0</v>
      </c>
      <c r="H1319" s="28">
        <f t="shared" si="25"/>
        <v>20625</v>
      </c>
      <c r="I1319" s="28"/>
      <c r="K1319" t="s">
        <v>15</v>
      </c>
    </row>
    <row r="1320" spans="2:11" ht="22" x14ac:dyDescent="0.15">
      <c r="B1320" s="27" t="s">
        <v>1685</v>
      </c>
      <c r="C1320" s="27" t="s">
        <v>1686</v>
      </c>
      <c r="D1320" s="28">
        <f>SUMIFS(D1321:D1509,K1321:K1509,"0",B1321:B1509,"5 1 3 5 1 12 31111 6 M78 07000 151 00C 001 35102*")-SUMIFS(E1321:E1509,K1321:K1509,"0",B1321:B1509,"5 1 3 5 1 12 31111 6 M78 07000 151 00C 001 35102*")</f>
        <v>0</v>
      </c>
      <c r="E1320" s="29"/>
      <c r="F1320" s="28">
        <f>SUMIFS(F1321:F1509,K1321:K1509,"0",B1321:B1509,"5 1 3 5 1 12 31111 6 M78 07000 151 00C 001 35102*")</f>
        <v>20625</v>
      </c>
      <c r="G1320" s="28">
        <f>SUMIFS(G1321:G1509,K1321:K1509,"0",B1321:B1509,"5 1 3 5 1 12 31111 6 M78 07000 151 00C 001 35102*")</f>
        <v>0</v>
      </c>
      <c r="H1320" s="28">
        <f t="shared" si="25"/>
        <v>20625</v>
      </c>
      <c r="I1320" s="28"/>
      <c r="K1320" t="s">
        <v>15</v>
      </c>
    </row>
    <row r="1321" spans="2:11" ht="22" x14ac:dyDescent="0.15">
      <c r="B1321" s="27" t="s">
        <v>1687</v>
      </c>
      <c r="C1321" s="27" t="s">
        <v>176</v>
      </c>
      <c r="D1321" s="28">
        <f>SUMIFS(D1322:D1509,K1322:K1509,"0",B1322:B1509,"5 1 3 5 1 12 31111 6 M78 07000 151 00C 001 35102 015*")-SUMIFS(E1322:E1509,K1322:K1509,"0",B1322:B1509,"5 1 3 5 1 12 31111 6 M78 07000 151 00C 001 35102 015*")</f>
        <v>0</v>
      </c>
      <c r="E1321" s="29"/>
      <c r="F1321" s="28">
        <f>SUMIFS(F1322:F1509,K1322:K1509,"0",B1322:B1509,"5 1 3 5 1 12 31111 6 M78 07000 151 00C 001 35102 015*")</f>
        <v>20625</v>
      </c>
      <c r="G1321" s="28">
        <f>SUMIFS(G1322:G1509,K1322:K1509,"0",B1322:B1509,"5 1 3 5 1 12 31111 6 M78 07000 151 00C 001 35102 015*")</f>
        <v>0</v>
      </c>
      <c r="H1321" s="28">
        <f t="shared" si="25"/>
        <v>20625</v>
      </c>
      <c r="I1321" s="28"/>
      <c r="K1321" t="s">
        <v>15</v>
      </c>
    </row>
    <row r="1322" spans="2:11" ht="22" x14ac:dyDescent="0.15">
      <c r="B1322" s="27" t="s">
        <v>1688</v>
      </c>
      <c r="C1322" s="27" t="s">
        <v>178</v>
      </c>
      <c r="D1322" s="28">
        <f>SUMIFS(D1323:D1509,K1323:K1509,"0",B1323:B1509,"5 1 3 5 1 12 31111 6 M78 07000 151 00C 001 35102 015 2112000*")-SUMIFS(E1323:E1509,K1323:K1509,"0",B1323:B1509,"5 1 3 5 1 12 31111 6 M78 07000 151 00C 001 35102 015 2112000*")</f>
        <v>0</v>
      </c>
      <c r="E1322" s="29"/>
      <c r="F1322" s="28">
        <f>SUMIFS(F1323:F1509,K1323:K1509,"0",B1323:B1509,"5 1 3 5 1 12 31111 6 M78 07000 151 00C 001 35102 015 2112000*")</f>
        <v>20625</v>
      </c>
      <c r="G1322" s="28">
        <f>SUMIFS(G1323:G1509,K1323:K1509,"0",B1323:B1509,"5 1 3 5 1 12 31111 6 M78 07000 151 00C 001 35102 015 2112000*")</f>
        <v>0</v>
      </c>
      <c r="H1322" s="28">
        <f t="shared" si="25"/>
        <v>20625</v>
      </c>
      <c r="I1322" s="28"/>
      <c r="K1322" t="s">
        <v>15</v>
      </c>
    </row>
    <row r="1323" spans="2:11" ht="22" x14ac:dyDescent="0.15">
      <c r="B1323" s="27" t="s">
        <v>1689</v>
      </c>
      <c r="C1323" s="27" t="s">
        <v>248</v>
      </c>
      <c r="D1323" s="28">
        <f>SUMIFS(D1324:D1509,K1324:K1509,"0",B1324:B1509,"5 1 3 5 1 12 31111 6 M78 07000 151 00C 001 35102 015 2112000 2024*")-SUMIFS(E1324:E1509,K1324:K1509,"0",B1324:B1509,"5 1 3 5 1 12 31111 6 M78 07000 151 00C 001 35102 015 2112000 2024*")</f>
        <v>0</v>
      </c>
      <c r="E1323" s="29"/>
      <c r="F1323" s="28">
        <f>SUMIFS(F1324:F1509,K1324:K1509,"0",B1324:B1509,"5 1 3 5 1 12 31111 6 M78 07000 151 00C 001 35102 015 2112000 2024*")</f>
        <v>20625</v>
      </c>
      <c r="G1323" s="28">
        <f>SUMIFS(G1324:G1509,K1324:K1509,"0",B1324:B1509,"5 1 3 5 1 12 31111 6 M78 07000 151 00C 001 35102 015 2112000 2024*")</f>
        <v>0</v>
      </c>
      <c r="H1323" s="28">
        <f t="shared" si="25"/>
        <v>20625</v>
      </c>
      <c r="I1323" s="28"/>
      <c r="K1323" t="s">
        <v>15</v>
      </c>
    </row>
    <row r="1324" spans="2:11" ht="22" x14ac:dyDescent="0.15">
      <c r="B1324" s="27" t="s">
        <v>1690</v>
      </c>
      <c r="C1324" s="27" t="s">
        <v>182</v>
      </c>
      <c r="D1324" s="28">
        <f>SUMIFS(D1325:D1509,K1325:K1509,"0",B1325:B1509,"5 1 3 5 1 12 31111 6 M78 07000 151 00C 001 35102 015 2112000 2024 00000000*")-SUMIFS(E1325:E1509,K1325:K1509,"0",B1325:B1509,"5 1 3 5 1 12 31111 6 M78 07000 151 00C 001 35102 015 2112000 2024 00000000*")</f>
        <v>0</v>
      </c>
      <c r="E1324" s="29"/>
      <c r="F1324" s="28">
        <f>SUMIFS(F1325:F1509,K1325:K1509,"0",B1325:B1509,"5 1 3 5 1 12 31111 6 M78 07000 151 00C 001 35102 015 2112000 2024 00000000*")</f>
        <v>20625</v>
      </c>
      <c r="G1324" s="28">
        <f>SUMIFS(G1325:G1509,K1325:K1509,"0",B1325:B1509,"5 1 3 5 1 12 31111 6 M78 07000 151 00C 001 35102 015 2112000 2024 00000000*")</f>
        <v>0</v>
      </c>
      <c r="H1324" s="28">
        <f t="shared" si="25"/>
        <v>20625</v>
      </c>
      <c r="I1324" s="28"/>
      <c r="K1324" t="s">
        <v>15</v>
      </c>
    </row>
    <row r="1325" spans="2:11" ht="33" x14ac:dyDescent="0.15">
      <c r="B1325" s="27" t="s">
        <v>1691</v>
      </c>
      <c r="C1325" s="27" t="s">
        <v>9</v>
      </c>
      <c r="D1325" s="28">
        <f>SUMIFS(D1326:D1509,K1326:K1509,"0",B1326:B1509,"5 1 3 5 1 12 31111 6 M78 07000 151 00C 001 35102 015 2112000 2024 00000000 001*")-SUMIFS(E1326:E1509,K1326:K1509,"0",B1326:B1509,"5 1 3 5 1 12 31111 6 M78 07000 151 00C 001 35102 015 2112000 2024 00000000 001*")</f>
        <v>0</v>
      </c>
      <c r="E1325" s="29"/>
      <c r="F1325" s="28">
        <f>SUMIFS(F1326:F1509,K1326:K1509,"0",B1326:B1509,"5 1 3 5 1 12 31111 6 M78 07000 151 00C 001 35102 015 2112000 2024 00000000 001*")</f>
        <v>20625</v>
      </c>
      <c r="G1325" s="28">
        <f>SUMIFS(G1326:G1509,K1326:K1509,"0",B1326:B1509,"5 1 3 5 1 12 31111 6 M78 07000 151 00C 001 35102 015 2112000 2024 00000000 001*")</f>
        <v>0</v>
      </c>
      <c r="H1325" s="28">
        <f t="shared" si="25"/>
        <v>20625</v>
      </c>
      <c r="I1325" s="28"/>
      <c r="K1325" t="s">
        <v>15</v>
      </c>
    </row>
    <row r="1326" spans="2:11" ht="33" x14ac:dyDescent="0.15">
      <c r="B1326" s="30" t="s">
        <v>1692</v>
      </c>
      <c r="C1326" s="30" t="s">
        <v>1693</v>
      </c>
      <c r="D1326" s="31">
        <v>0</v>
      </c>
      <c r="E1326" s="31"/>
      <c r="F1326" s="31">
        <v>20625</v>
      </c>
      <c r="G1326" s="31">
        <v>0</v>
      </c>
      <c r="H1326" s="31">
        <f t="shared" si="25"/>
        <v>20625</v>
      </c>
      <c r="I1326" s="31"/>
      <c r="K1326" t="s">
        <v>38</v>
      </c>
    </row>
    <row r="1327" spans="2:11" ht="22" x14ac:dyDescent="0.15">
      <c r="B1327" s="27" t="s">
        <v>1694</v>
      </c>
      <c r="C1327" s="27" t="s">
        <v>1695</v>
      </c>
      <c r="D1327" s="28">
        <f>SUMIFS(D1328:D1509,K1328:K1509,"0",B1328:B1509,"5 1 3 5 2*")-SUMIFS(E1328:E1509,K1328:K1509,"0",B1328:B1509,"5 1 3 5 2*")</f>
        <v>0</v>
      </c>
      <c r="E1327" s="29"/>
      <c r="F1327" s="28">
        <f>SUMIFS(F1328:F1509,K1328:K1509,"0",B1328:B1509,"5 1 3 5 2*")</f>
        <v>254570</v>
      </c>
      <c r="G1327" s="28">
        <f>SUMIFS(G1328:G1509,K1328:K1509,"0",B1328:B1509,"5 1 3 5 2*")</f>
        <v>0</v>
      </c>
      <c r="H1327" s="28">
        <f t="shared" si="25"/>
        <v>254570</v>
      </c>
      <c r="I1327" s="28"/>
      <c r="K1327" t="s">
        <v>15</v>
      </c>
    </row>
    <row r="1328" spans="2:11" ht="13" x14ac:dyDescent="0.15">
      <c r="B1328" s="27" t="s">
        <v>1696</v>
      </c>
      <c r="C1328" s="27" t="s">
        <v>26</v>
      </c>
      <c r="D1328" s="28">
        <f>SUMIFS(D1329:D1509,K1329:K1509,"0",B1329:B1509,"5 1 3 5 2 12*")-SUMIFS(E1329:E1509,K1329:K1509,"0",B1329:B1509,"5 1 3 5 2 12*")</f>
        <v>0</v>
      </c>
      <c r="E1328" s="29"/>
      <c r="F1328" s="28">
        <f>SUMIFS(F1329:F1509,K1329:K1509,"0",B1329:B1509,"5 1 3 5 2 12*")</f>
        <v>254570</v>
      </c>
      <c r="G1328" s="28">
        <f>SUMIFS(G1329:G1509,K1329:K1509,"0",B1329:B1509,"5 1 3 5 2 12*")</f>
        <v>0</v>
      </c>
      <c r="H1328" s="28">
        <f t="shared" si="25"/>
        <v>254570</v>
      </c>
      <c r="I1328" s="28"/>
      <c r="K1328" t="s">
        <v>15</v>
      </c>
    </row>
    <row r="1329" spans="2:11" ht="13" x14ac:dyDescent="0.15">
      <c r="B1329" s="27" t="s">
        <v>1697</v>
      </c>
      <c r="C1329" s="27" t="s">
        <v>28</v>
      </c>
      <c r="D1329" s="28">
        <f>SUMIFS(D1330:D1509,K1330:K1509,"0",B1330:B1509,"5 1 3 5 2 12 31111*")-SUMIFS(E1330:E1509,K1330:K1509,"0",B1330:B1509,"5 1 3 5 2 12 31111*")</f>
        <v>0</v>
      </c>
      <c r="E1329" s="29"/>
      <c r="F1329" s="28">
        <f>SUMIFS(F1330:F1509,K1330:K1509,"0",B1330:B1509,"5 1 3 5 2 12 31111*")</f>
        <v>254570</v>
      </c>
      <c r="G1329" s="28">
        <f>SUMIFS(G1330:G1509,K1330:K1509,"0",B1330:B1509,"5 1 3 5 2 12 31111*")</f>
        <v>0</v>
      </c>
      <c r="H1329" s="28">
        <f t="shared" si="25"/>
        <v>254570</v>
      </c>
      <c r="I1329" s="28"/>
      <c r="K1329" t="s">
        <v>15</v>
      </c>
    </row>
    <row r="1330" spans="2:11" ht="13" x14ac:dyDescent="0.15">
      <c r="B1330" s="27" t="s">
        <v>1698</v>
      </c>
      <c r="C1330" s="27" t="s">
        <v>30</v>
      </c>
      <c r="D1330" s="28">
        <f>SUMIFS(D1331:D1509,K1331:K1509,"0",B1331:B1509,"5 1 3 5 2 12 31111 6*")-SUMIFS(E1331:E1509,K1331:K1509,"0",B1331:B1509,"5 1 3 5 2 12 31111 6*")</f>
        <v>0</v>
      </c>
      <c r="E1330" s="29"/>
      <c r="F1330" s="28">
        <f>SUMIFS(F1331:F1509,K1331:K1509,"0",B1331:B1509,"5 1 3 5 2 12 31111 6*")</f>
        <v>254570</v>
      </c>
      <c r="G1330" s="28">
        <f>SUMIFS(G1331:G1509,K1331:K1509,"0",B1331:B1509,"5 1 3 5 2 12 31111 6*")</f>
        <v>0</v>
      </c>
      <c r="H1330" s="28">
        <f t="shared" si="25"/>
        <v>254570</v>
      </c>
      <c r="I1330" s="28"/>
      <c r="K1330" t="s">
        <v>15</v>
      </c>
    </row>
    <row r="1331" spans="2:11" ht="13" x14ac:dyDescent="0.15">
      <c r="B1331" s="27" t="s">
        <v>1699</v>
      </c>
      <c r="C1331" s="27" t="s">
        <v>733</v>
      </c>
      <c r="D1331" s="28">
        <f>SUMIFS(D1332:D1509,K1332:K1509,"0",B1332:B1509,"5 1 3 5 2 12 31111 6 M78*")-SUMIFS(E1332:E1509,K1332:K1509,"0",B1332:B1509,"5 1 3 5 2 12 31111 6 M78*")</f>
        <v>0</v>
      </c>
      <c r="E1331" s="29"/>
      <c r="F1331" s="28">
        <f>SUMIFS(F1332:F1509,K1332:K1509,"0",B1332:B1509,"5 1 3 5 2 12 31111 6 M78*")</f>
        <v>254570</v>
      </c>
      <c r="G1331" s="28">
        <f>SUMIFS(G1332:G1509,K1332:K1509,"0",B1332:B1509,"5 1 3 5 2 12 31111 6 M78*")</f>
        <v>0</v>
      </c>
      <c r="H1331" s="28">
        <f t="shared" si="25"/>
        <v>254570</v>
      </c>
      <c r="I1331" s="28"/>
      <c r="K1331" t="s">
        <v>15</v>
      </c>
    </row>
    <row r="1332" spans="2:11" ht="13" x14ac:dyDescent="0.15">
      <c r="B1332" s="27" t="s">
        <v>1700</v>
      </c>
      <c r="C1332" s="27" t="s">
        <v>8</v>
      </c>
      <c r="D1332" s="28">
        <f>SUMIFS(D1333:D1509,K1333:K1509,"0",B1333:B1509,"5 1 3 5 2 12 31111 6 M78 07000*")-SUMIFS(E1333:E1509,K1333:K1509,"0",B1333:B1509,"5 1 3 5 2 12 31111 6 M78 07000*")</f>
        <v>0</v>
      </c>
      <c r="E1332" s="29"/>
      <c r="F1332" s="28">
        <f>SUMIFS(F1333:F1509,K1333:K1509,"0",B1333:B1509,"5 1 3 5 2 12 31111 6 M78 07000*")</f>
        <v>254570</v>
      </c>
      <c r="G1332" s="28">
        <f>SUMIFS(G1333:G1509,K1333:K1509,"0",B1333:B1509,"5 1 3 5 2 12 31111 6 M78 07000*")</f>
        <v>0</v>
      </c>
      <c r="H1332" s="28">
        <f t="shared" si="25"/>
        <v>254570</v>
      </c>
      <c r="I1332" s="28"/>
      <c r="K1332" t="s">
        <v>15</v>
      </c>
    </row>
    <row r="1333" spans="2:11" ht="13" x14ac:dyDescent="0.15">
      <c r="B1333" s="27" t="s">
        <v>1701</v>
      </c>
      <c r="C1333" s="27" t="s">
        <v>168</v>
      </c>
      <c r="D1333" s="28">
        <f>SUMIFS(D1334:D1509,K1334:K1509,"0",B1334:B1509,"5 1 3 5 2 12 31111 6 M78 07000 151*")-SUMIFS(E1334:E1509,K1334:K1509,"0",B1334:B1509,"5 1 3 5 2 12 31111 6 M78 07000 151*")</f>
        <v>0</v>
      </c>
      <c r="E1333" s="29"/>
      <c r="F1333" s="28">
        <f>SUMIFS(F1334:F1509,K1334:K1509,"0",B1334:B1509,"5 1 3 5 2 12 31111 6 M78 07000 151*")</f>
        <v>254570</v>
      </c>
      <c r="G1333" s="28">
        <f>SUMIFS(G1334:G1509,K1334:K1509,"0",B1334:B1509,"5 1 3 5 2 12 31111 6 M78 07000 151*")</f>
        <v>0</v>
      </c>
      <c r="H1333" s="28">
        <f t="shared" si="25"/>
        <v>254570</v>
      </c>
      <c r="I1333" s="28"/>
      <c r="K1333" t="s">
        <v>15</v>
      </c>
    </row>
    <row r="1334" spans="2:11" ht="13" x14ac:dyDescent="0.15">
      <c r="B1334" s="27" t="s">
        <v>1702</v>
      </c>
      <c r="C1334" s="27" t="s">
        <v>170</v>
      </c>
      <c r="D1334" s="28">
        <f>SUMIFS(D1335:D1509,K1335:K1509,"0",B1335:B1509,"5 1 3 5 2 12 31111 6 M78 07000 151 00C*")-SUMIFS(E1335:E1509,K1335:K1509,"0",B1335:B1509,"5 1 3 5 2 12 31111 6 M78 07000 151 00C*")</f>
        <v>0</v>
      </c>
      <c r="E1334" s="29"/>
      <c r="F1334" s="28">
        <f>SUMIFS(F1335:F1509,K1335:K1509,"0",B1335:B1509,"5 1 3 5 2 12 31111 6 M78 07000 151 00C*")</f>
        <v>254570</v>
      </c>
      <c r="G1334" s="28">
        <f>SUMIFS(G1335:G1509,K1335:K1509,"0",B1335:B1509,"5 1 3 5 2 12 31111 6 M78 07000 151 00C*")</f>
        <v>0</v>
      </c>
      <c r="H1334" s="28">
        <f t="shared" si="25"/>
        <v>254570</v>
      </c>
      <c r="I1334" s="28"/>
      <c r="K1334" t="s">
        <v>15</v>
      </c>
    </row>
    <row r="1335" spans="2:11" ht="22" x14ac:dyDescent="0.15">
      <c r="B1335" s="27" t="s">
        <v>1703</v>
      </c>
      <c r="C1335" s="27" t="s">
        <v>9</v>
      </c>
      <c r="D1335" s="28">
        <f>SUMIFS(D1336:D1509,K1336:K1509,"0",B1336:B1509,"5 1 3 5 2 12 31111 6 M78 07000 151 00C 001*")-SUMIFS(E1336:E1509,K1336:K1509,"0",B1336:B1509,"5 1 3 5 2 12 31111 6 M78 07000 151 00C 001*")</f>
        <v>0</v>
      </c>
      <c r="E1335" s="29"/>
      <c r="F1335" s="28">
        <f>SUMIFS(F1336:F1509,K1336:K1509,"0",B1336:B1509,"5 1 3 5 2 12 31111 6 M78 07000 151 00C 001*")</f>
        <v>254570</v>
      </c>
      <c r="G1335" s="28">
        <f>SUMIFS(G1336:G1509,K1336:K1509,"0",B1336:B1509,"5 1 3 5 2 12 31111 6 M78 07000 151 00C 001*")</f>
        <v>0</v>
      </c>
      <c r="H1335" s="28">
        <f t="shared" si="25"/>
        <v>254570</v>
      </c>
      <c r="I1335" s="28"/>
      <c r="K1335" t="s">
        <v>15</v>
      </c>
    </row>
    <row r="1336" spans="2:11" ht="22" x14ac:dyDescent="0.15">
      <c r="B1336" s="27" t="s">
        <v>1704</v>
      </c>
      <c r="C1336" s="27" t="s">
        <v>1705</v>
      </c>
      <c r="D1336" s="28">
        <f>SUMIFS(D1337:D1509,K1337:K1509,"0",B1337:B1509,"5 1 3 5 2 12 31111 6 M78 07000 151 00C 001 35201*")-SUMIFS(E1337:E1509,K1337:K1509,"0",B1337:B1509,"5 1 3 5 2 12 31111 6 M78 07000 151 00C 001 35201*")</f>
        <v>0</v>
      </c>
      <c r="E1336" s="29"/>
      <c r="F1336" s="28">
        <f>SUMIFS(F1337:F1509,K1337:K1509,"0",B1337:B1509,"5 1 3 5 2 12 31111 6 M78 07000 151 00C 001 35201*")</f>
        <v>254570</v>
      </c>
      <c r="G1336" s="28">
        <f>SUMIFS(G1337:G1509,K1337:K1509,"0",B1337:B1509,"5 1 3 5 2 12 31111 6 M78 07000 151 00C 001 35201*")</f>
        <v>0</v>
      </c>
      <c r="H1336" s="28">
        <f t="shared" si="25"/>
        <v>254570</v>
      </c>
      <c r="I1336" s="28"/>
      <c r="K1336" t="s">
        <v>15</v>
      </c>
    </row>
    <row r="1337" spans="2:11" ht="22" x14ac:dyDescent="0.15">
      <c r="B1337" s="27" t="s">
        <v>1706</v>
      </c>
      <c r="C1337" s="27" t="s">
        <v>176</v>
      </c>
      <c r="D1337" s="28">
        <f>SUMIFS(D1338:D1509,K1338:K1509,"0",B1338:B1509,"5 1 3 5 2 12 31111 6 M78 07000 151 00C 001 35201 015*")-SUMIFS(E1338:E1509,K1338:K1509,"0",B1338:B1509,"5 1 3 5 2 12 31111 6 M78 07000 151 00C 001 35201 015*")</f>
        <v>0</v>
      </c>
      <c r="E1337" s="29"/>
      <c r="F1337" s="28">
        <f>SUMIFS(F1338:F1509,K1338:K1509,"0",B1338:B1509,"5 1 3 5 2 12 31111 6 M78 07000 151 00C 001 35201 015*")</f>
        <v>254570</v>
      </c>
      <c r="G1337" s="28">
        <f>SUMIFS(G1338:G1509,K1338:K1509,"0",B1338:B1509,"5 1 3 5 2 12 31111 6 M78 07000 151 00C 001 35201 015*")</f>
        <v>0</v>
      </c>
      <c r="H1337" s="28">
        <f t="shared" si="25"/>
        <v>254570</v>
      </c>
      <c r="I1337" s="28"/>
      <c r="K1337" t="s">
        <v>15</v>
      </c>
    </row>
    <row r="1338" spans="2:11" ht="22" x14ac:dyDescent="0.15">
      <c r="B1338" s="27" t="s">
        <v>1707</v>
      </c>
      <c r="C1338" s="27" t="s">
        <v>178</v>
      </c>
      <c r="D1338" s="28">
        <f>SUMIFS(D1339:D1509,K1339:K1509,"0",B1339:B1509,"5 1 3 5 2 12 31111 6 M78 07000 151 00C 001 35201 015 2112000*")-SUMIFS(E1339:E1509,K1339:K1509,"0",B1339:B1509,"5 1 3 5 2 12 31111 6 M78 07000 151 00C 001 35201 015 2112000*")</f>
        <v>0</v>
      </c>
      <c r="E1338" s="29"/>
      <c r="F1338" s="28">
        <f>SUMIFS(F1339:F1509,K1339:K1509,"0",B1339:B1509,"5 1 3 5 2 12 31111 6 M78 07000 151 00C 001 35201 015 2112000*")</f>
        <v>254570</v>
      </c>
      <c r="G1338" s="28">
        <f>SUMIFS(G1339:G1509,K1339:K1509,"0",B1339:B1509,"5 1 3 5 2 12 31111 6 M78 07000 151 00C 001 35201 015 2112000*")</f>
        <v>0</v>
      </c>
      <c r="H1338" s="28">
        <f t="shared" si="25"/>
        <v>254570</v>
      </c>
      <c r="I1338" s="28"/>
      <c r="K1338" t="s">
        <v>15</v>
      </c>
    </row>
    <row r="1339" spans="2:11" ht="22" x14ac:dyDescent="0.15">
      <c r="B1339" s="27" t="s">
        <v>1708</v>
      </c>
      <c r="C1339" s="27" t="s">
        <v>248</v>
      </c>
      <c r="D1339" s="28">
        <f>SUMIFS(D1340:D1509,K1340:K1509,"0",B1340:B1509,"5 1 3 5 2 12 31111 6 M78 07000 151 00C 001 35201 015 2112000 2024*")-SUMIFS(E1340:E1509,K1340:K1509,"0",B1340:B1509,"5 1 3 5 2 12 31111 6 M78 07000 151 00C 001 35201 015 2112000 2024*")</f>
        <v>0</v>
      </c>
      <c r="E1339" s="29"/>
      <c r="F1339" s="28">
        <f>SUMIFS(F1340:F1509,K1340:K1509,"0",B1340:B1509,"5 1 3 5 2 12 31111 6 M78 07000 151 00C 001 35201 015 2112000 2024*")</f>
        <v>254570</v>
      </c>
      <c r="G1339" s="28">
        <f>SUMIFS(G1340:G1509,K1340:K1509,"0",B1340:B1509,"5 1 3 5 2 12 31111 6 M78 07000 151 00C 001 35201 015 2112000 2024*")</f>
        <v>0</v>
      </c>
      <c r="H1339" s="28">
        <f t="shared" si="25"/>
        <v>254570</v>
      </c>
      <c r="I1339" s="28"/>
      <c r="K1339" t="s">
        <v>15</v>
      </c>
    </row>
    <row r="1340" spans="2:11" ht="22" x14ac:dyDescent="0.15">
      <c r="B1340" s="27" t="s">
        <v>1709</v>
      </c>
      <c r="C1340" s="27" t="s">
        <v>182</v>
      </c>
      <c r="D1340" s="28">
        <f>SUMIFS(D1341:D1509,K1341:K1509,"0",B1341:B1509,"5 1 3 5 2 12 31111 6 M78 07000 151 00C 001 35201 015 2112000 2024 00000000*")-SUMIFS(E1341:E1509,K1341:K1509,"0",B1341:B1509,"5 1 3 5 2 12 31111 6 M78 07000 151 00C 001 35201 015 2112000 2024 00000000*")</f>
        <v>0</v>
      </c>
      <c r="E1340" s="29"/>
      <c r="F1340" s="28">
        <f>SUMIFS(F1341:F1509,K1341:K1509,"0",B1341:B1509,"5 1 3 5 2 12 31111 6 M78 07000 151 00C 001 35201 015 2112000 2024 00000000*")</f>
        <v>254570</v>
      </c>
      <c r="G1340" s="28">
        <f>SUMIFS(G1341:G1509,K1341:K1509,"0",B1341:B1509,"5 1 3 5 2 12 31111 6 M78 07000 151 00C 001 35201 015 2112000 2024 00000000*")</f>
        <v>0</v>
      </c>
      <c r="H1340" s="28">
        <f t="shared" si="25"/>
        <v>254570</v>
      </c>
      <c r="I1340" s="28"/>
      <c r="K1340" t="s">
        <v>15</v>
      </c>
    </row>
    <row r="1341" spans="2:11" ht="33" x14ac:dyDescent="0.15">
      <c r="B1341" s="27" t="s">
        <v>1710</v>
      </c>
      <c r="C1341" s="27" t="s">
        <v>9</v>
      </c>
      <c r="D1341" s="28">
        <f>SUMIFS(D1342:D1509,K1342:K1509,"0",B1342:B1509,"5 1 3 5 2 12 31111 6 M78 07000 151 00C 001 35201 015 2112000 2024 00000000 001*")-SUMIFS(E1342:E1509,K1342:K1509,"0",B1342:B1509,"5 1 3 5 2 12 31111 6 M78 07000 151 00C 001 35201 015 2112000 2024 00000000 001*")</f>
        <v>0</v>
      </c>
      <c r="E1341" s="29"/>
      <c r="F1341" s="28">
        <f>SUMIFS(F1342:F1509,K1342:K1509,"0",B1342:B1509,"5 1 3 5 2 12 31111 6 M78 07000 151 00C 001 35201 015 2112000 2024 00000000 001*")</f>
        <v>254570</v>
      </c>
      <c r="G1341" s="28">
        <f>SUMIFS(G1342:G1509,K1342:K1509,"0",B1342:B1509,"5 1 3 5 2 12 31111 6 M78 07000 151 00C 001 35201 015 2112000 2024 00000000 001*")</f>
        <v>0</v>
      </c>
      <c r="H1341" s="28">
        <f t="shared" si="25"/>
        <v>254570</v>
      </c>
      <c r="I1341" s="28"/>
      <c r="K1341" t="s">
        <v>15</v>
      </c>
    </row>
    <row r="1342" spans="2:11" ht="33" x14ac:dyDescent="0.15">
      <c r="B1342" s="30" t="s">
        <v>1711</v>
      </c>
      <c r="C1342" s="30" t="s">
        <v>1712</v>
      </c>
      <c r="D1342" s="31">
        <v>0</v>
      </c>
      <c r="E1342" s="31"/>
      <c r="F1342" s="31">
        <v>254570</v>
      </c>
      <c r="G1342" s="31">
        <v>0</v>
      </c>
      <c r="H1342" s="31">
        <f t="shared" si="25"/>
        <v>254570</v>
      </c>
      <c r="I1342" s="31"/>
      <c r="K1342" t="s">
        <v>38</v>
      </c>
    </row>
    <row r="1343" spans="2:11" ht="13" x14ac:dyDescent="0.15">
      <c r="B1343" s="27" t="s">
        <v>1713</v>
      </c>
      <c r="C1343" s="27" t="s">
        <v>1714</v>
      </c>
      <c r="D1343" s="28">
        <f>SUMIFS(D1344:D1509,K1344:K1509,"0",B1344:B1509,"5 1 3 5 5*")-SUMIFS(E1344:E1509,K1344:K1509,"0",B1344:B1509,"5 1 3 5 5*")</f>
        <v>0</v>
      </c>
      <c r="E1343" s="29"/>
      <c r="F1343" s="28">
        <f>SUMIFS(F1344:F1509,K1344:K1509,"0",B1344:B1509,"5 1 3 5 5*")</f>
        <v>420111</v>
      </c>
      <c r="G1343" s="28">
        <f>SUMIFS(G1344:G1509,K1344:K1509,"0",B1344:B1509,"5 1 3 5 5*")</f>
        <v>0</v>
      </c>
      <c r="H1343" s="28">
        <f t="shared" si="25"/>
        <v>420111</v>
      </c>
      <c r="I1343" s="28"/>
      <c r="K1343" t="s">
        <v>15</v>
      </c>
    </row>
    <row r="1344" spans="2:11" ht="13" x14ac:dyDescent="0.15">
      <c r="B1344" s="27" t="s">
        <v>1715</v>
      </c>
      <c r="C1344" s="27" t="s">
        <v>26</v>
      </c>
      <c r="D1344" s="28">
        <f>SUMIFS(D1345:D1509,K1345:K1509,"0",B1345:B1509,"5 1 3 5 5 12*")-SUMIFS(E1345:E1509,K1345:K1509,"0",B1345:B1509,"5 1 3 5 5 12*")</f>
        <v>0</v>
      </c>
      <c r="E1344" s="29"/>
      <c r="F1344" s="28">
        <f>SUMIFS(F1345:F1509,K1345:K1509,"0",B1345:B1509,"5 1 3 5 5 12*")</f>
        <v>420111</v>
      </c>
      <c r="G1344" s="28">
        <f>SUMIFS(G1345:G1509,K1345:K1509,"0",B1345:B1509,"5 1 3 5 5 12*")</f>
        <v>0</v>
      </c>
      <c r="H1344" s="28">
        <f t="shared" si="25"/>
        <v>420111</v>
      </c>
      <c r="I1344" s="28"/>
      <c r="K1344" t="s">
        <v>15</v>
      </c>
    </row>
    <row r="1345" spans="2:11" ht="13" x14ac:dyDescent="0.15">
      <c r="B1345" s="27" t="s">
        <v>1716</v>
      </c>
      <c r="C1345" s="27" t="s">
        <v>28</v>
      </c>
      <c r="D1345" s="28">
        <f>SUMIFS(D1346:D1509,K1346:K1509,"0",B1346:B1509,"5 1 3 5 5 12 31111*")-SUMIFS(E1346:E1509,K1346:K1509,"0",B1346:B1509,"5 1 3 5 5 12 31111*")</f>
        <v>0</v>
      </c>
      <c r="E1345" s="29"/>
      <c r="F1345" s="28">
        <f>SUMIFS(F1346:F1509,K1346:K1509,"0",B1346:B1509,"5 1 3 5 5 12 31111*")</f>
        <v>420111</v>
      </c>
      <c r="G1345" s="28">
        <f>SUMIFS(G1346:G1509,K1346:K1509,"0",B1346:B1509,"5 1 3 5 5 12 31111*")</f>
        <v>0</v>
      </c>
      <c r="H1345" s="28">
        <f t="shared" si="25"/>
        <v>420111</v>
      </c>
      <c r="I1345" s="28"/>
      <c r="K1345" t="s">
        <v>15</v>
      </c>
    </row>
    <row r="1346" spans="2:11" ht="13" x14ac:dyDescent="0.15">
      <c r="B1346" s="27" t="s">
        <v>1717</v>
      </c>
      <c r="C1346" s="27" t="s">
        <v>30</v>
      </c>
      <c r="D1346" s="28">
        <f>SUMIFS(D1347:D1509,K1347:K1509,"0",B1347:B1509,"5 1 3 5 5 12 31111 6*")-SUMIFS(E1347:E1509,K1347:K1509,"0",B1347:B1509,"5 1 3 5 5 12 31111 6*")</f>
        <v>0</v>
      </c>
      <c r="E1346" s="29"/>
      <c r="F1346" s="28">
        <f>SUMIFS(F1347:F1509,K1347:K1509,"0",B1347:B1509,"5 1 3 5 5 12 31111 6*")</f>
        <v>420111</v>
      </c>
      <c r="G1346" s="28">
        <f>SUMIFS(G1347:G1509,K1347:K1509,"0",B1347:B1509,"5 1 3 5 5 12 31111 6*")</f>
        <v>0</v>
      </c>
      <c r="H1346" s="28">
        <f t="shared" si="25"/>
        <v>420111</v>
      </c>
      <c r="I1346" s="28"/>
      <c r="K1346" t="s">
        <v>15</v>
      </c>
    </row>
    <row r="1347" spans="2:11" ht="13" x14ac:dyDescent="0.15">
      <c r="B1347" s="27" t="s">
        <v>1718</v>
      </c>
      <c r="C1347" s="27" t="s">
        <v>733</v>
      </c>
      <c r="D1347" s="28">
        <f>SUMIFS(D1348:D1509,K1348:K1509,"0",B1348:B1509,"5 1 3 5 5 12 31111 6 M78*")-SUMIFS(E1348:E1509,K1348:K1509,"0",B1348:B1509,"5 1 3 5 5 12 31111 6 M78*")</f>
        <v>0</v>
      </c>
      <c r="E1347" s="29"/>
      <c r="F1347" s="28">
        <f>SUMIFS(F1348:F1509,K1348:K1509,"0",B1348:B1509,"5 1 3 5 5 12 31111 6 M78*")</f>
        <v>420111</v>
      </c>
      <c r="G1347" s="28">
        <f>SUMIFS(G1348:G1509,K1348:K1509,"0",B1348:B1509,"5 1 3 5 5 12 31111 6 M78*")</f>
        <v>0</v>
      </c>
      <c r="H1347" s="28">
        <f t="shared" si="25"/>
        <v>420111</v>
      </c>
      <c r="I1347" s="28"/>
      <c r="K1347" t="s">
        <v>15</v>
      </c>
    </row>
    <row r="1348" spans="2:11" ht="13" x14ac:dyDescent="0.15">
      <c r="B1348" s="27" t="s">
        <v>1719</v>
      </c>
      <c r="C1348" s="27" t="s">
        <v>8</v>
      </c>
      <c r="D1348" s="28">
        <f>SUMIFS(D1349:D1509,K1349:K1509,"0",B1349:B1509,"5 1 3 5 5 12 31111 6 M78 07000*")-SUMIFS(E1349:E1509,K1349:K1509,"0",B1349:B1509,"5 1 3 5 5 12 31111 6 M78 07000*")</f>
        <v>0</v>
      </c>
      <c r="E1348" s="29"/>
      <c r="F1348" s="28">
        <f>SUMIFS(F1349:F1509,K1349:K1509,"0",B1349:B1509,"5 1 3 5 5 12 31111 6 M78 07000*")</f>
        <v>420111</v>
      </c>
      <c r="G1348" s="28">
        <f>SUMIFS(G1349:G1509,K1349:K1509,"0",B1349:B1509,"5 1 3 5 5 12 31111 6 M78 07000*")</f>
        <v>0</v>
      </c>
      <c r="H1348" s="28">
        <f t="shared" si="25"/>
        <v>420111</v>
      </c>
      <c r="I1348" s="28"/>
      <c r="K1348" t="s">
        <v>15</v>
      </c>
    </row>
    <row r="1349" spans="2:11" ht="13" x14ac:dyDescent="0.15">
      <c r="B1349" s="27" t="s">
        <v>1720</v>
      </c>
      <c r="C1349" s="27" t="s">
        <v>168</v>
      </c>
      <c r="D1349" s="28">
        <f>SUMIFS(D1350:D1509,K1350:K1509,"0",B1350:B1509,"5 1 3 5 5 12 31111 6 M78 07000 151*")-SUMIFS(E1350:E1509,K1350:K1509,"0",B1350:B1509,"5 1 3 5 5 12 31111 6 M78 07000 151*")</f>
        <v>0</v>
      </c>
      <c r="E1349" s="29"/>
      <c r="F1349" s="28">
        <f>SUMIFS(F1350:F1509,K1350:K1509,"0",B1350:B1509,"5 1 3 5 5 12 31111 6 M78 07000 151*")</f>
        <v>420111</v>
      </c>
      <c r="G1349" s="28">
        <f>SUMIFS(G1350:G1509,K1350:K1509,"0",B1350:B1509,"5 1 3 5 5 12 31111 6 M78 07000 151*")</f>
        <v>0</v>
      </c>
      <c r="H1349" s="28">
        <f t="shared" si="25"/>
        <v>420111</v>
      </c>
      <c r="I1349" s="28"/>
      <c r="K1349" t="s">
        <v>15</v>
      </c>
    </row>
    <row r="1350" spans="2:11" ht="13" x14ac:dyDescent="0.15">
      <c r="B1350" s="27" t="s">
        <v>1721</v>
      </c>
      <c r="C1350" s="27" t="s">
        <v>170</v>
      </c>
      <c r="D1350" s="28">
        <f>SUMIFS(D1351:D1509,K1351:K1509,"0",B1351:B1509,"5 1 3 5 5 12 31111 6 M78 07000 151 00C*")-SUMIFS(E1351:E1509,K1351:K1509,"0",B1351:B1509,"5 1 3 5 5 12 31111 6 M78 07000 151 00C*")</f>
        <v>0</v>
      </c>
      <c r="E1350" s="29"/>
      <c r="F1350" s="28">
        <f>SUMIFS(F1351:F1509,K1351:K1509,"0",B1351:B1509,"5 1 3 5 5 12 31111 6 M78 07000 151 00C*")</f>
        <v>420111</v>
      </c>
      <c r="G1350" s="28">
        <f>SUMIFS(G1351:G1509,K1351:K1509,"0",B1351:B1509,"5 1 3 5 5 12 31111 6 M78 07000 151 00C*")</f>
        <v>0</v>
      </c>
      <c r="H1350" s="28">
        <f t="shared" si="25"/>
        <v>420111</v>
      </c>
      <c r="I1350" s="28"/>
      <c r="K1350" t="s">
        <v>15</v>
      </c>
    </row>
    <row r="1351" spans="2:11" ht="22" x14ac:dyDescent="0.15">
      <c r="B1351" s="27" t="s">
        <v>1722</v>
      </c>
      <c r="C1351" s="27" t="s">
        <v>9</v>
      </c>
      <c r="D1351" s="28">
        <f>SUMIFS(D1352:D1509,K1352:K1509,"0",B1352:B1509,"5 1 3 5 5 12 31111 6 M78 07000 151 00C 001*")-SUMIFS(E1352:E1509,K1352:K1509,"0",B1352:B1509,"5 1 3 5 5 12 31111 6 M78 07000 151 00C 001*")</f>
        <v>0</v>
      </c>
      <c r="E1351" s="29"/>
      <c r="F1351" s="28">
        <f>SUMIFS(F1352:F1509,K1352:K1509,"0",B1352:B1509,"5 1 3 5 5 12 31111 6 M78 07000 151 00C 001*")</f>
        <v>420111</v>
      </c>
      <c r="G1351" s="28">
        <f>SUMIFS(G1352:G1509,K1352:K1509,"0",B1352:B1509,"5 1 3 5 5 12 31111 6 M78 07000 151 00C 001*")</f>
        <v>0</v>
      </c>
      <c r="H1351" s="28">
        <f t="shared" si="25"/>
        <v>420111</v>
      </c>
      <c r="I1351" s="28"/>
      <c r="K1351" t="s">
        <v>15</v>
      </c>
    </row>
    <row r="1352" spans="2:11" ht="22" x14ac:dyDescent="0.15">
      <c r="B1352" s="27" t="s">
        <v>1723</v>
      </c>
      <c r="C1352" s="27" t="s">
        <v>1724</v>
      </c>
      <c r="D1352" s="28">
        <f>SUMIFS(D1353:D1509,K1353:K1509,"0",B1353:B1509,"5 1 3 5 5 12 31111 6 M78 07000 151 00C 001 35501*")-SUMIFS(E1353:E1509,K1353:K1509,"0",B1353:B1509,"5 1 3 5 5 12 31111 6 M78 07000 151 00C 001 35501*")</f>
        <v>0</v>
      </c>
      <c r="E1352" s="29"/>
      <c r="F1352" s="28">
        <f>SUMIFS(F1353:F1509,K1353:K1509,"0",B1353:B1509,"5 1 3 5 5 12 31111 6 M78 07000 151 00C 001 35501*")</f>
        <v>420111</v>
      </c>
      <c r="G1352" s="28">
        <f>SUMIFS(G1353:G1509,K1353:K1509,"0",B1353:B1509,"5 1 3 5 5 12 31111 6 M78 07000 151 00C 001 35501*")</f>
        <v>0</v>
      </c>
      <c r="H1352" s="28">
        <f t="shared" si="25"/>
        <v>420111</v>
      </c>
      <c r="I1352" s="28"/>
      <c r="K1352" t="s">
        <v>15</v>
      </c>
    </row>
    <row r="1353" spans="2:11" ht="22" x14ac:dyDescent="0.15">
      <c r="B1353" s="27" t="s">
        <v>1725</v>
      </c>
      <c r="C1353" s="27" t="s">
        <v>176</v>
      </c>
      <c r="D1353" s="28">
        <f>SUMIFS(D1354:D1509,K1354:K1509,"0",B1354:B1509,"5 1 3 5 5 12 31111 6 M78 07000 151 00C 001 35501 015*")-SUMIFS(E1354:E1509,K1354:K1509,"0",B1354:B1509,"5 1 3 5 5 12 31111 6 M78 07000 151 00C 001 35501 015*")</f>
        <v>0</v>
      </c>
      <c r="E1353" s="29"/>
      <c r="F1353" s="28">
        <f>SUMIFS(F1354:F1509,K1354:K1509,"0",B1354:B1509,"5 1 3 5 5 12 31111 6 M78 07000 151 00C 001 35501 015*")</f>
        <v>420111</v>
      </c>
      <c r="G1353" s="28">
        <f>SUMIFS(G1354:G1509,K1354:K1509,"0",B1354:B1509,"5 1 3 5 5 12 31111 6 M78 07000 151 00C 001 35501 015*")</f>
        <v>0</v>
      </c>
      <c r="H1353" s="28">
        <f t="shared" si="25"/>
        <v>420111</v>
      </c>
      <c r="I1353" s="28"/>
      <c r="K1353" t="s">
        <v>15</v>
      </c>
    </row>
    <row r="1354" spans="2:11" ht="22" x14ac:dyDescent="0.15">
      <c r="B1354" s="27" t="s">
        <v>1726</v>
      </c>
      <c r="C1354" s="27" t="s">
        <v>178</v>
      </c>
      <c r="D1354" s="28">
        <f>SUMIFS(D1355:D1509,K1355:K1509,"0",B1355:B1509,"5 1 3 5 5 12 31111 6 M78 07000 151 00C 001 35501 015 2112000*")-SUMIFS(E1355:E1509,K1355:K1509,"0",B1355:B1509,"5 1 3 5 5 12 31111 6 M78 07000 151 00C 001 35501 015 2112000*")</f>
        <v>0</v>
      </c>
      <c r="E1354" s="29"/>
      <c r="F1354" s="28">
        <f>SUMIFS(F1355:F1509,K1355:K1509,"0",B1355:B1509,"5 1 3 5 5 12 31111 6 M78 07000 151 00C 001 35501 015 2112000*")</f>
        <v>420111</v>
      </c>
      <c r="G1354" s="28">
        <f>SUMIFS(G1355:G1509,K1355:K1509,"0",B1355:B1509,"5 1 3 5 5 12 31111 6 M78 07000 151 00C 001 35501 015 2112000*")</f>
        <v>0</v>
      </c>
      <c r="H1354" s="28">
        <f t="shared" si="25"/>
        <v>420111</v>
      </c>
      <c r="I1354" s="28"/>
      <c r="K1354" t="s">
        <v>15</v>
      </c>
    </row>
    <row r="1355" spans="2:11" ht="22" x14ac:dyDescent="0.15">
      <c r="B1355" s="27" t="s">
        <v>1727</v>
      </c>
      <c r="C1355" s="27" t="s">
        <v>248</v>
      </c>
      <c r="D1355" s="28">
        <f>SUMIFS(D1356:D1509,K1356:K1509,"0",B1356:B1509,"5 1 3 5 5 12 31111 6 M78 07000 151 00C 001 35501 015 2112000 2024*")-SUMIFS(E1356:E1509,K1356:K1509,"0",B1356:B1509,"5 1 3 5 5 12 31111 6 M78 07000 151 00C 001 35501 015 2112000 2024*")</f>
        <v>0</v>
      </c>
      <c r="E1355" s="29"/>
      <c r="F1355" s="28">
        <f>SUMIFS(F1356:F1509,K1356:K1509,"0",B1356:B1509,"5 1 3 5 5 12 31111 6 M78 07000 151 00C 001 35501 015 2112000 2024*")</f>
        <v>420111</v>
      </c>
      <c r="G1355" s="28">
        <f>SUMIFS(G1356:G1509,K1356:K1509,"0",B1356:B1509,"5 1 3 5 5 12 31111 6 M78 07000 151 00C 001 35501 015 2112000 2024*")</f>
        <v>0</v>
      </c>
      <c r="H1355" s="28">
        <f t="shared" si="25"/>
        <v>420111</v>
      </c>
      <c r="I1355" s="28"/>
      <c r="K1355" t="s">
        <v>15</v>
      </c>
    </row>
    <row r="1356" spans="2:11" ht="22" x14ac:dyDescent="0.15">
      <c r="B1356" s="27" t="s">
        <v>1728</v>
      </c>
      <c r="C1356" s="27" t="s">
        <v>182</v>
      </c>
      <c r="D1356" s="28">
        <f>SUMIFS(D1357:D1509,K1357:K1509,"0",B1357:B1509,"5 1 3 5 5 12 31111 6 M78 07000 151 00C 001 35501 015 2112000 2024 00000000*")-SUMIFS(E1357:E1509,K1357:K1509,"0",B1357:B1509,"5 1 3 5 5 12 31111 6 M78 07000 151 00C 001 35501 015 2112000 2024 00000000*")</f>
        <v>0</v>
      </c>
      <c r="E1356" s="29"/>
      <c r="F1356" s="28">
        <f>SUMIFS(F1357:F1509,K1357:K1509,"0",B1357:B1509,"5 1 3 5 5 12 31111 6 M78 07000 151 00C 001 35501 015 2112000 2024 00000000*")</f>
        <v>420111</v>
      </c>
      <c r="G1356" s="28">
        <f>SUMIFS(G1357:G1509,K1357:K1509,"0",B1357:B1509,"5 1 3 5 5 12 31111 6 M78 07000 151 00C 001 35501 015 2112000 2024 00000000*")</f>
        <v>0</v>
      </c>
      <c r="H1356" s="28">
        <f t="shared" si="25"/>
        <v>420111</v>
      </c>
      <c r="I1356" s="28"/>
      <c r="K1356" t="s">
        <v>15</v>
      </c>
    </row>
    <row r="1357" spans="2:11" ht="33" x14ac:dyDescent="0.15">
      <c r="B1357" s="27" t="s">
        <v>1729</v>
      </c>
      <c r="C1357" s="27" t="s">
        <v>9</v>
      </c>
      <c r="D1357" s="28">
        <f>SUMIFS(D1358:D1509,K1358:K1509,"0",B1358:B1509,"5 1 3 5 5 12 31111 6 M78 07000 151 00C 001 35501 015 2112000 2024 00000000 001*")-SUMIFS(E1358:E1509,K1358:K1509,"0",B1358:B1509,"5 1 3 5 5 12 31111 6 M78 07000 151 00C 001 35501 015 2112000 2024 00000000 001*")</f>
        <v>0</v>
      </c>
      <c r="E1357" s="29"/>
      <c r="F1357" s="28">
        <f>SUMIFS(F1358:F1509,K1358:K1509,"0",B1358:B1509,"5 1 3 5 5 12 31111 6 M78 07000 151 00C 001 35501 015 2112000 2024 00000000 001*")</f>
        <v>420111</v>
      </c>
      <c r="G1357" s="28">
        <f>SUMIFS(G1358:G1509,K1358:K1509,"0",B1358:B1509,"5 1 3 5 5 12 31111 6 M78 07000 151 00C 001 35501 015 2112000 2024 00000000 001*")</f>
        <v>0</v>
      </c>
      <c r="H1357" s="28">
        <f t="shared" si="25"/>
        <v>420111</v>
      </c>
      <c r="I1357" s="28"/>
      <c r="K1357" t="s">
        <v>15</v>
      </c>
    </row>
    <row r="1358" spans="2:11" ht="33" x14ac:dyDescent="0.15">
      <c r="B1358" s="30" t="s">
        <v>1730</v>
      </c>
      <c r="C1358" s="30" t="s">
        <v>1731</v>
      </c>
      <c r="D1358" s="31">
        <v>0</v>
      </c>
      <c r="E1358" s="31"/>
      <c r="F1358" s="31">
        <v>420111</v>
      </c>
      <c r="G1358" s="31">
        <v>0</v>
      </c>
      <c r="H1358" s="31">
        <f t="shared" si="25"/>
        <v>420111</v>
      </c>
      <c r="I1358" s="31"/>
      <c r="K1358" t="s">
        <v>38</v>
      </c>
    </row>
    <row r="1359" spans="2:11" ht="13" x14ac:dyDescent="0.15">
      <c r="B1359" s="27" t="s">
        <v>1732</v>
      </c>
      <c r="C1359" s="27" t="s">
        <v>1733</v>
      </c>
      <c r="D1359" s="28">
        <f>SUMIFS(D1360:D1509,K1360:K1509,"0",B1360:B1509,"5 1 3 6*")-SUMIFS(E1360:E1509,K1360:K1509,"0",B1360:B1509,"5 1 3 6*")</f>
        <v>0</v>
      </c>
      <c r="E1359" s="29"/>
      <c r="F1359" s="28">
        <f>SUMIFS(F1360:F1509,K1360:K1509,"0",B1360:B1509,"5 1 3 6*")</f>
        <v>62400</v>
      </c>
      <c r="G1359" s="28">
        <f>SUMIFS(G1360:G1509,K1360:K1509,"0",B1360:B1509,"5 1 3 6*")</f>
        <v>0</v>
      </c>
      <c r="H1359" s="28">
        <f t="shared" si="25"/>
        <v>62400</v>
      </c>
      <c r="I1359" s="28"/>
      <c r="K1359" t="s">
        <v>15</v>
      </c>
    </row>
    <row r="1360" spans="2:11" ht="22" x14ac:dyDescent="0.15">
      <c r="B1360" s="27" t="s">
        <v>1734</v>
      </c>
      <c r="C1360" s="27" t="s">
        <v>1735</v>
      </c>
      <c r="D1360" s="28">
        <f>SUMIFS(D1361:D1509,K1361:K1509,"0",B1361:B1509,"5 1 3 6 1*")-SUMIFS(E1361:E1509,K1361:K1509,"0",B1361:B1509,"5 1 3 6 1*")</f>
        <v>0</v>
      </c>
      <c r="E1360" s="29"/>
      <c r="F1360" s="28">
        <f>SUMIFS(F1361:F1509,K1361:K1509,"0",B1361:B1509,"5 1 3 6 1*")</f>
        <v>62400</v>
      </c>
      <c r="G1360" s="28">
        <f>SUMIFS(G1361:G1509,K1361:K1509,"0",B1361:B1509,"5 1 3 6 1*")</f>
        <v>0</v>
      </c>
      <c r="H1360" s="28">
        <f t="shared" si="25"/>
        <v>62400</v>
      </c>
      <c r="I1360" s="28"/>
      <c r="K1360" t="s">
        <v>15</v>
      </c>
    </row>
    <row r="1361" spans="2:11" ht="13" x14ac:dyDescent="0.15">
      <c r="B1361" s="27" t="s">
        <v>1736</v>
      </c>
      <c r="C1361" s="27" t="s">
        <v>26</v>
      </c>
      <c r="D1361" s="28">
        <f>SUMIFS(D1362:D1509,K1362:K1509,"0",B1362:B1509,"5 1 3 6 1 12*")-SUMIFS(E1362:E1509,K1362:K1509,"0",B1362:B1509,"5 1 3 6 1 12*")</f>
        <v>0</v>
      </c>
      <c r="E1361" s="29"/>
      <c r="F1361" s="28">
        <f>SUMIFS(F1362:F1509,K1362:K1509,"0",B1362:B1509,"5 1 3 6 1 12*")</f>
        <v>62400</v>
      </c>
      <c r="G1361" s="28">
        <f>SUMIFS(G1362:G1509,K1362:K1509,"0",B1362:B1509,"5 1 3 6 1 12*")</f>
        <v>0</v>
      </c>
      <c r="H1361" s="28">
        <f t="shared" si="25"/>
        <v>62400</v>
      </c>
      <c r="I1361" s="28"/>
      <c r="K1361" t="s">
        <v>15</v>
      </c>
    </row>
    <row r="1362" spans="2:11" ht="13" x14ac:dyDescent="0.15">
      <c r="B1362" s="27" t="s">
        <v>1737</v>
      </c>
      <c r="C1362" s="27" t="s">
        <v>28</v>
      </c>
      <c r="D1362" s="28">
        <f>SUMIFS(D1363:D1509,K1363:K1509,"0",B1363:B1509,"5 1 3 6 1 12 31111*")-SUMIFS(E1363:E1509,K1363:K1509,"0",B1363:B1509,"5 1 3 6 1 12 31111*")</f>
        <v>0</v>
      </c>
      <c r="E1362" s="29"/>
      <c r="F1362" s="28">
        <f>SUMIFS(F1363:F1509,K1363:K1509,"0",B1363:B1509,"5 1 3 6 1 12 31111*")</f>
        <v>62400</v>
      </c>
      <c r="G1362" s="28">
        <f>SUMIFS(G1363:G1509,K1363:K1509,"0",B1363:B1509,"5 1 3 6 1 12 31111*")</f>
        <v>0</v>
      </c>
      <c r="H1362" s="28">
        <f t="shared" si="25"/>
        <v>62400</v>
      </c>
      <c r="I1362" s="28"/>
      <c r="K1362" t="s">
        <v>15</v>
      </c>
    </row>
    <row r="1363" spans="2:11" ht="13" x14ac:dyDescent="0.15">
      <c r="B1363" s="27" t="s">
        <v>1738</v>
      </c>
      <c r="C1363" s="27" t="s">
        <v>30</v>
      </c>
      <c r="D1363" s="28">
        <f>SUMIFS(D1364:D1509,K1364:K1509,"0",B1364:B1509,"5 1 3 6 1 12 31111 6*")-SUMIFS(E1364:E1509,K1364:K1509,"0",B1364:B1509,"5 1 3 6 1 12 31111 6*")</f>
        <v>0</v>
      </c>
      <c r="E1363" s="29"/>
      <c r="F1363" s="28">
        <f>SUMIFS(F1364:F1509,K1364:K1509,"0",B1364:B1509,"5 1 3 6 1 12 31111 6*")</f>
        <v>62400</v>
      </c>
      <c r="G1363" s="28">
        <f>SUMIFS(G1364:G1509,K1364:K1509,"0",B1364:B1509,"5 1 3 6 1 12 31111 6*")</f>
        <v>0</v>
      </c>
      <c r="H1363" s="28">
        <f t="shared" si="25"/>
        <v>62400</v>
      </c>
      <c r="I1363" s="28"/>
      <c r="K1363" t="s">
        <v>15</v>
      </c>
    </row>
    <row r="1364" spans="2:11" ht="13" x14ac:dyDescent="0.15">
      <c r="B1364" s="27" t="s">
        <v>1739</v>
      </c>
      <c r="C1364" s="27" t="s">
        <v>733</v>
      </c>
      <c r="D1364" s="28">
        <f>SUMIFS(D1365:D1509,K1365:K1509,"0",B1365:B1509,"5 1 3 6 1 12 31111 6 M78*")-SUMIFS(E1365:E1509,K1365:K1509,"0",B1365:B1509,"5 1 3 6 1 12 31111 6 M78*")</f>
        <v>0</v>
      </c>
      <c r="E1364" s="29"/>
      <c r="F1364" s="28">
        <f>SUMIFS(F1365:F1509,K1365:K1509,"0",B1365:B1509,"5 1 3 6 1 12 31111 6 M78*")</f>
        <v>62400</v>
      </c>
      <c r="G1364" s="28">
        <f>SUMIFS(G1365:G1509,K1365:K1509,"0",B1365:B1509,"5 1 3 6 1 12 31111 6 M78*")</f>
        <v>0</v>
      </c>
      <c r="H1364" s="28">
        <f t="shared" si="25"/>
        <v>62400</v>
      </c>
      <c r="I1364" s="28"/>
      <c r="K1364" t="s">
        <v>15</v>
      </c>
    </row>
    <row r="1365" spans="2:11" ht="13" x14ac:dyDescent="0.15">
      <c r="B1365" s="27" t="s">
        <v>1740</v>
      </c>
      <c r="C1365" s="27" t="s">
        <v>8</v>
      </c>
      <c r="D1365" s="28">
        <f>SUMIFS(D1366:D1509,K1366:K1509,"0",B1366:B1509,"5 1 3 6 1 12 31111 6 M78 07000*")-SUMIFS(E1366:E1509,K1366:K1509,"0",B1366:B1509,"5 1 3 6 1 12 31111 6 M78 07000*")</f>
        <v>0</v>
      </c>
      <c r="E1365" s="29"/>
      <c r="F1365" s="28">
        <f>SUMIFS(F1366:F1509,K1366:K1509,"0",B1366:B1509,"5 1 3 6 1 12 31111 6 M78 07000*")</f>
        <v>62400</v>
      </c>
      <c r="G1365" s="28">
        <f>SUMIFS(G1366:G1509,K1366:K1509,"0",B1366:B1509,"5 1 3 6 1 12 31111 6 M78 07000*")</f>
        <v>0</v>
      </c>
      <c r="H1365" s="28">
        <f t="shared" si="25"/>
        <v>62400</v>
      </c>
      <c r="I1365" s="28"/>
      <c r="K1365" t="s">
        <v>15</v>
      </c>
    </row>
    <row r="1366" spans="2:11" ht="13" x14ac:dyDescent="0.15">
      <c r="B1366" s="27" t="s">
        <v>1741</v>
      </c>
      <c r="C1366" s="27" t="s">
        <v>168</v>
      </c>
      <c r="D1366" s="28">
        <f>SUMIFS(D1367:D1509,K1367:K1509,"0",B1367:B1509,"5 1 3 6 1 12 31111 6 M78 07000 151*")-SUMIFS(E1367:E1509,K1367:K1509,"0",B1367:B1509,"5 1 3 6 1 12 31111 6 M78 07000 151*")</f>
        <v>0</v>
      </c>
      <c r="E1366" s="29"/>
      <c r="F1366" s="28">
        <f>SUMIFS(F1367:F1509,K1367:K1509,"0",B1367:B1509,"5 1 3 6 1 12 31111 6 M78 07000 151*")</f>
        <v>62400</v>
      </c>
      <c r="G1366" s="28">
        <f>SUMIFS(G1367:G1509,K1367:K1509,"0",B1367:B1509,"5 1 3 6 1 12 31111 6 M78 07000 151*")</f>
        <v>0</v>
      </c>
      <c r="H1366" s="28">
        <f t="shared" si="25"/>
        <v>62400</v>
      </c>
      <c r="I1366" s="28"/>
      <c r="K1366" t="s">
        <v>15</v>
      </c>
    </row>
    <row r="1367" spans="2:11" ht="13" x14ac:dyDescent="0.15">
      <c r="B1367" s="27" t="s">
        <v>1742</v>
      </c>
      <c r="C1367" s="27" t="s">
        <v>170</v>
      </c>
      <c r="D1367" s="28">
        <f>SUMIFS(D1368:D1509,K1368:K1509,"0",B1368:B1509,"5 1 3 6 1 12 31111 6 M78 07000 151 00C*")-SUMIFS(E1368:E1509,K1368:K1509,"0",B1368:B1509,"5 1 3 6 1 12 31111 6 M78 07000 151 00C*")</f>
        <v>0</v>
      </c>
      <c r="E1367" s="29"/>
      <c r="F1367" s="28">
        <f>SUMIFS(F1368:F1509,K1368:K1509,"0",B1368:B1509,"5 1 3 6 1 12 31111 6 M78 07000 151 00C*")</f>
        <v>62400</v>
      </c>
      <c r="G1367" s="28">
        <f>SUMIFS(G1368:G1509,K1368:K1509,"0",B1368:B1509,"5 1 3 6 1 12 31111 6 M78 07000 151 00C*")</f>
        <v>0</v>
      </c>
      <c r="H1367" s="28">
        <f t="shared" si="25"/>
        <v>62400</v>
      </c>
      <c r="I1367" s="28"/>
      <c r="K1367" t="s">
        <v>15</v>
      </c>
    </row>
    <row r="1368" spans="2:11" ht="22" x14ac:dyDescent="0.15">
      <c r="B1368" s="27" t="s">
        <v>1743</v>
      </c>
      <c r="C1368" s="27" t="s">
        <v>9</v>
      </c>
      <c r="D1368" s="28">
        <f>SUMIFS(D1369:D1509,K1369:K1509,"0",B1369:B1509,"5 1 3 6 1 12 31111 6 M78 07000 151 00C 001*")-SUMIFS(E1369:E1509,K1369:K1509,"0",B1369:B1509,"5 1 3 6 1 12 31111 6 M78 07000 151 00C 001*")</f>
        <v>0</v>
      </c>
      <c r="E1368" s="29"/>
      <c r="F1368" s="28">
        <f>SUMIFS(F1369:F1509,K1369:K1509,"0",B1369:B1509,"5 1 3 6 1 12 31111 6 M78 07000 151 00C 001*")</f>
        <v>62400</v>
      </c>
      <c r="G1368" s="28">
        <f>SUMIFS(G1369:G1509,K1369:K1509,"0",B1369:B1509,"5 1 3 6 1 12 31111 6 M78 07000 151 00C 001*")</f>
        <v>0</v>
      </c>
      <c r="H1368" s="28">
        <f t="shared" si="25"/>
        <v>62400</v>
      </c>
      <c r="I1368" s="28"/>
      <c r="K1368" t="s">
        <v>15</v>
      </c>
    </row>
    <row r="1369" spans="2:11" ht="22" x14ac:dyDescent="0.15">
      <c r="B1369" s="27" t="s">
        <v>1744</v>
      </c>
      <c r="C1369" s="27" t="s">
        <v>1745</v>
      </c>
      <c r="D1369" s="28">
        <f>SUMIFS(D1370:D1509,K1370:K1509,"0",B1370:B1509,"5 1 3 6 1 12 31111 6 M78 07000 151 00C 001 36101*")-SUMIFS(E1370:E1509,K1370:K1509,"0",B1370:B1509,"5 1 3 6 1 12 31111 6 M78 07000 151 00C 001 36101*")</f>
        <v>0</v>
      </c>
      <c r="E1369" s="29"/>
      <c r="F1369" s="28">
        <f>SUMIFS(F1370:F1509,K1370:K1509,"0",B1370:B1509,"5 1 3 6 1 12 31111 6 M78 07000 151 00C 001 36101*")</f>
        <v>62400</v>
      </c>
      <c r="G1369" s="28">
        <f>SUMIFS(G1370:G1509,K1370:K1509,"0",B1370:B1509,"5 1 3 6 1 12 31111 6 M78 07000 151 00C 001 36101*")</f>
        <v>0</v>
      </c>
      <c r="H1369" s="28">
        <f t="shared" si="25"/>
        <v>62400</v>
      </c>
      <c r="I1369" s="28"/>
      <c r="K1369" t="s">
        <v>15</v>
      </c>
    </row>
    <row r="1370" spans="2:11" ht="22" x14ac:dyDescent="0.15">
      <c r="B1370" s="27" t="s">
        <v>1746</v>
      </c>
      <c r="C1370" s="27" t="s">
        <v>176</v>
      </c>
      <c r="D1370" s="28">
        <f>SUMIFS(D1371:D1509,K1371:K1509,"0",B1371:B1509,"5 1 3 6 1 12 31111 6 M78 07000 151 00C 001 36101 015*")-SUMIFS(E1371:E1509,K1371:K1509,"0",B1371:B1509,"5 1 3 6 1 12 31111 6 M78 07000 151 00C 001 36101 015*")</f>
        <v>0</v>
      </c>
      <c r="E1370" s="29"/>
      <c r="F1370" s="28">
        <f>SUMIFS(F1371:F1509,K1371:K1509,"0",B1371:B1509,"5 1 3 6 1 12 31111 6 M78 07000 151 00C 001 36101 015*")</f>
        <v>62400</v>
      </c>
      <c r="G1370" s="28">
        <f>SUMIFS(G1371:G1509,K1371:K1509,"0",B1371:B1509,"5 1 3 6 1 12 31111 6 M78 07000 151 00C 001 36101 015*")</f>
        <v>0</v>
      </c>
      <c r="H1370" s="28">
        <f t="shared" si="25"/>
        <v>62400</v>
      </c>
      <c r="I1370" s="28"/>
      <c r="K1370" t="s">
        <v>15</v>
      </c>
    </row>
    <row r="1371" spans="2:11" ht="22" x14ac:dyDescent="0.15">
      <c r="B1371" s="27" t="s">
        <v>1747</v>
      </c>
      <c r="C1371" s="27" t="s">
        <v>178</v>
      </c>
      <c r="D1371" s="28">
        <f>SUMIFS(D1372:D1509,K1372:K1509,"0",B1372:B1509,"5 1 3 6 1 12 31111 6 M78 07000 151 00C 001 36101 015 2112000*")-SUMIFS(E1372:E1509,K1372:K1509,"0",B1372:B1509,"5 1 3 6 1 12 31111 6 M78 07000 151 00C 001 36101 015 2112000*")</f>
        <v>0</v>
      </c>
      <c r="E1371" s="29"/>
      <c r="F1371" s="28">
        <f>SUMIFS(F1372:F1509,K1372:K1509,"0",B1372:B1509,"5 1 3 6 1 12 31111 6 M78 07000 151 00C 001 36101 015 2112000*")</f>
        <v>62400</v>
      </c>
      <c r="G1371" s="28">
        <f>SUMIFS(G1372:G1509,K1372:K1509,"0",B1372:B1509,"5 1 3 6 1 12 31111 6 M78 07000 151 00C 001 36101 015 2112000*")</f>
        <v>0</v>
      </c>
      <c r="H1371" s="28">
        <f t="shared" si="25"/>
        <v>62400</v>
      </c>
      <c r="I1371" s="28"/>
      <c r="K1371" t="s">
        <v>15</v>
      </c>
    </row>
    <row r="1372" spans="2:11" ht="22" x14ac:dyDescent="0.15">
      <c r="B1372" s="27" t="s">
        <v>1748</v>
      </c>
      <c r="C1372" s="27" t="s">
        <v>248</v>
      </c>
      <c r="D1372" s="28">
        <f>SUMIFS(D1373:D1509,K1373:K1509,"0",B1373:B1509,"5 1 3 6 1 12 31111 6 M78 07000 151 00C 001 36101 015 2112000 2024*")-SUMIFS(E1373:E1509,K1373:K1509,"0",B1373:B1509,"5 1 3 6 1 12 31111 6 M78 07000 151 00C 001 36101 015 2112000 2024*")</f>
        <v>0</v>
      </c>
      <c r="E1372" s="29"/>
      <c r="F1372" s="28">
        <f>SUMIFS(F1373:F1509,K1373:K1509,"0",B1373:B1509,"5 1 3 6 1 12 31111 6 M78 07000 151 00C 001 36101 015 2112000 2024*")</f>
        <v>62400</v>
      </c>
      <c r="G1372" s="28">
        <f>SUMIFS(G1373:G1509,K1373:K1509,"0",B1373:B1509,"5 1 3 6 1 12 31111 6 M78 07000 151 00C 001 36101 015 2112000 2024*")</f>
        <v>0</v>
      </c>
      <c r="H1372" s="28">
        <f t="shared" si="25"/>
        <v>62400</v>
      </c>
      <c r="I1372" s="28"/>
      <c r="K1372" t="s">
        <v>15</v>
      </c>
    </row>
    <row r="1373" spans="2:11" ht="22" x14ac:dyDescent="0.15">
      <c r="B1373" s="27" t="s">
        <v>1749</v>
      </c>
      <c r="C1373" s="27" t="s">
        <v>182</v>
      </c>
      <c r="D1373" s="28">
        <f>SUMIFS(D1374:D1509,K1374:K1509,"0",B1374:B1509,"5 1 3 6 1 12 31111 6 M78 07000 151 00C 001 36101 015 2112000 2024 00000000*")-SUMIFS(E1374:E1509,K1374:K1509,"0",B1374:B1509,"5 1 3 6 1 12 31111 6 M78 07000 151 00C 001 36101 015 2112000 2024 00000000*")</f>
        <v>0</v>
      </c>
      <c r="E1373" s="29"/>
      <c r="F1373" s="28">
        <f>SUMIFS(F1374:F1509,K1374:K1509,"0",B1374:B1509,"5 1 3 6 1 12 31111 6 M78 07000 151 00C 001 36101 015 2112000 2024 00000000*")</f>
        <v>62400</v>
      </c>
      <c r="G1373" s="28">
        <f>SUMIFS(G1374:G1509,K1374:K1509,"0",B1374:B1509,"5 1 3 6 1 12 31111 6 M78 07000 151 00C 001 36101 015 2112000 2024 00000000*")</f>
        <v>0</v>
      </c>
      <c r="H1373" s="28">
        <f t="shared" si="25"/>
        <v>62400</v>
      </c>
      <c r="I1373" s="28"/>
      <c r="K1373" t="s">
        <v>15</v>
      </c>
    </row>
    <row r="1374" spans="2:11" ht="33" x14ac:dyDescent="0.15">
      <c r="B1374" s="27" t="s">
        <v>1750</v>
      </c>
      <c r="C1374" s="27" t="s">
        <v>9</v>
      </c>
      <c r="D1374" s="28">
        <f>SUMIFS(D1375:D1509,K1375:K1509,"0",B1375:B1509,"5 1 3 6 1 12 31111 6 M78 07000 151 00C 001 36101 015 2112000 2024 00000000 001*")-SUMIFS(E1375:E1509,K1375:K1509,"0",B1375:B1509,"5 1 3 6 1 12 31111 6 M78 07000 151 00C 001 36101 015 2112000 2024 00000000 001*")</f>
        <v>0</v>
      </c>
      <c r="E1374" s="29"/>
      <c r="F1374" s="28">
        <f>SUMIFS(F1375:F1509,K1375:K1509,"0",B1375:B1509,"5 1 3 6 1 12 31111 6 M78 07000 151 00C 001 36101 015 2112000 2024 00000000 001*")</f>
        <v>62400</v>
      </c>
      <c r="G1374" s="28">
        <f>SUMIFS(G1375:G1509,K1375:K1509,"0",B1375:B1509,"5 1 3 6 1 12 31111 6 M78 07000 151 00C 001 36101 015 2112000 2024 00000000 001*")</f>
        <v>0</v>
      </c>
      <c r="H1374" s="28">
        <f t="shared" si="25"/>
        <v>62400</v>
      </c>
      <c r="I1374" s="28"/>
      <c r="K1374" t="s">
        <v>15</v>
      </c>
    </row>
    <row r="1375" spans="2:11" ht="33" x14ac:dyDescent="0.15">
      <c r="B1375" s="30" t="s">
        <v>1751</v>
      </c>
      <c r="C1375" s="30" t="s">
        <v>1752</v>
      </c>
      <c r="D1375" s="31">
        <v>0</v>
      </c>
      <c r="E1375" s="31"/>
      <c r="F1375" s="31">
        <v>62400</v>
      </c>
      <c r="G1375" s="31">
        <v>0</v>
      </c>
      <c r="H1375" s="31">
        <f t="shared" si="25"/>
        <v>62400</v>
      </c>
      <c r="I1375" s="31"/>
      <c r="K1375" t="s">
        <v>38</v>
      </c>
    </row>
    <row r="1376" spans="2:11" ht="13" x14ac:dyDescent="0.15">
      <c r="B1376" s="27" t="s">
        <v>1753</v>
      </c>
      <c r="C1376" s="27" t="s">
        <v>1754</v>
      </c>
      <c r="D1376" s="28">
        <f>SUMIFS(D1377:D1509,K1377:K1509,"0",B1377:B1509,"5 1 3 7*")-SUMIFS(E1377:E1509,K1377:K1509,"0",B1377:B1509,"5 1 3 7*")</f>
        <v>0</v>
      </c>
      <c r="E1376" s="29"/>
      <c r="F1376" s="28">
        <f>SUMIFS(F1377:F1509,K1377:K1509,"0",B1377:B1509,"5 1 3 7*")</f>
        <v>22481.72</v>
      </c>
      <c r="G1376" s="28">
        <f>SUMIFS(G1377:G1509,K1377:K1509,"0",B1377:B1509,"5 1 3 7*")</f>
        <v>0</v>
      </c>
      <c r="H1376" s="28">
        <f t="shared" ref="H1376:H1439" si="26">D1376 + F1376 - G1376</f>
        <v>22481.72</v>
      </c>
      <c r="I1376" s="28"/>
      <c r="K1376" t="s">
        <v>15</v>
      </c>
    </row>
    <row r="1377" spans="2:11" ht="13" x14ac:dyDescent="0.15">
      <c r="B1377" s="27" t="s">
        <v>1755</v>
      </c>
      <c r="C1377" s="27" t="s">
        <v>1756</v>
      </c>
      <c r="D1377" s="28">
        <f>SUMIFS(D1378:D1509,K1378:K1509,"0",B1378:B1509,"5 1 3 7 5*")-SUMIFS(E1378:E1509,K1378:K1509,"0",B1378:B1509,"5 1 3 7 5*")</f>
        <v>0</v>
      </c>
      <c r="E1377" s="29"/>
      <c r="F1377" s="28">
        <f>SUMIFS(F1378:F1509,K1378:K1509,"0",B1378:B1509,"5 1 3 7 5*")</f>
        <v>22481.72</v>
      </c>
      <c r="G1377" s="28">
        <f>SUMIFS(G1378:G1509,K1378:K1509,"0",B1378:B1509,"5 1 3 7 5*")</f>
        <v>0</v>
      </c>
      <c r="H1377" s="28">
        <f t="shared" si="26"/>
        <v>22481.72</v>
      </c>
      <c r="I1377" s="28"/>
      <c r="K1377" t="s">
        <v>15</v>
      </c>
    </row>
    <row r="1378" spans="2:11" ht="13" x14ac:dyDescent="0.15">
      <c r="B1378" s="27" t="s">
        <v>1757</v>
      </c>
      <c r="C1378" s="27" t="s">
        <v>26</v>
      </c>
      <c r="D1378" s="28">
        <f>SUMIFS(D1379:D1509,K1379:K1509,"0",B1379:B1509,"5 1 3 7 5 12*")-SUMIFS(E1379:E1509,K1379:K1509,"0",B1379:B1509,"5 1 3 7 5 12*")</f>
        <v>0</v>
      </c>
      <c r="E1378" s="29"/>
      <c r="F1378" s="28">
        <f>SUMIFS(F1379:F1509,K1379:K1509,"0",B1379:B1509,"5 1 3 7 5 12*")</f>
        <v>22481.72</v>
      </c>
      <c r="G1378" s="28">
        <f>SUMIFS(G1379:G1509,K1379:K1509,"0",B1379:B1509,"5 1 3 7 5 12*")</f>
        <v>0</v>
      </c>
      <c r="H1378" s="28">
        <f t="shared" si="26"/>
        <v>22481.72</v>
      </c>
      <c r="I1378" s="28"/>
      <c r="K1378" t="s">
        <v>15</v>
      </c>
    </row>
    <row r="1379" spans="2:11" ht="13" x14ac:dyDescent="0.15">
      <c r="B1379" s="27" t="s">
        <v>1758</v>
      </c>
      <c r="C1379" s="27" t="s">
        <v>28</v>
      </c>
      <c r="D1379" s="28">
        <f>SUMIFS(D1380:D1509,K1380:K1509,"0",B1380:B1509,"5 1 3 7 5 12 31111*")-SUMIFS(E1380:E1509,K1380:K1509,"0",B1380:B1509,"5 1 3 7 5 12 31111*")</f>
        <v>0</v>
      </c>
      <c r="E1379" s="29"/>
      <c r="F1379" s="28">
        <f>SUMIFS(F1380:F1509,K1380:K1509,"0",B1380:B1509,"5 1 3 7 5 12 31111*")</f>
        <v>22481.72</v>
      </c>
      <c r="G1379" s="28">
        <f>SUMIFS(G1380:G1509,K1380:K1509,"0",B1380:B1509,"5 1 3 7 5 12 31111*")</f>
        <v>0</v>
      </c>
      <c r="H1379" s="28">
        <f t="shared" si="26"/>
        <v>22481.72</v>
      </c>
      <c r="I1379" s="28"/>
      <c r="K1379" t="s">
        <v>15</v>
      </c>
    </row>
    <row r="1380" spans="2:11" ht="13" x14ac:dyDescent="0.15">
      <c r="B1380" s="27" t="s">
        <v>1759</v>
      </c>
      <c r="C1380" s="27" t="s">
        <v>30</v>
      </c>
      <c r="D1380" s="28">
        <f>SUMIFS(D1381:D1509,K1381:K1509,"0",B1381:B1509,"5 1 3 7 5 12 31111 6*")-SUMIFS(E1381:E1509,K1381:K1509,"0",B1381:B1509,"5 1 3 7 5 12 31111 6*")</f>
        <v>0</v>
      </c>
      <c r="E1380" s="29"/>
      <c r="F1380" s="28">
        <f>SUMIFS(F1381:F1509,K1381:K1509,"0",B1381:B1509,"5 1 3 7 5 12 31111 6*")</f>
        <v>22481.72</v>
      </c>
      <c r="G1380" s="28">
        <f>SUMIFS(G1381:G1509,K1381:K1509,"0",B1381:B1509,"5 1 3 7 5 12 31111 6*")</f>
        <v>0</v>
      </c>
      <c r="H1380" s="28">
        <f t="shared" si="26"/>
        <v>22481.72</v>
      </c>
      <c r="I1380" s="28"/>
      <c r="K1380" t="s">
        <v>15</v>
      </c>
    </row>
    <row r="1381" spans="2:11" ht="13" x14ac:dyDescent="0.15">
      <c r="B1381" s="27" t="s">
        <v>1760</v>
      </c>
      <c r="C1381" s="27" t="s">
        <v>733</v>
      </c>
      <c r="D1381" s="28">
        <f>SUMIFS(D1382:D1509,K1382:K1509,"0",B1382:B1509,"5 1 3 7 5 12 31111 6 M78*")-SUMIFS(E1382:E1509,K1382:K1509,"0",B1382:B1509,"5 1 3 7 5 12 31111 6 M78*")</f>
        <v>0</v>
      </c>
      <c r="E1381" s="29"/>
      <c r="F1381" s="28">
        <f>SUMIFS(F1382:F1509,K1382:K1509,"0",B1382:B1509,"5 1 3 7 5 12 31111 6 M78*")</f>
        <v>22481.72</v>
      </c>
      <c r="G1381" s="28">
        <f>SUMIFS(G1382:G1509,K1382:K1509,"0",B1382:B1509,"5 1 3 7 5 12 31111 6 M78*")</f>
        <v>0</v>
      </c>
      <c r="H1381" s="28">
        <f t="shared" si="26"/>
        <v>22481.72</v>
      </c>
      <c r="I1381" s="28"/>
      <c r="K1381" t="s">
        <v>15</v>
      </c>
    </row>
    <row r="1382" spans="2:11" ht="13" x14ac:dyDescent="0.15">
      <c r="B1382" s="27" t="s">
        <v>1761</v>
      </c>
      <c r="C1382" s="27" t="s">
        <v>8</v>
      </c>
      <c r="D1382" s="28">
        <f>SUMIFS(D1383:D1509,K1383:K1509,"0",B1383:B1509,"5 1 3 7 5 12 31111 6 M78 07000*")-SUMIFS(E1383:E1509,K1383:K1509,"0",B1383:B1509,"5 1 3 7 5 12 31111 6 M78 07000*")</f>
        <v>0</v>
      </c>
      <c r="E1382" s="29"/>
      <c r="F1382" s="28">
        <f>SUMIFS(F1383:F1509,K1383:K1509,"0",B1383:B1509,"5 1 3 7 5 12 31111 6 M78 07000*")</f>
        <v>22481.72</v>
      </c>
      <c r="G1382" s="28">
        <f>SUMIFS(G1383:G1509,K1383:K1509,"0",B1383:B1509,"5 1 3 7 5 12 31111 6 M78 07000*")</f>
        <v>0</v>
      </c>
      <c r="H1382" s="28">
        <f t="shared" si="26"/>
        <v>22481.72</v>
      </c>
      <c r="I1382" s="28"/>
      <c r="K1382" t="s">
        <v>15</v>
      </c>
    </row>
    <row r="1383" spans="2:11" ht="13" x14ac:dyDescent="0.15">
      <c r="B1383" s="27" t="s">
        <v>1762</v>
      </c>
      <c r="C1383" s="27" t="s">
        <v>168</v>
      </c>
      <c r="D1383" s="28">
        <f>SUMIFS(D1384:D1509,K1384:K1509,"0",B1384:B1509,"5 1 3 7 5 12 31111 6 M78 07000 151*")-SUMIFS(E1384:E1509,K1384:K1509,"0",B1384:B1509,"5 1 3 7 5 12 31111 6 M78 07000 151*")</f>
        <v>0</v>
      </c>
      <c r="E1383" s="29"/>
      <c r="F1383" s="28">
        <f>SUMIFS(F1384:F1509,K1384:K1509,"0",B1384:B1509,"5 1 3 7 5 12 31111 6 M78 07000 151*")</f>
        <v>22481.72</v>
      </c>
      <c r="G1383" s="28">
        <f>SUMIFS(G1384:G1509,K1384:K1509,"0",B1384:B1509,"5 1 3 7 5 12 31111 6 M78 07000 151*")</f>
        <v>0</v>
      </c>
      <c r="H1383" s="28">
        <f t="shared" si="26"/>
        <v>22481.72</v>
      </c>
      <c r="I1383" s="28"/>
      <c r="K1383" t="s">
        <v>15</v>
      </c>
    </row>
    <row r="1384" spans="2:11" ht="13" x14ac:dyDescent="0.15">
      <c r="B1384" s="27" t="s">
        <v>1763</v>
      </c>
      <c r="C1384" s="27" t="s">
        <v>170</v>
      </c>
      <c r="D1384" s="28">
        <f>SUMIFS(D1385:D1509,K1385:K1509,"0",B1385:B1509,"5 1 3 7 5 12 31111 6 M78 07000 151 00C*")-SUMIFS(E1385:E1509,K1385:K1509,"0",B1385:B1509,"5 1 3 7 5 12 31111 6 M78 07000 151 00C*")</f>
        <v>0</v>
      </c>
      <c r="E1384" s="29"/>
      <c r="F1384" s="28">
        <f>SUMIFS(F1385:F1509,K1385:K1509,"0",B1385:B1509,"5 1 3 7 5 12 31111 6 M78 07000 151 00C*")</f>
        <v>22481.72</v>
      </c>
      <c r="G1384" s="28">
        <f>SUMIFS(G1385:G1509,K1385:K1509,"0",B1385:B1509,"5 1 3 7 5 12 31111 6 M78 07000 151 00C*")</f>
        <v>0</v>
      </c>
      <c r="H1384" s="28">
        <f t="shared" si="26"/>
        <v>22481.72</v>
      </c>
      <c r="I1384" s="28"/>
      <c r="K1384" t="s">
        <v>15</v>
      </c>
    </row>
    <row r="1385" spans="2:11" ht="22" x14ac:dyDescent="0.15">
      <c r="B1385" s="27" t="s">
        <v>1764</v>
      </c>
      <c r="C1385" s="27" t="s">
        <v>9</v>
      </c>
      <c r="D1385" s="28">
        <f>SUMIFS(D1386:D1509,K1386:K1509,"0",B1386:B1509,"5 1 3 7 5 12 31111 6 M78 07000 151 00C 001*")-SUMIFS(E1386:E1509,K1386:K1509,"0",B1386:B1509,"5 1 3 7 5 12 31111 6 M78 07000 151 00C 001*")</f>
        <v>0</v>
      </c>
      <c r="E1385" s="29"/>
      <c r="F1385" s="28">
        <f>SUMIFS(F1386:F1509,K1386:K1509,"0",B1386:B1509,"5 1 3 7 5 12 31111 6 M78 07000 151 00C 001*")</f>
        <v>22481.72</v>
      </c>
      <c r="G1385" s="28">
        <f>SUMIFS(G1386:G1509,K1386:K1509,"0",B1386:B1509,"5 1 3 7 5 12 31111 6 M78 07000 151 00C 001*")</f>
        <v>0</v>
      </c>
      <c r="H1385" s="28">
        <f t="shared" si="26"/>
        <v>22481.72</v>
      </c>
      <c r="I1385" s="28"/>
      <c r="K1385" t="s">
        <v>15</v>
      </c>
    </row>
    <row r="1386" spans="2:11" ht="22" x14ac:dyDescent="0.15">
      <c r="B1386" s="27" t="s">
        <v>1765</v>
      </c>
      <c r="C1386" s="27" t="s">
        <v>1766</v>
      </c>
      <c r="D1386" s="28">
        <f>SUMIFS(D1387:D1509,K1387:K1509,"0",B1387:B1509,"5 1 3 7 5 12 31111 6 M78 07000 151 00C 001 37501*")-SUMIFS(E1387:E1509,K1387:K1509,"0",B1387:B1509,"5 1 3 7 5 12 31111 6 M78 07000 151 00C 001 37501*")</f>
        <v>0</v>
      </c>
      <c r="E1386" s="29"/>
      <c r="F1386" s="28">
        <f>SUMIFS(F1387:F1509,K1387:K1509,"0",B1387:B1509,"5 1 3 7 5 12 31111 6 M78 07000 151 00C 001 37501*")</f>
        <v>22481.72</v>
      </c>
      <c r="G1386" s="28">
        <f>SUMIFS(G1387:G1509,K1387:K1509,"0",B1387:B1509,"5 1 3 7 5 12 31111 6 M78 07000 151 00C 001 37501*")</f>
        <v>0</v>
      </c>
      <c r="H1386" s="28">
        <f t="shared" si="26"/>
        <v>22481.72</v>
      </c>
      <c r="I1386" s="28"/>
      <c r="K1386" t="s">
        <v>15</v>
      </c>
    </row>
    <row r="1387" spans="2:11" ht="22" x14ac:dyDescent="0.15">
      <c r="B1387" s="27" t="s">
        <v>1767</v>
      </c>
      <c r="C1387" s="27" t="s">
        <v>176</v>
      </c>
      <c r="D1387" s="28">
        <f>SUMIFS(D1388:D1509,K1388:K1509,"0",B1388:B1509,"5 1 3 7 5 12 31111 6 M78 07000 151 00C 001 37501 015*")-SUMIFS(E1388:E1509,K1388:K1509,"0",B1388:B1509,"5 1 3 7 5 12 31111 6 M78 07000 151 00C 001 37501 015*")</f>
        <v>0</v>
      </c>
      <c r="E1387" s="29"/>
      <c r="F1387" s="28">
        <f>SUMIFS(F1388:F1509,K1388:K1509,"0",B1388:B1509,"5 1 3 7 5 12 31111 6 M78 07000 151 00C 001 37501 015*")</f>
        <v>22481.72</v>
      </c>
      <c r="G1387" s="28">
        <f>SUMIFS(G1388:G1509,K1388:K1509,"0",B1388:B1509,"5 1 3 7 5 12 31111 6 M78 07000 151 00C 001 37501 015*")</f>
        <v>0</v>
      </c>
      <c r="H1387" s="28">
        <f t="shared" si="26"/>
        <v>22481.72</v>
      </c>
      <c r="I1387" s="28"/>
      <c r="K1387" t="s">
        <v>15</v>
      </c>
    </row>
    <row r="1388" spans="2:11" ht="22" x14ac:dyDescent="0.15">
      <c r="B1388" s="27" t="s">
        <v>1768</v>
      </c>
      <c r="C1388" s="27" t="s">
        <v>178</v>
      </c>
      <c r="D1388" s="28">
        <f>SUMIFS(D1389:D1509,K1389:K1509,"0",B1389:B1509,"5 1 3 7 5 12 31111 6 M78 07000 151 00C 001 37501 015 2112000*")-SUMIFS(E1389:E1509,K1389:K1509,"0",B1389:B1509,"5 1 3 7 5 12 31111 6 M78 07000 151 00C 001 37501 015 2112000*")</f>
        <v>0</v>
      </c>
      <c r="E1388" s="29"/>
      <c r="F1388" s="28">
        <f>SUMIFS(F1389:F1509,K1389:K1509,"0",B1389:B1509,"5 1 3 7 5 12 31111 6 M78 07000 151 00C 001 37501 015 2112000*")</f>
        <v>22481.72</v>
      </c>
      <c r="G1388" s="28">
        <f>SUMIFS(G1389:G1509,K1389:K1509,"0",B1389:B1509,"5 1 3 7 5 12 31111 6 M78 07000 151 00C 001 37501 015 2112000*")</f>
        <v>0</v>
      </c>
      <c r="H1388" s="28">
        <f t="shared" si="26"/>
        <v>22481.72</v>
      </c>
      <c r="I1388" s="28"/>
      <c r="K1388" t="s">
        <v>15</v>
      </c>
    </row>
    <row r="1389" spans="2:11" ht="22" x14ac:dyDescent="0.15">
      <c r="B1389" s="27" t="s">
        <v>1769</v>
      </c>
      <c r="C1389" s="27" t="s">
        <v>248</v>
      </c>
      <c r="D1389" s="28">
        <f>SUMIFS(D1390:D1509,K1390:K1509,"0",B1390:B1509,"5 1 3 7 5 12 31111 6 M78 07000 151 00C 001 37501 015 2112000 2024*")-SUMIFS(E1390:E1509,K1390:K1509,"0",B1390:B1509,"5 1 3 7 5 12 31111 6 M78 07000 151 00C 001 37501 015 2112000 2024*")</f>
        <v>0</v>
      </c>
      <c r="E1389" s="29"/>
      <c r="F1389" s="28">
        <f>SUMIFS(F1390:F1509,K1390:K1509,"0",B1390:B1509,"5 1 3 7 5 12 31111 6 M78 07000 151 00C 001 37501 015 2112000 2024*")</f>
        <v>22481.72</v>
      </c>
      <c r="G1389" s="28">
        <f>SUMIFS(G1390:G1509,K1390:K1509,"0",B1390:B1509,"5 1 3 7 5 12 31111 6 M78 07000 151 00C 001 37501 015 2112000 2024*")</f>
        <v>0</v>
      </c>
      <c r="H1389" s="28">
        <f t="shared" si="26"/>
        <v>22481.72</v>
      </c>
      <c r="I1389" s="28"/>
      <c r="K1389" t="s">
        <v>15</v>
      </c>
    </row>
    <row r="1390" spans="2:11" ht="22" x14ac:dyDescent="0.15">
      <c r="B1390" s="27" t="s">
        <v>1770</v>
      </c>
      <c r="C1390" s="27" t="s">
        <v>182</v>
      </c>
      <c r="D1390" s="28">
        <f>SUMIFS(D1391:D1509,K1391:K1509,"0",B1391:B1509,"5 1 3 7 5 12 31111 6 M78 07000 151 00C 001 37501 015 2112000 2024 00000000*")-SUMIFS(E1391:E1509,K1391:K1509,"0",B1391:B1509,"5 1 3 7 5 12 31111 6 M78 07000 151 00C 001 37501 015 2112000 2024 00000000*")</f>
        <v>0</v>
      </c>
      <c r="E1390" s="29"/>
      <c r="F1390" s="28">
        <f>SUMIFS(F1391:F1509,K1391:K1509,"0",B1391:B1509,"5 1 3 7 5 12 31111 6 M78 07000 151 00C 001 37501 015 2112000 2024 00000000*")</f>
        <v>22481.72</v>
      </c>
      <c r="G1390" s="28">
        <f>SUMIFS(G1391:G1509,K1391:K1509,"0",B1391:B1509,"5 1 3 7 5 12 31111 6 M78 07000 151 00C 001 37501 015 2112000 2024 00000000*")</f>
        <v>0</v>
      </c>
      <c r="H1390" s="28">
        <f t="shared" si="26"/>
        <v>22481.72</v>
      </c>
      <c r="I1390" s="28"/>
      <c r="K1390" t="s">
        <v>15</v>
      </c>
    </row>
    <row r="1391" spans="2:11" ht="33" x14ac:dyDescent="0.15">
      <c r="B1391" s="27" t="s">
        <v>1771</v>
      </c>
      <c r="C1391" s="27" t="s">
        <v>9</v>
      </c>
      <c r="D1391" s="28">
        <f>SUMIFS(D1392:D1509,K1392:K1509,"0",B1392:B1509,"5 1 3 7 5 12 31111 6 M78 07000 151 00C 001 37501 015 2112000 2024 00000000 001*")-SUMIFS(E1392:E1509,K1392:K1509,"0",B1392:B1509,"5 1 3 7 5 12 31111 6 M78 07000 151 00C 001 37501 015 2112000 2024 00000000 001*")</f>
        <v>0</v>
      </c>
      <c r="E1391" s="29"/>
      <c r="F1391" s="28">
        <f>SUMIFS(F1392:F1509,K1392:K1509,"0",B1392:B1509,"5 1 3 7 5 12 31111 6 M78 07000 151 00C 001 37501 015 2112000 2024 00000000 001*")</f>
        <v>22481.72</v>
      </c>
      <c r="G1391" s="28">
        <f>SUMIFS(G1392:G1509,K1392:K1509,"0",B1392:B1509,"5 1 3 7 5 12 31111 6 M78 07000 151 00C 001 37501 015 2112000 2024 00000000 001*")</f>
        <v>0</v>
      </c>
      <c r="H1391" s="28">
        <f t="shared" si="26"/>
        <v>22481.72</v>
      </c>
      <c r="I1391" s="28"/>
      <c r="K1391" t="s">
        <v>15</v>
      </c>
    </row>
    <row r="1392" spans="2:11" ht="33" x14ac:dyDescent="0.15">
      <c r="B1392" s="30" t="s">
        <v>1772</v>
      </c>
      <c r="C1392" s="30" t="s">
        <v>1773</v>
      </c>
      <c r="D1392" s="31">
        <v>0</v>
      </c>
      <c r="E1392" s="31"/>
      <c r="F1392" s="31">
        <v>22481.72</v>
      </c>
      <c r="G1392" s="31">
        <v>0</v>
      </c>
      <c r="H1392" s="31">
        <f t="shared" si="26"/>
        <v>22481.72</v>
      </c>
      <c r="I1392" s="31"/>
      <c r="K1392" t="s">
        <v>38</v>
      </c>
    </row>
    <row r="1393" spans="2:11" ht="13" x14ac:dyDescent="0.15">
      <c r="B1393" s="27" t="s">
        <v>1774</v>
      </c>
      <c r="C1393" s="27" t="s">
        <v>1775</v>
      </c>
      <c r="D1393" s="28">
        <f>SUMIFS(D1394:D1509,K1394:K1509,"0",B1394:B1509,"5 1 3 8*")-SUMIFS(E1394:E1509,K1394:K1509,"0",B1394:B1509,"5 1 3 8*")</f>
        <v>0</v>
      </c>
      <c r="E1393" s="29"/>
      <c r="F1393" s="28">
        <f>SUMIFS(F1394:F1509,K1394:K1509,"0",B1394:B1509,"5 1 3 8*")</f>
        <v>972311.75</v>
      </c>
      <c r="G1393" s="28">
        <f>SUMIFS(G1394:G1509,K1394:K1509,"0",B1394:B1509,"5 1 3 8*")</f>
        <v>0</v>
      </c>
      <c r="H1393" s="28">
        <f t="shared" si="26"/>
        <v>972311.75</v>
      </c>
      <c r="I1393" s="28"/>
      <c r="K1393" t="s">
        <v>15</v>
      </c>
    </row>
    <row r="1394" spans="2:11" ht="13" x14ac:dyDescent="0.15">
      <c r="B1394" s="27" t="s">
        <v>1776</v>
      </c>
      <c r="C1394" s="27" t="s">
        <v>1777</v>
      </c>
      <c r="D1394" s="28">
        <f>SUMIFS(D1395:D1509,K1395:K1509,"0",B1395:B1509,"5 1 3 8 2*")-SUMIFS(E1395:E1509,K1395:K1509,"0",B1395:B1509,"5 1 3 8 2*")</f>
        <v>0</v>
      </c>
      <c r="E1394" s="29"/>
      <c r="F1394" s="28">
        <f>SUMIFS(F1395:F1509,K1395:K1509,"0",B1395:B1509,"5 1 3 8 2*")</f>
        <v>862178.51</v>
      </c>
      <c r="G1394" s="28">
        <f>SUMIFS(G1395:G1509,K1395:K1509,"0",B1395:B1509,"5 1 3 8 2*")</f>
        <v>0</v>
      </c>
      <c r="H1394" s="28">
        <f t="shared" si="26"/>
        <v>862178.51</v>
      </c>
      <c r="I1394" s="28"/>
      <c r="K1394" t="s">
        <v>15</v>
      </c>
    </row>
    <row r="1395" spans="2:11" ht="13" x14ac:dyDescent="0.15">
      <c r="B1395" s="27" t="s">
        <v>1778</v>
      </c>
      <c r="C1395" s="27" t="s">
        <v>26</v>
      </c>
      <c r="D1395" s="28">
        <f>SUMIFS(D1396:D1509,K1396:K1509,"0",B1396:B1509,"5 1 3 8 2 12*")-SUMIFS(E1396:E1509,K1396:K1509,"0",B1396:B1509,"5 1 3 8 2 12*")</f>
        <v>0</v>
      </c>
      <c r="E1395" s="29"/>
      <c r="F1395" s="28">
        <f>SUMIFS(F1396:F1509,K1396:K1509,"0",B1396:B1509,"5 1 3 8 2 12*")</f>
        <v>862178.51</v>
      </c>
      <c r="G1395" s="28">
        <f>SUMIFS(G1396:G1509,K1396:K1509,"0",B1396:B1509,"5 1 3 8 2 12*")</f>
        <v>0</v>
      </c>
      <c r="H1395" s="28">
        <f t="shared" si="26"/>
        <v>862178.51</v>
      </c>
      <c r="I1395" s="28"/>
      <c r="K1395" t="s">
        <v>15</v>
      </c>
    </row>
    <row r="1396" spans="2:11" ht="13" x14ac:dyDescent="0.15">
      <c r="B1396" s="27" t="s">
        <v>1779</v>
      </c>
      <c r="C1396" s="27" t="s">
        <v>28</v>
      </c>
      <c r="D1396" s="28">
        <f>SUMIFS(D1397:D1509,K1397:K1509,"0",B1397:B1509,"5 1 3 8 2 12 31111*")-SUMIFS(E1397:E1509,K1397:K1509,"0",B1397:B1509,"5 1 3 8 2 12 31111*")</f>
        <v>0</v>
      </c>
      <c r="E1396" s="29"/>
      <c r="F1396" s="28">
        <f>SUMIFS(F1397:F1509,K1397:K1509,"0",B1397:B1509,"5 1 3 8 2 12 31111*")</f>
        <v>862178.51</v>
      </c>
      <c r="G1396" s="28">
        <f>SUMIFS(G1397:G1509,K1397:K1509,"0",B1397:B1509,"5 1 3 8 2 12 31111*")</f>
        <v>0</v>
      </c>
      <c r="H1396" s="28">
        <f t="shared" si="26"/>
        <v>862178.51</v>
      </c>
      <c r="I1396" s="28"/>
      <c r="K1396" t="s">
        <v>15</v>
      </c>
    </row>
    <row r="1397" spans="2:11" ht="13" x14ac:dyDescent="0.15">
      <c r="B1397" s="27" t="s">
        <v>1780</v>
      </c>
      <c r="C1397" s="27" t="s">
        <v>30</v>
      </c>
      <c r="D1397" s="28">
        <f>SUMIFS(D1398:D1509,K1398:K1509,"0",B1398:B1509,"5 1 3 8 2 12 31111 6*")-SUMIFS(E1398:E1509,K1398:K1509,"0",B1398:B1509,"5 1 3 8 2 12 31111 6*")</f>
        <v>0</v>
      </c>
      <c r="E1397" s="29"/>
      <c r="F1397" s="28">
        <f>SUMIFS(F1398:F1509,K1398:K1509,"0",B1398:B1509,"5 1 3 8 2 12 31111 6*")</f>
        <v>862178.51</v>
      </c>
      <c r="G1397" s="28">
        <f>SUMIFS(G1398:G1509,K1398:K1509,"0",B1398:B1509,"5 1 3 8 2 12 31111 6*")</f>
        <v>0</v>
      </c>
      <c r="H1397" s="28">
        <f t="shared" si="26"/>
        <v>862178.51</v>
      </c>
      <c r="I1397" s="28"/>
      <c r="K1397" t="s">
        <v>15</v>
      </c>
    </row>
    <row r="1398" spans="2:11" ht="13" x14ac:dyDescent="0.15">
      <c r="B1398" s="27" t="s">
        <v>1781</v>
      </c>
      <c r="C1398" s="27" t="s">
        <v>733</v>
      </c>
      <c r="D1398" s="28">
        <f>SUMIFS(D1399:D1509,K1399:K1509,"0",B1399:B1509,"5 1 3 8 2 12 31111 6 M78*")-SUMIFS(E1399:E1509,K1399:K1509,"0",B1399:B1509,"5 1 3 8 2 12 31111 6 M78*")</f>
        <v>0</v>
      </c>
      <c r="E1398" s="29"/>
      <c r="F1398" s="28">
        <f>SUMIFS(F1399:F1509,K1399:K1509,"0",B1399:B1509,"5 1 3 8 2 12 31111 6 M78*")</f>
        <v>862178.51</v>
      </c>
      <c r="G1398" s="28">
        <f>SUMIFS(G1399:G1509,K1399:K1509,"0",B1399:B1509,"5 1 3 8 2 12 31111 6 M78*")</f>
        <v>0</v>
      </c>
      <c r="H1398" s="28">
        <f t="shared" si="26"/>
        <v>862178.51</v>
      </c>
      <c r="I1398" s="28"/>
      <c r="K1398" t="s">
        <v>15</v>
      </c>
    </row>
    <row r="1399" spans="2:11" ht="13" x14ac:dyDescent="0.15">
      <c r="B1399" s="27" t="s">
        <v>1782</v>
      </c>
      <c r="C1399" s="27" t="s">
        <v>8</v>
      </c>
      <c r="D1399" s="28">
        <f>SUMIFS(D1400:D1509,K1400:K1509,"0",B1400:B1509,"5 1 3 8 2 12 31111 6 M78 07000*")-SUMIFS(E1400:E1509,K1400:K1509,"0",B1400:B1509,"5 1 3 8 2 12 31111 6 M78 07000*")</f>
        <v>0</v>
      </c>
      <c r="E1399" s="29"/>
      <c r="F1399" s="28">
        <f>SUMIFS(F1400:F1509,K1400:K1509,"0",B1400:B1509,"5 1 3 8 2 12 31111 6 M78 07000*")</f>
        <v>862178.51</v>
      </c>
      <c r="G1399" s="28">
        <f>SUMIFS(G1400:G1509,K1400:K1509,"0",B1400:B1509,"5 1 3 8 2 12 31111 6 M78 07000*")</f>
        <v>0</v>
      </c>
      <c r="H1399" s="28">
        <f t="shared" si="26"/>
        <v>862178.51</v>
      </c>
      <c r="I1399" s="28"/>
      <c r="K1399" t="s">
        <v>15</v>
      </c>
    </row>
    <row r="1400" spans="2:11" ht="13" x14ac:dyDescent="0.15">
      <c r="B1400" s="27" t="s">
        <v>1783</v>
      </c>
      <c r="C1400" s="27" t="s">
        <v>168</v>
      </c>
      <c r="D1400" s="28">
        <f>SUMIFS(D1401:D1509,K1401:K1509,"0",B1401:B1509,"5 1 3 8 2 12 31111 6 M78 07000 151*")-SUMIFS(E1401:E1509,K1401:K1509,"0",B1401:B1509,"5 1 3 8 2 12 31111 6 M78 07000 151*")</f>
        <v>0</v>
      </c>
      <c r="E1400" s="29"/>
      <c r="F1400" s="28">
        <f>SUMIFS(F1401:F1509,K1401:K1509,"0",B1401:B1509,"5 1 3 8 2 12 31111 6 M78 07000 151*")</f>
        <v>862178.51</v>
      </c>
      <c r="G1400" s="28">
        <f>SUMIFS(G1401:G1509,K1401:K1509,"0",B1401:B1509,"5 1 3 8 2 12 31111 6 M78 07000 151*")</f>
        <v>0</v>
      </c>
      <c r="H1400" s="28">
        <f t="shared" si="26"/>
        <v>862178.51</v>
      </c>
      <c r="I1400" s="28"/>
      <c r="K1400" t="s">
        <v>15</v>
      </c>
    </row>
    <row r="1401" spans="2:11" ht="13" x14ac:dyDescent="0.15">
      <c r="B1401" s="27" t="s">
        <v>1784</v>
      </c>
      <c r="C1401" s="27" t="s">
        <v>170</v>
      </c>
      <c r="D1401" s="28">
        <f>SUMIFS(D1402:D1509,K1402:K1509,"0",B1402:B1509,"5 1 3 8 2 12 31111 6 M78 07000 151 00C*")-SUMIFS(E1402:E1509,K1402:K1509,"0",B1402:B1509,"5 1 3 8 2 12 31111 6 M78 07000 151 00C*")</f>
        <v>0</v>
      </c>
      <c r="E1401" s="29"/>
      <c r="F1401" s="28">
        <f>SUMIFS(F1402:F1509,K1402:K1509,"0",B1402:B1509,"5 1 3 8 2 12 31111 6 M78 07000 151 00C*")</f>
        <v>862178.51</v>
      </c>
      <c r="G1401" s="28">
        <f>SUMIFS(G1402:G1509,K1402:K1509,"0",B1402:B1509,"5 1 3 8 2 12 31111 6 M78 07000 151 00C*")</f>
        <v>0</v>
      </c>
      <c r="H1401" s="28">
        <f t="shared" si="26"/>
        <v>862178.51</v>
      </c>
      <c r="I1401" s="28"/>
      <c r="K1401" t="s">
        <v>15</v>
      </c>
    </row>
    <row r="1402" spans="2:11" ht="22" x14ac:dyDescent="0.15">
      <c r="B1402" s="27" t="s">
        <v>1785</v>
      </c>
      <c r="C1402" s="27" t="s">
        <v>9</v>
      </c>
      <c r="D1402" s="28">
        <f>SUMIFS(D1403:D1509,K1403:K1509,"0",B1403:B1509,"5 1 3 8 2 12 31111 6 M78 07000 151 00C 001*")-SUMIFS(E1403:E1509,K1403:K1509,"0",B1403:B1509,"5 1 3 8 2 12 31111 6 M78 07000 151 00C 001*")</f>
        <v>0</v>
      </c>
      <c r="E1402" s="29"/>
      <c r="F1402" s="28">
        <f>SUMIFS(F1403:F1509,K1403:K1509,"0",B1403:B1509,"5 1 3 8 2 12 31111 6 M78 07000 151 00C 001*")</f>
        <v>862178.51</v>
      </c>
      <c r="G1402" s="28">
        <f>SUMIFS(G1403:G1509,K1403:K1509,"0",B1403:B1509,"5 1 3 8 2 12 31111 6 M78 07000 151 00C 001*")</f>
        <v>0</v>
      </c>
      <c r="H1402" s="28">
        <f t="shared" si="26"/>
        <v>862178.51</v>
      </c>
      <c r="I1402" s="28"/>
      <c r="K1402" t="s">
        <v>15</v>
      </c>
    </row>
    <row r="1403" spans="2:11" ht="22" x14ac:dyDescent="0.15">
      <c r="B1403" s="27" t="s">
        <v>1786</v>
      </c>
      <c r="C1403" s="27" t="s">
        <v>1787</v>
      </c>
      <c r="D1403" s="28">
        <f>SUMIFS(D1404:D1509,K1404:K1509,"0",B1404:B1509,"5 1 3 8 2 12 31111 6 M78 07000 151 00C 001 38201*")-SUMIFS(E1404:E1509,K1404:K1509,"0",B1404:B1509,"5 1 3 8 2 12 31111 6 M78 07000 151 00C 001 38201*")</f>
        <v>0</v>
      </c>
      <c r="E1403" s="29"/>
      <c r="F1403" s="28">
        <f>SUMIFS(F1404:F1509,K1404:K1509,"0",B1404:B1509,"5 1 3 8 2 12 31111 6 M78 07000 151 00C 001 38201*")</f>
        <v>862178.51</v>
      </c>
      <c r="G1403" s="28">
        <f>SUMIFS(G1404:G1509,K1404:K1509,"0",B1404:B1509,"5 1 3 8 2 12 31111 6 M78 07000 151 00C 001 38201*")</f>
        <v>0</v>
      </c>
      <c r="H1403" s="28">
        <f t="shared" si="26"/>
        <v>862178.51</v>
      </c>
      <c r="I1403" s="28"/>
      <c r="K1403" t="s">
        <v>15</v>
      </c>
    </row>
    <row r="1404" spans="2:11" ht="22" x14ac:dyDescent="0.15">
      <c r="B1404" s="27" t="s">
        <v>1788</v>
      </c>
      <c r="C1404" s="27" t="s">
        <v>176</v>
      </c>
      <c r="D1404" s="28">
        <f>SUMIFS(D1405:D1509,K1405:K1509,"0",B1405:B1509,"5 1 3 8 2 12 31111 6 M78 07000 151 00C 001 38201 015*")-SUMIFS(E1405:E1509,K1405:K1509,"0",B1405:B1509,"5 1 3 8 2 12 31111 6 M78 07000 151 00C 001 38201 015*")</f>
        <v>0</v>
      </c>
      <c r="E1404" s="29"/>
      <c r="F1404" s="28">
        <f>SUMIFS(F1405:F1509,K1405:K1509,"0",B1405:B1509,"5 1 3 8 2 12 31111 6 M78 07000 151 00C 001 38201 015*")</f>
        <v>862178.51</v>
      </c>
      <c r="G1404" s="28">
        <f>SUMIFS(G1405:G1509,K1405:K1509,"0",B1405:B1509,"5 1 3 8 2 12 31111 6 M78 07000 151 00C 001 38201 015*")</f>
        <v>0</v>
      </c>
      <c r="H1404" s="28">
        <f t="shared" si="26"/>
        <v>862178.51</v>
      </c>
      <c r="I1404" s="28"/>
      <c r="K1404" t="s">
        <v>15</v>
      </c>
    </row>
    <row r="1405" spans="2:11" ht="22" x14ac:dyDescent="0.15">
      <c r="B1405" s="27" t="s">
        <v>1789</v>
      </c>
      <c r="C1405" s="27" t="s">
        <v>178</v>
      </c>
      <c r="D1405" s="28">
        <f>SUMIFS(D1406:D1509,K1406:K1509,"0",B1406:B1509,"5 1 3 8 2 12 31111 6 M78 07000 151 00C 001 38201 015 2112000*")-SUMIFS(E1406:E1509,K1406:K1509,"0",B1406:B1509,"5 1 3 8 2 12 31111 6 M78 07000 151 00C 001 38201 015 2112000*")</f>
        <v>0</v>
      </c>
      <c r="E1405" s="29"/>
      <c r="F1405" s="28">
        <f>SUMIFS(F1406:F1509,K1406:K1509,"0",B1406:B1509,"5 1 3 8 2 12 31111 6 M78 07000 151 00C 001 38201 015 2112000*")</f>
        <v>862178.51</v>
      </c>
      <c r="G1405" s="28">
        <f>SUMIFS(G1406:G1509,K1406:K1509,"0",B1406:B1509,"5 1 3 8 2 12 31111 6 M78 07000 151 00C 001 38201 015 2112000*")</f>
        <v>0</v>
      </c>
      <c r="H1405" s="28">
        <f t="shared" si="26"/>
        <v>862178.51</v>
      </c>
      <c r="I1405" s="28"/>
      <c r="K1405" t="s">
        <v>15</v>
      </c>
    </row>
    <row r="1406" spans="2:11" ht="22" x14ac:dyDescent="0.15">
      <c r="B1406" s="27" t="s">
        <v>1790</v>
      </c>
      <c r="C1406" s="27" t="s">
        <v>248</v>
      </c>
      <c r="D1406" s="28">
        <f>SUMIFS(D1407:D1509,K1407:K1509,"0",B1407:B1509,"5 1 3 8 2 12 31111 6 M78 07000 151 00C 001 38201 015 2112000 2024*")-SUMIFS(E1407:E1509,K1407:K1509,"0",B1407:B1509,"5 1 3 8 2 12 31111 6 M78 07000 151 00C 001 38201 015 2112000 2024*")</f>
        <v>0</v>
      </c>
      <c r="E1406" s="29"/>
      <c r="F1406" s="28">
        <f>SUMIFS(F1407:F1509,K1407:K1509,"0",B1407:B1509,"5 1 3 8 2 12 31111 6 M78 07000 151 00C 001 38201 015 2112000 2024*")</f>
        <v>862178.51</v>
      </c>
      <c r="G1406" s="28">
        <f>SUMIFS(G1407:G1509,K1407:K1509,"0",B1407:B1509,"5 1 3 8 2 12 31111 6 M78 07000 151 00C 001 38201 015 2112000 2024*")</f>
        <v>0</v>
      </c>
      <c r="H1406" s="28">
        <f t="shared" si="26"/>
        <v>862178.51</v>
      </c>
      <c r="I1406" s="28"/>
      <c r="K1406" t="s">
        <v>15</v>
      </c>
    </row>
    <row r="1407" spans="2:11" ht="22" x14ac:dyDescent="0.15">
      <c r="B1407" s="27" t="s">
        <v>1791</v>
      </c>
      <c r="C1407" s="27" t="s">
        <v>182</v>
      </c>
      <c r="D1407" s="28">
        <f>SUMIFS(D1408:D1509,K1408:K1509,"0",B1408:B1509,"5 1 3 8 2 12 31111 6 M78 07000 151 00C 001 38201 015 2112000 2024 00000000*")-SUMIFS(E1408:E1509,K1408:K1509,"0",B1408:B1509,"5 1 3 8 2 12 31111 6 M78 07000 151 00C 001 38201 015 2112000 2024 00000000*")</f>
        <v>0</v>
      </c>
      <c r="E1407" s="29"/>
      <c r="F1407" s="28">
        <f>SUMIFS(F1408:F1509,K1408:K1509,"0",B1408:B1509,"5 1 3 8 2 12 31111 6 M78 07000 151 00C 001 38201 015 2112000 2024 00000000*")</f>
        <v>862178.51</v>
      </c>
      <c r="G1407" s="28">
        <f>SUMIFS(G1408:G1509,K1408:K1509,"0",B1408:B1509,"5 1 3 8 2 12 31111 6 M78 07000 151 00C 001 38201 015 2112000 2024 00000000*")</f>
        <v>0</v>
      </c>
      <c r="H1407" s="28">
        <f t="shared" si="26"/>
        <v>862178.51</v>
      </c>
      <c r="I1407" s="28"/>
      <c r="K1407" t="s">
        <v>15</v>
      </c>
    </row>
    <row r="1408" spans="2:11" ht="33" x14ac:dyDescent="0.15">
      <c r="B1408" s="27" t="s">
        <v>1792</v>
      </c>
      <c r="C1408" s="27" t="s">
        <v>9</v>
      </c>
      <c r="D1408" s="28">
        <f>SUMIFS(D1409:D1509,K1409:K1509,"0",B1409:B1509,"5 1 3 8 2 12 31111 6 M78 07000 151 00C 001 38201 015 2112000 2024 00000000 001*")-SUMIFS(E1409:E1509,K1409:K1509,"0",B1409:B1509,"5 1 3 8 2 12 31111 6 M78 07000 151 00C 001 38201 015 2112000 2024 00000000 001*")</f>
        <v>0</v>
      </c>
      <c r="E1408" s="29"/>
      <c r="F1408" s="28">
        <f>SUMIFS(F1409:F1509,K1409:K1509,"0",B1409:B1509,"5 1 3 8 2 12 31111 6 M78 07000 151 00C 001 38201 015 2112000 2024 00000000 001*")</f>
        <v>862178.51</v>
      </c>
      <c r="G1408" s="28">
        <f>SUMIFS(G1409:G1509,K1409:K1509,"0",B1409:B1509,"5 1 3 8 2 12 31111 6 M78 07000 151 00C 001 38201 015 2112000 2024 00000000 001*")</f>
        <v>0</v>
      </c>
      <c r="H1408" s="28">
        <f t="shared" si="26"/>
        <v>862178.51</v>
      </c>
      <c r="I1408" s="28"/>
      <c r="K1408" t="s">
        <v>15</v>
      </c>
    </row>
    <row r="1409" spans="2:11" ht="33" x14ac:dyDescent="0.15">
      <c r="B1409" s="30" t="s">
        <v>1793</v>
      </c>
      <c r="C1409" s="30" t="s">
        <v>1794</v>
      </c>
      <c r="D1409" s="31">
        <v>0</v>
      </c>
      <c r="E1409" s="31"/>
      <c r="F1409" s="31">
        <v>862178.51</v>
      </c>
      <c r="G1409" s="31">
        <v>0</v>
      </c>
      <c r="H1409" s="31">
        <f t="shared" si="26"/>
        <v>862178.51</v>
      </c>
      <c r="I1409" s="31"/>
      <c r="K1409" t="s">
        <v>38</v>
      </c>
    </row>
    <row r="1410" spans="2:11" ht="13" x14ac:dyDescent="0.15">
      <c r="B1410" s="27" t="s">
        <v>1795</v>
      </c>
      <c r="C1410" s="27" t="s">
        <v>1796</v>
      </c>
      <c r="D1410" s="28">
        <f>SUMIFS(D1411:D1509,K1411:K1509,"0",B1411:B1509,"5 1 3 8 5*")-SUMIFS(E1411:E1509,K1411:K1509,"0",B1411:B1509,"5 1 3 8 5*")</f>
        <v>0</v>
      </c>
      <c r="E1410" s="29"/>
      <c r="F1410" s="28">
        <f>SUMIFS(F1411:F1509,K1411:K1509,"0",B1411:B1509,"5 1 3 8 5*")</f>
        <v>110133.24</v>
      </c>
      <c r="G1410" s="28">
        <f>SUMIFS(G1411:G1509,K1411:K1509,"0",B1411:B1509,"5 1 3 8 5*")</f>
        <v>0</v>
      </c>
      <c r="H1410" s="28">
        <f t="shared" si="26"/>
        <v>110133.24</v>
      </c>
      <c r="I1410" s="28"/>
      <c r="K1410" t="s">
        <v>15</v>
      </c>
    </row>
    <row r="1411" spans="2:11" ht="13" x14ac:dyDescent="0.15">
      <c r="B1411" s="27" t="s">
        <v>1797</v>
      </c>
      <c r="C1411" s="27" t="s">
        <v>26</v>
      </c>
      <c r="D1411" s="28">
        <f>SUMIFS(D1412:D1509,K1412:K1509,"0",B1412:B1509,"5 1 3 8 5 12*")-SUMIFS(E1412:E1509,K1412:K1509,"0",B1412:B1509,"5 1 3 8 5 12*")</f>
        <v>0</v>
      </c>
      <c r="E1411" s="29"/>
      <c r="F1411" s="28">
        <f>SUMIFS(F1412:F1509,K1412:K1509,"0",B1412:B1509,"5 1 3 8 5 12*")</f>
        <v>110133.24</v>
      </c>
      <c r="G1411" s="28">
        <f>SUMIFS(G1412:G1509,K1412:K1509,"0",B1412:B1509,"5 1 3 8 5 12*")</f>
        <v>0</v>
      </c>
      <c r="H1411" s="28">
        <f t="shared" si="26"/>
        <v>110133.24</v>
      </c>
      <c r="I1411" s="28"/>
      <c r="K1411" t="s">
        <v>15</v>
      </c>
    </row>
    <row r="1412" spans="2:11" ht="13" x14ac:dyDescent="0.15">
      <c r="B1412" s="27" t="s">
        <v>1798</v>
      </c>
      <c r="C1412" s="27" t="s">
        <v>28</v>
      </c>
      <c r="D1412" s="28">
        <f>SUMIFS(D1413:D1509,K1413:K1509,"0",B1413:B1509,"5 1 3 8 5 12 31111*")-SUMIFS(E1413:E1509,K1413:K1509,"0",B1413:B1509,"5 1 3 8 5 12 31111*")</f>
        <v>0</v>
      </c>
      <c r="E1412" s="29"/>
      <c r="F1412" s="28">
        <f>SUMIFS(F1413:F1509,K1413:K1509,"0",B1413:B1509,"5 1 3 8 5 12 31111*")</f>
        <v>110133.24</v>
      </c>
      <c r="G1412" s="28">
        <f>SUMIFS(G1413:G1509,K1413:K1509,"0",B1413:B1509,"5 1 3 8 5 12 31111*")</f>
        <v>0</v>
      </c>
      <c r="H1412" s="28">
        <f t="shared" si="26"/>
        <v>110133.24</v>
      </c>
      <c r="I1412" s="28"/>
      <c r="K1412" t="s">
        <v>15</v>
      </c>
    </row>
    <row r="1413" spans="2:11" ht="13" x14ac:dyDescent="0.15">
      <c r="B1413" s="27" t="s">
        <v>1799</v>
      </c>
      <c r="C1413" s="27" t="s">
        <v>30</v>
      </c>
      <c r="D1413" s="28">
        <f>SUMIFS(D1414:D1509,K1414:K1509,"0",B1414:B1509,"5 1 3 8 5 12 31111 6*")-SUMIFS(E1414:E1509,K1414:K1509,"0",B1414:B1509,"5 1 3 8 5 12 31111 6*")</f>
        <v>0</v>
      </c>
      <c r="E1413" s="29"/>
      <c r="F1413" s="28">
        <f>SUMIFS(F1414:F1509,K1414:K1509,"0",B1414:B1509,"5 1 3 8 5 12 31111 6*")</f>
        <v>110133.24</v>
      </c>
      <c r="G1413" s="28">
        <f>SUMIFS(G1414:G1509,K1414:K1509,"0",B1414:B1509,"5 1 3 8 5 12 31111 6*")</f>
        <v>0</v>
      </c>
      <c r="H1413" s="28">
        <f t="shared" si="26"/>
        <v>110133.24</v>
      </c>
      <c r="I1413" s="28"/>
      <c r="K1413" t="s">
        <v>15</v>
      </c>
    </row>
    <row r="1414" spans="2:11" ht="13" x14ac:dyDescent="0.15">
      <c r="B1414" s="27" t="s">
        <v>1800</v>
      </c>
      <c r="C1414" s="27" t="s">
        <v>733</v>
      </c>
      <c r="D1414" s="28">
        <f>SUMIFS(D1415:D1509,K1415:K1509,"0",B1415:B1509,"5 1 3 8 5 12 31111 6 M78*")-SUMIFS(E1415:E1509,K1415:K1509,"0",B1415:B1509,"5 1 3 8 5 12 31111 6 M78*")</f>
        <v>0</v>
      </c>
      <c r="E1414" s="29"/>
      <c r="F1414" s="28">
        <f>SUMIFS(F1415:F1509,K1415:K1509,"0",B1415:B1509,"5 1 3 8 5 12 31111 6 M78*")</f>
        <v>110133.24</v>
      </c>
      <c r="G1414" s="28">
        <f>SUMIFS(G1415:G1509,K1415:K1509,"0",B1415:B1509,"5 1 3 8 5 12 31111 6 M78*")</f>
        <v>0</v>
      </c>
      <c r="H1414" s="28">
        <f t="shared" si="26"/>
        <v>110133.24</v>
      </c>
      <c r="I1414" s="28"/>
      <c r="K1414" t="s">
        <v>15</v>
      </c>
    </row>
    <row r="1415" spans="2:11" ht="13" x14ac:dyDescent="0.15">
      <c r="B1415" s="27" t="s">
        <v>1801</v>
      </c>
      <c r="C1415" s="27" t="s">
        <v>8</v>
      </c>
      <c r="D1415" s="28">
        <f>SUMIFS(D1416:D1509,K1416:K1509,"0",B1416:B1509,"5 1 3 8 5 12 31111 6 M78 07000*")-SUMIFS(E1416:E1509,K1416:K1509,"0",B1416:B1509,"5 1 3 8 5 12 31111 6 M78 07000*")</f>
        <v>0</v>
      </c>
      <c r="E1415" s="29"/>
      <c r="F1415" s="28">
        <f>SUMIFS(F1416:F1509,K1416:K1509,"0",B1416:B1509,"5 1 3 8 5 12 31111 6 M78 07000*")</f>
        <v>110133.24</v>
      </c>
      <c r="G1415" s="28">
        <f>SUMIFS(G1416:G1509,K1416:K1509,"0",B1416:B1509,"5 1 3 8 5 12 31111 6 M78 07000*")</f>
        <v>0</v>
      </c>
      <c r="H1415" s="28">
        <f t="shared" si="26"/>
        <v>110133.24</v>
      </c>
      <c r="I1415" s="28"/>
      <c r="K1415" t="s">
        <v>15</v>
      </c>
    </row>
    <row r="1416" spans="2:11" ht="13" x14ac:dyDescent="0.15">
      <c r="B1416" s="27" t="s">
        <v>1802</v>
      </c>
      <c r="C1416" s="27" t="s">
        <v>168</v>
      </c>
      <c r="D1416" s="28">
        <f>SUMIFS(D1417:D1509,K1417:K1509,"0",B1417:B1509,"5 1 3 8 5 12 31111 6 M78 07000 151*")-SUMIFS(E1417:E1509,K1417:K1509,"0",B1417:B1509,"5 1 3 8 5 12 31111 6 M78 07000 151*")</f>
        <v>0</v>
      </c>
      <c r="E1416" s="29"/>
      <c r="F1416" s="28">
        <f>SUMIFS(F1417:F1509,K1417:K1509,"0",B1417:B1509,"5 1 3 8 5 12 31111 6 M78 07000 151*")</f>
        <v>110133.24</v>
      </c>
      <c r="G1416" s="28">
        <f>SUMIFS(G1417:G1509,K1417:K1509,"0",B1417:B1509,"5 1 3 8 5 12 31111 6 M78 07000 151*")</f>
        <v>0</v>
      </c>
      <c r="H1416" s="28">
        <f t="shared" si="26"/>
        <v>110133.24</v>
      </c>
      <c r="I1416" s="28"/>
      <c r="K1416" t="s">
        <v>15</v>
      </c>
    </row>
    <row r="1417" spans="2:11" ht="13" x14ac:dyDescent="0.15">
      <c r="B1417" s="27" t="s">
        <v>1803</v>
      </c>
      <c r="C1417" s="27" t="s">
        <v>170</v>
      </c>
      <c r="D1417" s="28">
        <f>SUMIFS(D1418:D1509,K1418:K1509,"0",B1418:B1509,"5 1 3 8 5 12 31111 6 M78 07000 151 00C*")-SUMIFS(E1418:E1509,K1418:K1509,"0",B1418:B1509,"5 1 3 8 5 12 31111 6 M78 07000 151 00C*")</f>
        <v>0</v>
      </c>
      <c r="E1417" s="29"/>
      <c r="F1417" s="28">
        <f>SUMIFS(F1418:F1509,K1418:K1509,"0",B1418:B1509,"5 1 3 8 5 12 31111 6 M78 07000 151 00C*")</f>
        <v>110133.24</v>
      </c>
      <c r="G1417" s="28">
        <f>SUMIFS(G1418:G1509,K1418:K1509,"0",B1418:B1509,"5 1 3 8 5 12 31111 6 M78 07000 151 00C*")</f>
        <v>0</v>
      </c>
      <c r="H1417" s="28">
        <f t="shared" si="26"/>
        <v>110133.24</v>
      </c>
      <c r="I1417" s="28"/>
      <c r="K1417" t="s">
        <v>15</v>
      </c>
    </row>
    <row r="1418" spans="2:11" ht="22" x14ac:dyDescent="0.15">
      <c r="B1418" s="27" t="s">
        <v>1804</v>
      </c>
      <c r="C1418" s="27" t="s">
        <v>9</v>
      </c>
      <c r="D1418" s="28">
        <f>SUMIFS(D1419:D1509,K1419:K1509,"0",B1419:B1509,"5 1 3 8 5 12 31111 6 M78 07000 151 00C 001*")-SUMIFS(E1419:E1509,K1419:K1509,"0",B1419:B1509,"5 1 3 8 5 12 31111 6 M78 07000 151 00C 001*")</f>
        <v>0</v>
      </c>
      <c r="E1418" s="29"/>
      <c r="F1418" s="28">
        <f>SUMIFS(F1419:F1509,K1419:K1509,"0",B1419:B1509,"5 1 3 8 5 12 31111 6 M78 07000 151 00C 001*")</f>
        <v>110133.24</v>
      </c>
      <c r="G1418" s="28">
        <f>SUMIFS(G1419:G1509,K1419:K1509,"0",B1419:B1509,"5 1 3 8 5 12 31111 6 M78 07000 151 00C 001*")</f>
        <v>0</v>
      </c>
      <c r="H1418" s="28">
        <f t="shared" si="26"/>
        <v>110133.24</v>
      </c>
      <c r="I1418" s="28"/>
      <c r="K1418" t="s">
        <v>15</v>
      </c>
    </row>
    <row r="1419" spans="2:11" ht="22" x14ac:dyDescent="0.15">
      <c r="B1419" s="27" t="s">
        <v>1805</v>
      </c>
      <c r="C1419" s="27" t="s">
        <v>1806</v>
      </c>
      <c r="D1419" s="28">
        <f>SUMIFS(D1420:D1509,K1420:K1509,"0",B1420:B1509,"5 1 3 8 5 12 31111 6 M78 07000 151 00C 001 38501*")-SUMIFS(E1420:E1509,K1420:K1509,"0",B1420:B1509,"5 1 3 8 5 12 31111 6 M78 07000 151 00C 001 38501*")</f>
        <v>0</v>
      </c>
      <c r="E1419" s="29"/>
      <c r="F1419" s="28">
        <f>SUMIFS(F1420:F1509,K1420:K1509,"0",B1420:B1509,"5 1 3 8 5 12 31111 6 M78 07000 151 00C 001 38501*")</f>
        <v>110133.24</v>
      </c>
      <c r="G1419" s="28">
        <f>SUMIFS(G1420:G1509,K1420:K1509,"0",B1420:B1509,"5 1 3 8 5 12 31111 6 M78 07000 151 00C 001 38501*")</f>
        <v>0</v>
      </c>
      <c r="H1419" s="28">
        <f t="shared" si="26"/>
        <v>110133.24</v>
      </c>
      <c r="I1419" s="28"/>
      <c r="K1419" t="s">
        <v>15</v>
      </c>
    </row>
    <row r="1420" spans="2:11" ht="22" x14ac:dyDescent="0.15">
      <c r="B1420" s="27" t="s">
        <v>1807</v>
      </c>
      <c r="C1420" s="27" t="s">
        <v>176</v>
      </c>
      <c r="D1420" s="28">
        <f>SUMIFS(D1421:D1509,K1421:K1509,"0",B1421:B1509,"5 1 3 8 5 12 31111 6 M78 07000 151 00C 001 38501 015*")-SUMIFS(E1421:E1509,K1421:K1509,"0",B1421:B1509,"5 1 3 8 5 12 31111 6 M78 07000 151 00C 001 38501 015*")</f>
        <v>0</v>
      </c>
      <c r="E1420" s="29"/>
      <c r="F1420" s="28">
        <f>SUMIFS(F1421:F1509,K1421:K1509,"0",B1421:B1509,"5 1 3 8 5 12 31111 6 M78 07000 151 00C 001 38501 015*")</f>
        <v>110133.24</v>
      </c>
      <c r="G1420" s="28">
        <f>SUMIFS(G1421:G1509,K1421:K1509,"0",B1421:B1509,"5 1 3 8 5 12 31111 6 M78 07000 151 00C 001 38501 015*")</f>
        <v>0</v>
      </c>
      <c r="H1420" s="28">
        <f t="shared" si="26"/>
        <v>110133.24</v>
      </c>
      <c r="I1420" s="28"/>
      <c r="K1420" t="s">
        <v>15</v>
      </c>
    </row>
    <row r="1421" spans="2:11" ht="22" x14ac:dyDescent="0.15">
      <c r="B1421" s="27" t="s">
        <v>1808</v>
      </c>
      <c r="C1421" s="27" t="s">
        <v>178</v>
      </c>
      <c r="D1421" s="28">
        <f>SUMIFS(D1422:D1509,K1422:K1509,"0",B1422:B1509,"5 1 3 8 5 12 31111 6 M78 07000 151 00C 001 38501 015 2112000*")-SUMIFS(E1422:E1509,K1422:K1509,"0",B1422:B1509,"5 1 3 8 5 12 31111 6 M78 07000 151 00C 001 38501 015 2112000*")</f>
        <v>0</v>
      </c>
      <c r="E1421" s="29"/>
      <c r="F1421" s="28">
        <f>SUMIFS(F1422:F1509,K1422:K1509,"0",B1422:B1509,"5 1 3 8 5 12 31111 6 M78 07000 151 00C 001 38501 015 2112000*")</f>
        <v>110133.24</v>
      </c>
      <c r="G1421" s="28">
        <f>SUMIFS(G1422:G1509,K1422:K1509,"0",B1422:B1509,"5 1 3 8 5 12 31111 6 M78 07000 151 00C 001 38501 015 2112000*")</f>
        <v>0</v>
      </c>
      <c r="H1421" s="28">
        <f t="shared" si="26"/>
        <v>110133.24</v>
      </c>
      <c r="I1421" s="28"/>
      <c r="K1421" t="s">
        <v>15</v>
      </c>
    </row>
    <row r="1422" spans="2:11" ht="22" x14ac:dyDescent="0.15">
      <c r="B1422" s="27" t="s">
        <v>1809</v>
      </c>
      <c r="C1422" s="27" t="s">
        <v>248</v>
      </c>
      <c r="D1422" s="28">
        <f>SUMIFS(D1423:D1509,K1423:K1509,"0",B1423:B1509,"5 1 3 8 5 12 31111 6 M78 07000 151 00C 001 38501 015 2112000 2024*")-SUMIFS(E1423:E1509,K1423:K1509,"0",B1423:B1509,"5 1 3 8 5 12 31111 6 M78 07000 151 00C 001 38501 015 2112000 2024*")</f>
        <v>0</v>
      </c>
      <c r="E1422" s="29"/>
      <c r="F1422" s="28">
        <f>SUMIFS(F1423:F1509,K1423:K1509,"0",B1423:B1509,"5 1 3 8 5 12 31111 6 M78 07000 151 00C 001 38501 015 2112000 2024*")</f>
        <v>110133.24</v>
      </c>
      <c r="G1422" s="28">
        <f>SUMIFS(G1423:G1509,K1423:K1509,"0",B1423:B1509,"5 1 3 8 5 12 31111 6 M78 07000 151 00C 001 38501 015 2112000 2024*")</f>
        <v>0</v>
      </c>
      <c r="H1422" s="28">
        <f t="shared" si="26"/>
        <v>110133.24</v>
      </c>
      <c r="I1422" s="28"/>
      <c r="K1422" t="s">
        <v>15</v>
      </c>
    </row>
    <row r="1423" spans="2:11" ht="22" x14ac:dyDescent="0.15">
      <c r="B1423" s="27" t="s">
        <v>1810</v>
      </c>
      <c r="C1423" s="27" t="s">
        <v>182</v>
      </c>
      <c r="D1423" s="28">
        <f>SUMIFS(D1424:D1509,K1424:K1509,"0",B1424:B1509,"5 1 3 8 5 12 31111 6 M78 07000 151 00C 001 38501 015 2112000 2024 00000000*")-SUMIFS(E1424:E1509,K1424:K1509,"0",B1424:B1509,"5 1 3 8 5 12 31111 6 M78 07000 151 00C 001 38501 015 2112000 2024 00000000*")</f>
        <v>0</v>
      </c>
      <c r="E1423" s="29"/>
      <c r="F1423" s="28">
        <f>SUMIFS(F1424:F1509,K1424:K1509,"0",B1424:B1509,"5 1 3 8 5 12 31111 6 M78 07000 151 00C 001 38501 015 2112000 2024 00000000*")</f>
        <v>110133.24</v>
      </c>
      <c r="G1423" s="28">
        <f>SUMIFS(G1424:G1509,K1424:K1509,"0",B1424:B1509,"5 1 3 8 5 12 31111 6 M78 07000 151 00C 001 38501 015 2112000 2024 00000000*")</f>
        <v>0</v>
      </c>
      <c r="H1423" s="28">
        <f t="shared" si="26"/>
        <v>110133.24</v>
      </c>
      <c r="I1423" s="28"/>
      <c r="K1423" t="s">
        <v>15</v>
      </c>
    </row>
    <row r="1424" spans="2:11" ht="33" x14ac:dyDescent="0.15">
      <c r="B1424" s="27" t="s">
        <v>1811</v>
      </c>
      <c r="C1424" s="27" t="s">
        <v>9</v>
      </c>
      <c r="D1424" s="28">
        <f>SUMIFS(D1425:D1509,K1425:K1509,"0",B1425:B1509,"5 1 3 8 5 12 31111 6 M78 07000 151 00C 001 38501 015 2112000 2024 00000000 001*")-SUMIFS(E1425:E1509,K1425:K1509,"0",B1425:B1509,"5 1 3 8 5 12 31111 6 M78 07000 151 00C 001 38501 015 2112000 2024 00000000 001*")</f>
        <v>0</v>
      </c>
      <c r="E1424" s="29"/>
      <c r="F1424" s="28">
        <f>SUMIFS(F1425:F1509,K1425:K1509,"0",B1425:B1509,"5 1 3 8 5 12 31111 6 M78 07000 151 00C 001 38501 015 2112000 2024 00000000 001*")</f>
        <v>110133.24</v>
      </c>
      <c r="G1424" s="28">
        <f>SUMIFS(G1425:G1509,K1425:K1509,"0",B1425:B1509,"5 1 3 8 5 12 31111 6 M78 07000 151 00C 001 38501 015 2112000 2024 00000000 001*")</f>
        <v>0</v>
      </c>
      <c r="H1424" s="28">
        <f t="shared" si="26"/>
        <v>110133.24</v>
      </c>
      <c r="I1424" s="28"/>
      <c r="K1424" t="s">
        <v>15</v>
      </c>
    </row>
    <row r="1425" spans="2:11" ht="33" x14ac:dyDescent="0.15">
      <c r="B1425" s="30" t="s">
        <v>1812</v>
      </c>
      <c r="C1425" s="30" t="s">
        <v>1813</v>
      </c>
      <c r="D1425" s="31">
        <v>0</v>
      </c>
      <c r="E1425" s="31"/>
      <c r="F1425" s="31">
        <v>110133.24</v>
      </c>
      <c r="G1425" s="31">
        <v>0</v>
      </c>
      <c r="H1425" s="31">
        <f t="shared" si="26"/>
        <v>110133.24</v>
      </c>
      <c r="I1425" s="31"/>
      <c r="K1425" t="s">
        <v>38</v>
      </c>
    </row>
    <row r="1426" spans="2:11" ht="13" x14ac:dyDescent="0.15">
      <c r="B1426" s="27" t="s">
        <v>1814</v>
      </c>
      <c r="C1426" s="27" t="s">
        <v>1815</v>
      </c>
      <c r="D1426" s="28">
        <f>SUMIFS(D1427:D1509,K1427:K1509,"0",B1427:B1509,"5 1 3 9*")-SUMIFS(E1427:E1509,K1427:K1509,"0",B1427:B1509,"5 1 3 9*")</f>
        <v>0</v>
      </c>
      <c r="E1426" s="29"/>
      <c r="F1426" s="28">
        <f>SUMIFS(F1427:F1509,K1427:K1509,"0",B1427:B1509,"5 1 3 9*")</f>
        <v>347370</v>
      </c>
      <c r="G1426" s="28">
        <f>SUMIFS(G1427:G1509,K1427:K1509,"0",B1427:B1509,"5 1 3 9*")</f>
        <v>0</v>
      </c>
      <c r="H1426" s="28">
        <f t="shared" si="26"/>
        <v>347370</v>
      </c>
      <c r="I1426" s="28"/>
      <c r="K1426" t="s">
        <v>15</v>
      </c>
    </row>
    <row r="1427" spans="2:11" ht="13" x14ac:dyDescent="0.15">
      <c r="B1427" s="27" t="s">
        <v>1816</v>
      </c>
      <c r="C1427" s="27" t="s">
        <v>1817</v>
      </c>
      <c r="D1427" s="28">
        <f>SUMIFS(D1428:D1509,K1428:K1509,"0",B1428:B1509,"5 1 3 9 2*")-SUMIFS(E1428:E1509,K1428:K1509,"0",B1428:B1509,"5 1 3 9 2*")</f>
        <v>0</v>
      </c>
      <c r="E1427" s="29"/>
      <c r="F1427" s="28">
        <f>SUMIFS(F1428:F1509,K1428:K1509,"0",B1428:B1509,"5 1 3 9 2*")</f>
        <v>13163</v>
      </c>
      <c r="G1427" s="28">
        <f>SUMIFS(G1428:G1509,K1428:K1509,"0",B1428:B1509,"5 1 3 9 2*")</f>
        <v>0</v>
      </c>
      <c r="H1427" s="28">
        <f t="shared" si="26"/>
        <v>13163</v>
      </c>
      <c r="I1427" s="28"/>
      <c r="K1427" t="s">
        <v>15</v>
      </c>
    </row>
    <row r="1428" spans="2:11" ht="13" x14ac:dyDescent="0.15">
      <c r="B1428" s="27" t="s">
        <v>1818</v>
      </c>
      <c r="C1428" s="27" t="s">
        <v>26</v>
      </c>
      <c r="D1428" s="28">
        <f>SUMIFS(D1429:D1509,K1429:K1509,"0",B1429:B1509,"5 1 3 9 2 12*")-SUMIFS(E1429:E1509,K1429:K1509,"0",B1429:B1509,"5 1 3 9 2 12*")</f>
        <v>0</v>
      </c>
      <c r="E1428" s="29"/>
      <c r="F1428" s="28">
        <f>SUMIFS(F1429:F1509,K1429:K1509,"0",B1429:B1509,"5 1 3 9 2 12*")</f>
        <v>13163</v>
      </c>
      <c r="G1428" s="28">
        <f>SUMIFS(G1429:G1509,K1429:K1509,"0",B1429:B1509,"5 1 3 9 2 12*")</f>
        <v>0</v>
      </c>
      <c r="H1428" s="28">
        <f t="shared" si="26"/>
        <v>13163</v>
      </c>
      <c r="I1428" s="28"/>
      <c r="K1428" t="s">
        <v>15</v>
      </c>
    </row>
    <row r="1429" spans="2:11" ht="13" x14ac:dyDescent="0.15">
      <c r="B1429" s="27" t="s">
        <v>1819</v>
      </c>
      <c r="C1429" s="27" t="s">
        <v>28</v>
      </c>
      <c r="D1429" s="28">
        <f>SUMIFS(D1430:D1509,K1430:K1509,"0",B1430:B1509,"5 1 3 9 2 12 31111*")-SUMIFS(E1430:E1509,K1430:K1509,"0",B1430:B1509,"5 1 3 9 2 12 31111*")</f>
        <v>0</v>
      </c>
      <c r="E1429" s="29"/>
      <c r="F1429" s="28">
        <f>SUMIFS(F1430:F1509,K1430:K1509,"0",B1430:B1509,"5 1 3 9 2 12 31111*")</f>
        <v>13163</v>
      </c>
      <c r="G1429" s="28">
        <f>SUMIFS(G1430:G1509,K1430:K1509,"0",B1430:B1509,"5 1 3 9 2 12 31111*")</f>
        <v>0</v>
      </c>
      <c r="H1429" s="28">
        <f t="shared" si="26"/>
        <v>13163</v>
      </c>
      <c r="I1429" s="28"/>
      <c r="K1429" t="s">
        <v>15</v>
      </c>
    </row>
    <row r="1430" spans="2:11" ht="13" x14ac:dyDescent="0.15">
      <c r="B1430" s="27" t="s">
        <v>1820</v>
      </c>
      <c r="C1430" s="27" t="s">
        <v>30</v>
      </c>
      <c r="D1430" s="28">
        <f>SUMIFS(D1431:D1509,K1431:K1509,"0",B1431:B1509,"5 1 3 9 2 12 31111 6*")-SUMIFS(E1431:E1509,K1431:K1509,"0",B1431:B1509,"5 1 3 9 2 12 31111 6*")</f>
        <v>0</v>
      </c>
      <c r="E1430" s="29"/>
      <c r="F1430" s="28">
        <f>SUMIFS(F1431:F1509,K1431:K1509,"0",B1431:B1509,"5 1 3 9 2 12 31111 6*")</f>
        <v>13163</v>
      </c>
      <c r="G1430" s="28">
        <f>SUMIFS(G1431:G1509,K1431:K1509,"0",B1431:B1509,"5 1 3 9 2 12 31111 6*")</f>
        <v>0</v>
      </c>
      <c r="H1430" s="28">
        <f t="shared" si="26"/>
        <v>13163</v>
      </c>
      <c r="I1430" s="28"/>
      <c r="K1430" t="s">
        <v>15</v>
      </c>
    </row>
    <row r="1431" spans="2:11" ht="13" x14ac:dyDescent="0.15">
      <c r="B1431" s="27" t="s">
        <v>1821</v>
      </c>
      <c r="C1431" s="27" t="s">
        <v>733</v>
      </c>
      <c r="D1431" s="28">
        <f>SUMIFS(D1432:D1509,K1432:K1509,"0",B1432:B1509,"5 1 3 9 2 12 31111 6 M78*")-SUMIFS(E1432:E1509,K1432:K1509,"0",B1432:B1509,"5 1 3 9 2 12 31111 6 M78*")</f>
        <v>0</v>
      </c>
      <c r="E1431" s="29"/>
      <c r="F1431" s="28">
        <f>SUMIFS(F1432:F1509,K1432:K1509,"0",B1432:B1509,"5 1 3 9 2 12 31111 6 M78*")</f>
        <v>13163</v>
      </c>
      <c r="G1431" s="28">
        <f>SUMIFS(G1432:G1509,K1432:K1509,"0",B1432:B1509,"5 1 3 9 2 12 31111 6 M78*")</f>
        <v>0</v>
      </c>
      <c r="H1431" s="28">
        <f t="shared" si="26"/>
        <v>13163</v>
      </c>
      <c r="I1431" s="28"/>
      <c r="K1431" t="s">
        <v>15</v>
      </c>
    </row>
    <row r="1432" spans="2:11" ht="13" x14ac:dyDescent="0.15">
      <c r="B1432" s="27" t="s">
        <v>1822</v>
      </c>
      <c r="C1432" s="27" t="s">
        <v>8</v>
      </c>
      <c r="D1432" s="28">
        <f>SUMIFS(D1433:D1509,K1433:K1509,"0",B1433:B1509,"5 1 3 9 2 12 31111 6 M78 07000*")-SUMIFS(E1433:E1509,K1433:K1509,"0",B1433:B1509,"5 1 3 9 2 12 31111 6 M78 07000*")</f>
        <v>0</v>
      </c>
      <c r="E1432" s="29"/>
      <c r="F1432" s="28">
        <f>SUMIFS(F1433:F1509,K1433:K1509,"0",B1433:B1509,"5 1 3 9 2 12 31111 6 M78 07000*")</f>
        <v>13163</v>
      </c>
      <c r="G1432" s="28">
        <f>SUMIFS(G1433:G1509,K1433:K1509,"0",B1433:B1509,"5 1 3 9 2 12 31111 6 M78 07000*")</f>
        <v>0</v>
      </c>
      <c r="H1432" s="28">
        <f t="shared" si="26"/>
        <v>13163</v>
      </c>
      <c r="I1432" s="28"/>
      <c r="K1432" t="s">
        <v>15</v>
      </c>
    </row>
    <row r="1433" spans="2:11" ht="13" x14ac:dyDescent="0.15">
      <c r="B1433" s="27" t="s">
        <v>1823</v>
      </c>
      <c r="C1433" s="27" t="s">
        <v>168</v>
      </c>
      <c r="D1433" s="28">
        <f>SUMIFS(D1434:D1509,K1434:K1509,"0",B1434:B1509,"5 1 3 9 2 12 31111 6 M78 07000 151*")-SUMIFS(E1434:E1509,K1434:K1509,"0",B1434:B1509,"5 1 3 9 2 12 31111 6 M78 07000 151*")</f>
        <v>0</v>
      </c>
      <c r="E1433" s="29"/>
      <c r="F1433" s="28">
        <f>SUMIFS(F1434:F1509,K1434:K1509,"0",B1434:B1509,"5 1 3 9 2 12 31111 6 M78 07000 151*")</f>
        <v>13163</v>
      </c>
      <c r="G1433" s="28">
        <f>SUMIFS(G1434:G1509,K1434:K1509,"0",B1434:B1509,"5 1 3 9 2 12 31111 6 M78 07000 151*")</f>
        <v>0</v>
      </c>
      <c r="H1433" s="28">
        <f t="shared" si="26"/>
        <v>13163</v>
      </c>
      <c r="I1433" s="28"/>
      <c r="K1433" t="s">
        <v>15</v>
      </c>
    </row>
    <row r="1434" spans="2:11" ht="13" x14ac:dyDescent="0.15">
      <c r="B1434" s="27" t="s">
        <v>1824</v>
      </c>
      <c r="C1434" s="27" t="s">
        <v>170</v>
      </c>
      <c r="D1434" s="28">
        <f>SUMIFS(D1435:D1509,K1435:K1509,"0",B1435:B1509,"5 1 3 9 2 12 31111 6 M78 07000 151 00C*")-SUMIFS(E1435:E1509,K1435:K1509,"0",B1435:B1509,"5 1 3 9 2 12 31111 6 M78 07000 151 00C*")</f>
        <v>0</v>
      </c>
      <c r="E1434" s="29"/>
      <c r="F1434" s="28">
        <f>SUMIFS(F1435:F1509,K1435:K1509,"0",B1435:B1509,"5 1 3 9 2 12 31111 6 M78 07000 151 00C*")</f>
        <v>13163</v>
      </c>
      <c r="G1434" s="28">
        <f>SUMIFS(G1435:G1509,K1435:K1509,"0",B1435:B1509,"5 1 3 9 2 12 31111 6 M78 07000 151 00C*")</f>
        <v>0</v>
      </c>
      <c r="H1434" s="28">
        <f t="shared" si="26"/>
        <v>13163</v>
      </c>
      <c r="I1434" s="28"/>
      <c r="K1434" t="s">
        <v>15</v>
      </c>
    </row>
    <row r="1435" spans="2:11" ht="22" x14ac:dyDescent="0.15">
      <c r="B1435" s="27" t="s">
        <v>1825</v>
      </c>
      <c r="C1435" s="27" t="s">
        <v>9</v>
      </c>
      <c r="D1435" s="28">
        <f>SUMIFS(D1436:D1509,K1436:K1509,"0",B1436:B1509,"5 1 3 9 2 12 31111 6 M78 07000 151 00C 001*")-SUMIFS(E1436:E1509,K1436:K1509,"0",B1436:B1509,"5 1 3 9 2 12 31111 6 M78 07000 151 00C 001*")</f>
        <v>0</v>
      </c>
      <c r="E1435" s="29"/>
      <c r="F1435" s="28">
        <f>SUMIFS(F1436:F1509,K1436:K1509,"0",B1436:B1509,"5 1 3 9 2 12 31111 6 M78 07000 151 00C 001*")</f>
        <v>13163</v>
      </c>
      <c r="G1435" s="28">
        <f>SUMIFS(G1436:G1509,K1436:K1509,"0",B1436:B1509,"5 1 3 9 2 12 31111 6 M78 07000 151 00C 001*")</f>
        <v>0</v>
      </c>
      <c r="H1435" s="28">
        <f t="shared" si="26"/>
        <v>13163</v>
      </c>
      <c r="I1435" s="28"/>
      <c r="K1435" t="s">
        <v>15</v>
      </c>
    </row>
    <row r="1436" spans="2:11" ht="22" x14ac:dyDescent="0.15">
      <c r="B1436" s="27" t="s">
        <v>1826</v>
      </c>
      <c r="C1436" s="27" t="s">
        <v>1827</v>
      </c>
      <c r="D1436" s="28">
        <f>SUMIFS(D1437:D1509,K1437:K1509,"0",B1437:B1509,"5 1 3 9 2 12 31111 6 M78 07000 151 00C 001 39201*")-SUMIFS(E1437:E1509,K1437:K1509,"0",B1437:B1509,"5 1 3 9 2 12 31111 6 M78 07000 151 00C 001 39201*")</f>
        <v>0</v>
      </c>
      <c r="E1436" s="29"/>
      <c r="F1436" s="28">
        <f>SUMIFS(F1437:F1509,K1437:K1509,"0",B1437:B1509,"5 1 3 9 2 12 31111 6 M78 07000 151 00C 001 39201*")</f>
        <v>13163</v>
      </c>
      <c r="G1436" s="28">
        <f>SUMIFS(G1437:G1509,K1437:K1509,"0",B1437:B1509,"5 1 3 9 2 12 31111 6 M78 07000 151 00C 001 39201*")</f>
        <v>0</v>
      </c>
      <c r="H1436" s="28">
        <f t="shared" si="26"/>
        <v>13163</v>
      </c>
      <c r="I1436" s="28"/>
      <c r="K1436" t="s">
        <v>15</v>
      </c>
    </row>
    <row r="1437" spans="2:11" ht="22" x14ac:dyDescent="0.15">
      <c r="B1437" s="27" t="s">
        <v>1828</v>
      </c>
      <c r="C1437" s="27" t="s">
        <v>176</v>
      </c>
      <c r="D1437" s="28">
        <f>SUMIFS(D1438:D1509,K1438:K1509,"0",B1438:B1509,"5 1 3 9 2 12 31111 6 M78 07000 151 00C 001 39201 015*")-SUMIFS(E1438:E1509,K1438:K1509,"0",B1438:B1509,"5 1 3 9 2 12 31111 6 M78 07000 151 00C 001 39201 015*")</f>
        <v>0</v>
      </c>
      <c r="E1437" s="29"/>
      <c r="F1437" s="28">
        <f>SUMIFS(F1438:F1509,K1438:K1509,"0",B1438:B1509,"5 1 3 9 2 12 31111 6 M78 07000 151 00C 001 39201 015*")</f>
        <v>13163</v>
      </c>
      <c r="G1437" s="28">
        <f>SUMIFS(G1438:G1509,K1438:K1509,"0",B1438:B1509,"5 1 3 9 2 12 31111 6 M78 07000 151 00C 001 39201 015*")</f>
        <v>0</v>
      </c>
      <c r="H1437" s="28">
        <f t="shared" si="26"/>
        <v>13163</v>
      </c>
      <c r="I1437" s="28"/>
      <c r="K1437" t="s">
        <v>15</v>
      </c>
    </row>
    <row r="1438" spans="2:11" ht="22" x14ac:dyDescent="0.15">
      <c r="B1438" s="27" t="s">
        <v>1829</v>
      </c>
      <c r="C1438" s="27" t="s">
        <v>178</v>
      </c>
      <c r="D1438" s="28">
        <f>SUMIFS(D1439:D1509,K1439:K1509,"0",B1439:B1509,"5 1 3 9 2 12 31111 6 M78 07000 151 00C 001 39201 015 2112000*")-SUMIFS(E1439:E1509,K1439:K1509,"0",B1439:B1509,"5 1 3 9 2 12 31111 6 M78 07000 151 00C 001 39201 015 2112000*")</f>
        <v>0</v>
      </c>
      <c r="E1438" s="29"/>
      <c r="F1438" s="28">
        <f>SUMIFS(F1439:F1509,K1439:K1509,"0",B1439:B1509,"5 1 3 9 2 12 31111 6 M78 07000 151 00C 001 39201 015 2112000*")</f>
        <v>13163</v>
      </c>
      <c r="G1438" s="28">
        <f>SUMIFS(G1439:G1509,K1439:K1509,"0",B1439:B1509,"5 1 3 9 2 12 31111 6 M78 07000 151 00C 001 39201 015 2112000*")</f>
        <v>0</v>
      </c>
      <c r="H1438" s="28">
        <f t="shared" si="26"/>
        <v>13163</v>
      </c>
      <c r="I1438" s="28"/>
      <c r="K1438" t="s">
        <v>15</v>
      </c>
    </row>
    <row r="1439" spans="2:11" ht="22" x14ac:dyDescent="0.15">
      <c r="B1439" s="27" t="s">
        <v>1830</v>
      </c>
      <c r="C1439" s="27" t="s">
        <v>248</v>
      </c>
      <c r="D1439" s="28">
        <f>SUMIFS(D1440:D1509,K1440:K1509,"0",B1440:B1509,"5 1 3 9 2 12 31111 6 M78 07000 151 00C 001 39201 015 2112000 2024*")-SUMIFS(E1440:E1509,K1440:K1509,"0",B1440:B1509,"5 1 3 9 2 12 31111 6 M78 07000 151 00C 001 39201 015 2112000 2024*")</f>
        <v>0</v>
      </c>
      <c r="E1439" s="29"/>
      <c r="F1439" s="28">
        <f>SUMIFS(F1440:F1509,K1440:K1509,"0",B1440:B1509,"5 1 3 9 2 12 31111 6 M78 07000 151 00C 001 39201 015 2112000 2024*")</f>
        <v>13163</v>
      </c>
      <c r="G1439" s="28">
        <f>SUMIFS(G1440:G1509,K1440:K1509,"0",B1440:B1509,"5 1 3 9 2 12 31111 6 M78 07000 151 00C 001 39201 015 2112000 2024*")</f>
        <v>0</v>
      </c>
      <c r="H1439" s="28">
        <f t="shared" si="26"/>
        <v>13163</v>
      </c>
      <c r="I1439" s="28"/>
      <c r="K1439" t="s">
        <v>15</v>
      </c>
    </row>
    <row r="1440" spans="2:11" ht="22" x14ac:dyDescent="0.15">
      <c r="B1440" s="27" t="s">
        <v>1831</v>
      </c>
      <c r="C1440" s="27" t="s">
        <v>182</v>
      </c>
      <c r="D1440" s="28">
        <f>SUMIFS(D1441:D1509,K1441:K1509,"0",B1441:B1509,"5 1 3 9 2 12 31111 6 M78 07000 151 00C 001 39201 015 2112000 2024 00000000*")-SUMIFS(E1441:E1509,K1441:K1509,"0",B1441:B1509,"5 1 3 9 2 12 31111 6 M78 07000 151 00C 001 39201 015 2112000 2024 00000000*")</f>
        <v>0</v>
      </c>
      <c r="E1440" s="29"/>
      <c r="F1440" s="28">
        <f>SUMIFS(F1441:F1509,K1441:K1509,"0",B1441:B1509,"5 1 3 9 2 12 31111 6 M78 07000 151 00C 001 39201 015 2112000 2024 00000000*")</f>
        <v>13163</v>
      </c>
      <c r="G1440" s="28">
        <f>SUMIFS(G1441:G1509,K1441:K1509,"0",B1441:B1509,"5 1 3 9 2 12 31111 6 M78 07000 151 00C 001 39201 015 2112000 2024 00000000*")</f>
        <v>0</v>
      </c>
      <c r="H1440" s="28">
        <f t="shared" ref="H1440:H1497" si="27">D1440 + F1440 - G1440</f>
        <v>13163</v>
      </c>
      <c r="I1440" s="28"/>
      <c r="K1440" t="s">
        <v>15</v>
      </c>
    </row>
    <row r="1441" spans="2:11" ht="33" x14ac:dyDescent="0.15">
      <c r="B1441" s="27" t="s">
        <v>1832</v>
      </c>
      <c r="C1441" s="27" t="s">
        <v>9</v>
      </c>
      <c r="D1441" s="28">
        <f>SUMIFS(D1442:D1509,K1442:K1509,"0",B1442:B1509,"5 1 3 9 2 12 31111 6 M78 07000 151 00C 001 39201 015 2112000 2024 00000000 001*")-SUMIFS(E1442:E1509,K1442:K1509,"0",B1442:B1509,"5 1 3 9 2 12 31111 6 M78 07000 151 00C 001 39201 015 2112000 2024 00000000 001*")</f>
        <v>0</v>
      </c>
      <c r="E1441" s="29"/>
      <c r="F1441" s="28">
        <f>SUMIFS(F1442:F1509,K1442:K1509,"0",B1442:B1509,"5 1 3 9 2 12 31111 6 M78 07000 151 00C 001 39201 015 2112000 2024 00000000 001*")</f>
        <v>13163</v>
      </c>
      <c r="G1441" s="28">
        <f>SUMIFS(G1442:G1509,K1442:K1509,"0",B1442:B1509,"5 1 3 9 2 12 31111 6 M78 07000 151 00C 001 39201 015 2112000 2024 00000000 001*")</f>
        <v>0</v>
      </c>
      <c r="H1441" s="28">
        <f t="shared" si="27"/>
        <v>13163</v>
      </c>
      <c r="I1441" s="28"/>
      <c r="K1441" t="s">
        <v>15</v>
      </c>
    </row>
    <row r="1442" spans="2:11" ht="33" x14ac:dyDescent="0.15">
      <c r="B1442" s="30" t="s">
        <v>1833</v>
      </c>
      <c r="C1442" s="30" t="s">
        <v>1834</v>
      </c>
      <c r="D1442" s="31">
        <v>0</v>
      </c>
      <c r="E1442" s="31"/>
      <c r="F1442" s="31">
        <v>13163</v>
      </c>
      <c r="G1442" s="31">
        <v>0</v>
      </c>
      <c r="H1442" s="31">
        <f t="shared" si="27"/>
        <v>13163</v>
      </c>
      <c r="I1442" s="31"/>
      <c r="K1442" t="s">
        <v>38</v>
      </c>
    </row>
    <row r="1443" spans="2:11" ht="22" x14ac:dyDescent="0.15">
      <c r="B1443" s="27" t="s">
        <v>1835</v>
      </c>
      <c r="C1443" s="27" t="s">
        <v>1836</v>
      </c>
      <c r="D1443" s="28">
        <f>SUMIFS(D1444:D1509,K1444:K1509,"0",B1444:B1509,"5 1 3 9 8*")-SUMIFS(E1444:E1509,K1444:K1509,"0",B1444:B1509,"5 1 3 9 8*")</f>
        <v>0</v>
      </c>
      <c r="E1443" s="29"/>
      <c r="F1443" s="28">
        <f>SUMIFS(F1444:F1509,K1444:K1509,"0",B1444:B1509,"5 1 3 9 8*")</f>
        <v>334207</v>
      </c>
      <c r="G1443" s="28">
        <f>SUMIFS(G1444:G1509,K1444:K1509,"0",B1444:B1509,"5 1 3 9 8*")</f>
        <v>0</v>
      </c>
      <c r="H1443" s="28">
        <f t="shared" si="27"/>
        <v>334207</v>
      </c>
      <c r="I1443" s="28"/>
      <c r="K1443" t="s">
        <v>15</v>
      </c>
    </row>
    <row r="1444" spans="2:11" ht="13" x14ac:dyDescent="0.15">
      <c r="B1444" s="27" t="s">
        <v>1837</v>
      </c>
      <c r="C1444" s="27" t="s">
        <v>26</v>
      </c>
      <c r="D1444" s="28">
        <f>SUMIFS(D1445:D1509,K1445:K1509,"0",B1445:B1509,"5 1 3 9 8 12*")-SUMIFS(E1445:E1509,K1445:K1509,"0",B1445:B1509,"5 1 3 9 8 12*")</f>
        <v>0</v>
      </c>
      <c r="E1444" s="29"/>
      <c r="F1444" s="28">
        <f>SUMIFS(F1445:F1509,K1445:K1509,"0",B1445:B1509,"5 1 3 9 8 12*")</f>
        <v>334207</v>
      </c>
      <c r="G1444" s="28">
        <f>SUMIFS(G1445:G1509,K1445:K1509,"0",B1445:B1509,"5 1 3 9 8 12*")</f>
        <v>0</v>
      </c>
      <c r="H1444" s="28">
        <f t="shared" si="27"/>
        <v>334207</v>
      </c>
      <c r="I1444" s="28"/>
      <c r="K1444" t="s">
        <v>15</v>
      </c>
    </row>
    <row r="1445" spans="2:11" ht="13" x14ac:dyDescent="0.15">
      <c r="B1445" s="27" t="s">
        <v>1838</v>
      </c>
      <c r="C1445" s="27" t="s">
        <v>28</v>
      </c>
      <c r="D1445" s="28">
        <f>SUMIFS(D1446:D1509,K1446:K1509,"0",B1446:B1509,"5 1 3 9 8 12 31111*")-SUMIFS(E1446:E1509,K1446:K1509,"0",B1446:B1509,"5 1 3 9 8 12 31111*")</f>
        <v>0</v>
      </c>
      <c r="E1445" s="29"/>
      <c r="F1445" s="28">
        <f>SUMIFS(F1446:F1509,K1446:K1509,"0",B1446:B1509,"5 1 3 9 8 12 31111*")</f>
        <v>334207</v>
      </c>
      <c r="G1445" s="28">
        <f>SUMIFS(G1446:G1509,K1446:K1509,"0",B1446:B1509,"5 1 3 9 8 12 31111*")</f>
        <v>0</v>
      </c>
      <c r="H1445" s="28">
        <f t="shared" si="27"/>
        <v>334207</v>
      </c>
      <c r="I1445" s="28"/>
      <c r="K1445" t="s">
        <v>15</v>
      </c>
    </row>
    <row r="1446" spans="2:11" ht="13" x14ac:dyDescent="0.15">
      <c r="B1446" s="27" t="s">
        <v>1839</v>
      </c>
      <c r="C1446" s="27" t="s">
        <v>30</v>
      </c>
      <c r="D1446" s="28">
        <f>SUMIFS(D1447:D1509,K1447:K1509,"0",B1447:B1509,"5 1 3 9 8 12 31111 6*")-SUMIFS(E1447:E1509,K1447:K1509,"0",B1447:B1509,"5 1 3 9 8 12 31111 6*")</f>
        <v>0</v>
      </c>
      <c r="E1446" s="29"/>
      <c r="F1446" s="28">
        <f>SUMIFS(F1447:F1509,K1447:K1509,"0",B1447:B1509,"5 1 3 9 8 12 31111 6*")</f>
        <v>334207</v>
      </c>
      <c r="G1446" s="28">
        <f>SUMIFS(G1447:G1509,K1447:K1509,"0",B1447:B1509,"5 1 3 9 8 12 31111 6*")</f>
        <v>0</v>
      </c>
      <c r="H1446" s="28">
        <f t="shared" si="27"/>
        <v>334207</v>
      </c>
      <c r="I1446" s="28"/>
      <c r="K1446" t="s">
        <v>15</v>
      </c>
    </row>
    <row r="1447" spans="2:11" ht="13" x14ac:dyDescent="0.15">
      <c r="B1447" s="27" t="s">
        <v>1840</v>
      </c>
      <c r="C1447" s="27" t="s">
        <v>733</v>
      </c>
      <c r="D1447" s="28">
        <f>SUMIFS(D1448:D1509,K1448:K1509,"0",B1448:B1509,"5 1 3 9 8 12 31111 6 M78*")-SUMIFS(E1448:E1509,K1448:K1509,"0",B1448:B1509,"5 1 3 9 8 12 31111 6 M78*")</f>
        <v>0</v>
      </c>
      <c r="E1447" s="29"/>
      <c r="F1447" s="28">
        <f>SUMIFS(F1448:F1509,K1448:K1509,"0",B1448:B1509,"5 1 3 9 8 12 31111 6 M78*")</f>
        <v>334207</v>
      </c>
      <c r="G1447" s="28">
        <f>SUMIFS(G1448:G1509,K1448:K1509,"0",B1448:B1509,"5 1 3 9 8 12 31111 6 M78*")</f>
        <v>0</v>
      </c>
      <c r="H1447" s="28">
        <f t="shared" si="27"/>
        <v>334207</v>
      </c>
      <c r="I1447" s="28"/>
      <c r="K1447" t="s">
        <v>15</v>
      </c>
    </row>
    <row r="1448" spans="2:11" ht="13" x14ac:dyDescent="0.15">
      <c r="B1448" s="27" t="s">
        <v>1841</v>
      </c>
      <c r="C1448" s="27" t="s">
        <v>8</v>
      </c>
      <c r="D1448" s="28">
        <f>SUMIFS(D1449:D1509,K1449:K1509,"0",B1449:B1509,"5 1 3 9 8 12 31111 6 M78 07000*")-SUMIFS(E1449:E1509,K1449:K1509,"0",B1449:B1509,"5 1 3 9 8 12 31111 6 M78 07000*")</f>
        <v>0</v>
      </c>
      <c r="E1448" s="29"/>
      <c r="F1448" s="28">
        <f>SUMIFS(F1449:F1509,K1449:K1509,"0",B1449:B1509,"5 1 3 9 8 12 31111 6 M78 07000*")</f>
        <v>334207</v>
      </c>
      <c r="G1448" s="28">
        <f>SUMIFS(G1449:G1509,K1449:K1509,"0",B1449:B1509,"5 1 3 9 8 12 31111 6 M78 07000*")</f>
        <v>0</v>
      </c>
      <c r="H1448" s="28">
        <f t="shared" si="27"/>
        <v>334207</v>
      </c>
      <c r="I1448" s="28"/>
      <c r="K1448" t="s">
        <v>15</v>
      </c>
    </row>
    <row r="1449" spans="2:11" ht="13" x14ac:dyDescent="0.15">
      <c r="B1449" s="27" t="s">
        <v>1842</v>
      </c>
      <c r="C1449" s="27" t="s">
        <v>168</v>
      </c>
      <c r="D1449" s="28">
        <f>SUMIFS(D1450:D1509,K1450:K1509,"0",B1450:B1509,"5 1 3 9 8 12 31111 6 M78 07000 151*")-SUMIFS(E1450:E1509,K1450:K1509,"0",B1450:B1509,"5 1 3 9 8 12 31111 6 M78 07000 151*")</f>
        <v>0</v>
      </c>
      <c r="E1449" s="29"/>
      <c r="F1449" s="28">
        <f>SUMIFS(F1450:F1509,K1450:K1509,"0",B1450:B1509,"5 1 3 9 8 12 31111 6 M78 07000 151*")</f>
        <v>334207</v>
      </c>
      <c r="G1449" s="28">
        <f>SUMIFS(G1450:G1509,K1450:K1509,"0",B1450:B1509,"5 1 3 9 8 12 31111 6 M78 07000 151*")</f>
        <v>0</v>
      </c>
      <c r="H1449" s="28">
        <f t="shared" si="27"/>
        <v>334207</v>
      </c>
      <c r="I1449" s="28"/>
      <c r="K1449" t="s">
        <v>15</v>
      </c>
    </row>
    <row r="1450" spans="2:11" ht="13" x14ac:dyDescent="0.15">
      <c r="B1450" s="27" t="s">
        <v>1843</v>
      </c>
      <c r="C1450" s="27" t="s">
        <v>170</v>
      </c>
      <c r="D1450" s="28">
        <f>SUMIFS(D1451:D1509,K1451:K1509,"0",B1451:B1509,"5 1 3 9 8 12 31111 6 M78 07000 151 00C*")-SUMIFS(E1451:E1509,K1451:K1509,"0",B1451:B1509,"5 1 3 9 8 12 31111 6 M78 07000 151 00C*")</f>
        <v>0</v>
      </c>
      <c r="E1450" s="29"/>
      <c r="F1450" s="28">
        <f>SUMIFS(F1451:F1509,K1451:K1509,"0",B1451:B1509,"5 1 3 9 8 12 31111 6 M78 07000 151 00C*")</f>
        <v>334207</v>
      </c>
      <c r="G1450" s="28">
        <f>SUMIFS(G1451:G1509,K1451:K1509,"0",B1451:B1509,"5 1 3 9 8 12 31111 6 M78 07000 151 00C*")</f>
        <v>0</v>
      </c>
      <c r="H1450" s="28">
        <f t="shared" si="27"/>
        <v>334207</v>
      </c>
      <c r="I1450" s="28"/>
      <c r="K1450" t="s">
        <v>15</v>
      </c>
    </row>
    <row r="1451" spans="2:11" ht="22" x14ac:dyDescent="0.15">
      <c r="B1451" s="27" t="s">
        <v>1844</v>
      </c>
      <c r="C1451" s="27" t="s">
        <v>9</v>
      </c>
      <c r="D1451" s="28">
        <f>SUMIFS(D1452:D1509,K1452:K1509,"0",B1452:B1509,"5 1 3 9 8 12 31111 6 M78 07000 151 00C 001*")-SUMIFS(E1452:E1509,K1452:K1509,"0",B1452:B1509,"5 1 3 9 8 12 31111 6 M78 07000 151 00C 001*")</f>
        <v>0</v>
      </c>
      <c r="E1451" s="29"/>
      <c r="F1451" s="28">
        <f>SUMIFS(F1452:F1509,K1452:K1509,"0",B1452:B1509,"5 1 3 9 8 12 31111 6 M78 07000 151 00C 001*")</f>
        <v>334207</v>
      </c>
      <c r="G1451" s="28">
        <f>SUMIFS(G1452:G1509,K1452:K1509,"0",B1452:B1509,"5 1 3 9 8 12 31111 6 M78 07000 151 00C 001*")</f>
        <v>0</v>
      </c>
      <c r="H1451" s="28">
        <f t="shared" si="27"/>
        <v>334207</v>
      </c>
      <c r="I1451" s="28"/>
      <c r="K1451" t="s">
        <v>15</v>
      </c>
    </row>
    <row r="1452" spans="2:11" ht="22" x14ac:dyDescent="0.15">
      <c r="B1452" s="27" t="s">
        <v>1845</v>
      </c>
      <c r="C1452" s="27" t="s">
        <v>1846</v>
      </c>
      <c r="D1452" s="28">
        <f>SUMIFS(D1453:D1509,K1453:K1509,"0",B1453:B1509,"5 1 3 9 8 12 31111 6 M78 07000 151 00C 001 39801*")-SUMIFS(E1453:E1509,K1453:K1509,"0",B1453:B1509,"5 1 3 9 8 12 31111 6 M78 07000 151 00C 001 39801*")</f>
        <v>0</v>
      </c>
      <c r="E1452" s="29"/>
      <c r="F1452" s="28">
        <f>SUMIFS(F1453:F1509,K1453:K1509,"0",B1453:B1509,"5 1 3 9 8 12 31111 6 M78 07000 151 00C 001 39801*")</f>
        <v>334207</v>
      </c>
      <c r="G1452" s="28">
        <f>SUMIFS(G1453:G1509,K1453:K1509,"0",B1453:B1509,"5 1 3 9 8 12 31111 6 M78 07000 151 00C 001 39801*")</f>
        <v>0</v>
      </c>
      <c r="H1452" s="28">
        <f t="shared" si="27"/>
        <v>334207</v>
      </c>
      <c r="I1452" s="28"/>
      <c r="K1452" t="s">
        <v>15</v>
      </c>
    </row>
    <row r="1453" spans="2:11" ht="22" x14ac:dyDescent="0.15">
      <c r="B1453" s="27" t="s">
        <v>1847</v>
      </c>
      <c r="C1453" s="27" t="s">
        <v>176</v>
      </c>
      <c r="D1453" s="28">
        <f>SUMIFS(D1454:D1509,K1454:K1509,"0",B1454:B1509,"5 1 3 9 8 12 31111 6 M78 07000 151 00C 001 39801 015*")-SUMIFS(E1454:E1509,K1454:K1509,"0",B1454:B1509,"5 1 3 9 8 12 31111 6 M78 07000 151 00C 001 39801 015*")</f>
        <v>0</v>
      </c>
      <c r="E1453" s="29"/>
      <c r="F1453" s="28">
        <f>SUMIFS(F1454:F1509,K1454:K1509,"0",B1454:B1509,"5 1 3 9 8 12 31111 6 M78 07000 151 00C 001 39801 015*")</f>
        <v>334207</v>
      </c>
      <c r="G1453" s="28">
        <f>SUMIFS(G1454:G1509,K1454:K1509,"0",B1454:B1509,"5 1 3 9 8 12 31111 6 M78 07000 151 00C 001 39801 015*")</f>
        <v>0</v>
      </c>
      <c r="H1453" s="28">
        <f t="shared" si="27"/>
        <v>334207</v>
      </c>
      <c r="I1453" s="28"/>
      <c r="K1453" t="s">
        <v>15</v>
      </c>
    </row>
    <row r="1454" spans="2:11" ht="22" x14ac:dyDescent="0.15">
      <c r="B1454" s="27" t="s">
        <v>1848</v>
      </c>
      <c r="C1454" s="27" t="s">
        <v>1849</v>
      </c>
      <c r="D1454" s="28">
        <f>SUMIFS(D1455:D1509,K1455:K1509,"0",B1455:B1509,"5 1 3 9 8 12 31111 6 M78 07000 151 00C 001 39801 015 2111300*")-SUMIFS(E1455:E1509,K1455:K1509,"0",B1455:B1509,"5 1 3 9 8 12 31111 6 M78 07000 151 00C 001 39801 015 2111300*")</f>
        <v>0</v>
      </c>
      <c r="E1454" s="29"/>
      <c r="F1454" s="28">
        <f>SUMIFS(F1455:F1509,K1455:K1509,"0",B1455:B1509,"5 1 3 9 8 12 31111 6 M78 07000 151 00C 001 39801 015 2111300*")</f>
        <v>334207</v>
      </c>
      <c r="G1454" s="28">
        <f>SUMIFS(G1455:G1509,K1455:K1509,"0",B1455:B1509,"5 1 3 9 8 12 31111 6 M78 07000 151 00C 001 39801 015 2111300*")</f>
        <v>0</v>
      </c>
      <c r="H1454" s="28">
        <f t="shared" si="27"/>
        <v>334207</v>
      </c>
      <c r="I1454" s="28"/>
      <c r="K1454" t="s">
        <v>15</v>
      </c>
    </row>
    <row r="1455" spans="2:11" ht="22" x14ac:dyDescent="0.15">
      <c r="B1455" s="27" t="s">
        <v>1850</v>
      </c>
      <c r="C1455" s="27" t="s">
        <v>248</v>
      </c>
      <c r="D1455" s="28">
        <f>SUMIFS(D1456:D1509,K1456:K1509,"0",B1456:B1509,"5 1 3 9 8 12 31111 6 M78 07000 151 00C 001 39801 015 2111300 2024*")-SUMIFS(E1456:E1509,K1456:K1509,"0",B1456:B1509,"5 1 3 9 8 12 31111 6 M78 07000 151 00C 001 39801 015 2111300 2024*")</f>
        <v>0</v>
      </c>
      <c r="E1455" s="29"/>
      <c r="F1455" s="28">
        <f>SUMIFS(F1456:F1509,K1456:K1509,"0",B1456:B1509,"5 1 3 9 8 12 31111 6 M78 07000 151 00C 001 39801 015 2111300 2024*")</f>
        <v>334207</v>
      </c>
      <c r="G1455" s="28">
        <f>SUMIFS(G1456:G1509,K1456:K1509,"0",B1456:B1509,"5 1 3 9 8 12 31111 6 M78 07000 151 00C 001 39801 015 2111300 2024*")</f>
        <v>0</v>
      </c>
      <c r="H1455" s="28">
        <f t="shared" si="27"/>
        <v>334207</v>
      </c>
      <c r="I1455" s="28"/>
      <c r="K1455" t="s">
        <v>15</v>
      </c>
    </row>
    <row r="1456" spans="2:11" ht="22" x14ac:dyDescent="0.15">
      <c r="B1456" s="27" t="s">
        <v>1851</v>
      </c>
      <c r="C1456" s="27" t="s">
        <v>182</v>
      </c>
      <c r="D1456" s="28">
        <f>SUMIFS(D1457:D1509,K1457:K1509,"0",B1457:B1509,"5 1 3 9 8 12 31111 6 M78 07000 151 00C 001 39801 015 2111300 2024 00000000*")-SUMIFS(E1457:E1509,K1457:K1509,"0",B1457:B1509,"5 1 3 9 8 12 31111 6 M78 07000 151 00C 001 39801 015 2111300 2024 00000000*")</f>
        <v>0</v>
      </c>
      <c r="E1456" s="29"/>
      <c r="F1456" s="28">
        <f>SUMIFS(F1457:F1509,K1457:K1509,"0",B1457:B1509,"5 1 3 9 8 12 31111 6 M78 07000 151 00C 001 39801 015 2111300 2024 00000000*")</f>
        <v>334207</v>
      </c>
      <c r="G1456" s="28">
        <f>SUMIFS(G1457:G1509,K1457:K1509,"0",B1457:B1509,"5 1 3 9 8 12 31111 6 M78 07000 151 00C 001 39801 015 2111300 2024 00000000*")</f>
        <v>0</v>
      </c>
      <c r="H1456" s="28">
        <f t="shared" si="27"/>
        <v>334207</v>
      </c>
      <c r="I1456" s="28"/>
      <c r="K1456" t="s">
        <v>15</v>
      </c>
    </row>
    <row r="1457" spans="2:11" ht="33" x14ac:dyDescent="0.15">
      <c r="B1457" s="27" t="s">
        <v>1852</v>
      </c>
      <c r="C1457" s="27" t="s">
        <v>9</v>
      </c>
      <c r="D1457" s="28">
        <f>SUMIFS(D1458:D1509,K1458:K1509,"0",B1458:B1509,"5 1 3 9 8 12 31111 6 M78 07000 151 00C 001 39801 015 2111300 2024 00000000 001*")-SUMIFS(E1458:E1509,K1458:K1509,"0",B1458:B1509,"5 1 3 9 8 12 31111 6 M78 07000 151 00C 001 39801 015 2111300 2024 00000000 001*")</f>
        <v>0</v>
      </c>
      <c r="E1457" s="29"/>
      <c r="F1457" s="28">
        <f>SUMIFS(F1458:F1509,K1458:K1509,"0",B1458:B1509,"5 1 3 9 8 12 31111 6 M78 07000 151 00C 001 39801 015 2111300 2024 00000000 001*")</f>
        <v>334207</v>
      </c>
      <c r="G1457" s="28">
        <f>SUMIFS(G1458:G1509,K1458:K1509,"0",B1458:B1509,"5 1 3 9 8 12 31111 6 M78 07000 151 00C 001 39801 015 2111300 2024 00000000 001*")</f>
        <v>0</v>
      </c>
      <c r="H1457" s="28">
        <f t="shared" si="27"/>
        <v>334207</v>
      </c>
      <c r="I1457" s="28"/>
      <c r="K1457" t="s">
        <v>15</v>
      </c>
    </row>
    <row r="1458" spans="2:11" ht="33" x14ac:dyDescent="0.15">
      <c r="B1458" s="30" t="s">
        <v>1853</v>
      </c>
      <c r="C1458" s="30" t="s">
        <v>1854</v>
      </c>
      <c r="D1458" s="31">
        <v>0</v>
      </c>
      <c r="E1458" s="31"/>
      <c r="F1458" s="31">
        <v>334207</v>
      </c>
      <c r="G1458" s="31">
        <v>0</v>
      </c>
      <c r="H1458" s="31">
        <f t="shared" si="27"/>
        <v>334207</v>
      </c>
      <c r="I1458" s="31"/>
      <c r="K1458" t="s">
        <v>38</v>
      </c>
    </row>
    <row r="1459" spans="2:11" ht="13" x14ac:dyDescent="0.15">
      <c r="B1459" s="27" t="s">
        <v>1855</v>
      </c>
      <c r="C1459" s="27" t="s">
        <v>1856</v>
      </c>
      <c r="D1459" s="28">
        <f>SUMIFS(D1460:D1509,K1460:K1509,"0",B1460:B1509,"5 2*")-SUMIFS(E1460:E1509,K1460:K1509,"0",B1460:B1509,"5 2*")</f>
        <v>0</v>
      </c>
      <c r="E1459" s="29"/>
      <c r="F1459" s="28">
        <f>SUMIFS(F1460:F1509,K1460:K1509,"0",B1460:B1509,"5 2*")</f>
        <v>1371294.9</v>
      </c>
      <c r="G1459" s="28">
        <f>SUMIFS(G1460:G1509,K1460:K1509,"0",B1460:B1509,"5 2*")</f>
        <v>0</v>
      </c>
      <c r="H1459" s="28">
        <f t="shared" si="27"/>
        <v>1371294.9</v>
      </c>
      <c r="I1459" s="28"/>
      <c r="K1459" t="s">
        <v>15</v>
      </c>
    </row>
    <row r="1460" spans="2:11" ht="13" x14ac:dyDescent="0.15">
      <c r="B1460" s="27" t="s">
        <v>1857</v>
      </c>
      <c r="C1460" s="27" t="s">
        <v>512</v>
      </c>
      <c r="D1460" s="28">
        <f>SUMIFS(D1461:D1509,K1461:K1509,"0",B1461:B1509,"5 2 4*")-SUMIFS(E1461:E1509,K1461:K1509,"0",B1461:B1509,"5 2 4*")</f>
        <v>0</v>
      </c>
      <c r="E1460" s="29"/>
      <c r="F1460" s="28">
        <f>SUMIFS(F1461:F1509,K1461:K1509,"0",B1461:B1509,"5 2 4*")</f>
        <v>1371294.9</v>
      </c>
      <c r="G1460" s="28">
        <f>SUMIFS(G1461:G1509,K1461:K1509,"0",B1461:B1509,"5 2 4*")</f>
        <v>0</v>
      </c>
      <c r="H1460" s="28">
        <f t="shared" si="27"/>
        <v>1371294.9</v>
      </c>
      <c r="I1460" s="28"/>
      <c r="K1460" t="s">
        <v>15</v>
      </c>
    </row>
    <row r="1461" spans="2:11" ht="13" x14ac:dyDescent="0.15">
      <c r="B1461" s="27" t="s">
        <v>1858</v>
      </c>
      <c r="C1461" s="27" t="s">
        <v>1859</v>
      </c>
      <c r="D1461" s="28">
        <f>SUMIFS(D1462:D1509,K1462:K1509,"0",B1462:B1509,"5 2 4 1*")-SUMIFS(E1462:E1509,K1462:K1509,"0",B1462:B1509,"5 2 4 1*")</f>
        <v>0</v>
      </c>
      <c r="E1461" s="29"/>
      <c r="F1461" s="28">
        <f>SUMIFS(F1462:F1509,K1462:K1509,"0",B1462:B1509,"5 2 4 1*")</f>
        <v>1289544.8999999999</v>
      </c>
      <c r="G1461" s="28">
        <f>SUMIFS(G1462:G1509,K1462:K1509,"0",B1462:B1509,"5 2 4 1*")</f>
        <v>0</v>
      </c>
      <c r="H1461" s="28">
        <f t="shared" si="27"/>
        <v>1289544.8999999999</v>
      </c>
      <c r="I1461" s="28"/>
      <c r="K1461" t="s">
        <v>15</v>
      </c>
    </row>
    <row r="1462" spans="2:11" ht="13" x14ac:dyDescent="0.15">
      <c r="B1462" s="27" t="s">
        <v>1860</v>
      </c>
      <c r="C1462" s="27" t="s">
        <v>1859</v>
      </c>
      <c r="D1462" s="28">
        <f>SUMIFS(D1463:D1509,K1463:K1509,"0",B1463:B1509,"5 2 4 1 1*")-SUMIFS(E1463:E1509,K1463:K1509,"0",B1463:B1509,"5 2 4 1 1*")</f>
        <v>0</v>
      </c>
      <c r="E1462" s="29"/>
      <c r="F1462" s="28">
        <f>SUMIFS(F1463:F1509,K1463:K1509,"0",B1463:B1509,"5 2 4 1 1*")</f>
        <v>1289544.8999999999</v>
      </c>
      <c r="G1462" s="28">
        <f>SUMIFS(G1463:G1509,K1463:K1509,"0",B1463:B1509,"5 2 4 1 1*")</f>
        <v>0</v>
      </c>
      <c r="H1462" s="28">
        <f t="shared" si="27"/>
        <v>1289544.8999999999</v>
      </c>
      <c r="I1462" s="28"/>
      <c r="K1462" t="s">
        <v>15</v>
      </c>
    </row>
    <row r="1463" spans="2:11" ht="13" x14ac:dyDescent="0.15">
      <c r="B1463" s="27" t="s">
        <v>1861</v>
      </c>
      <c r="C1463" s="27" t="s">
        <v>26</v>
      </c>
      <c r="D1463" s="28">
        <f>SUMIFS(D1464:D1509,K1464:K1509,"0",B1464:B1509,"5 2 4 1 1 12*")-SUMIFS(E1464:E1509,K1464:K1509,"0",B1464:B1509,"5 2 4 1 1 12*")</f>
        <v>0</v>
      </c>
      <c r="E1463" s="29"/>
      <c r="F1463" s="28">
        <f>SUMIFS(F1464:F1509,K1464:K1509,"0",B1464:B1509,"5 2 4 1 1 12*")</f>
        <v>1289544.8999999999</v>
      </c>
      <c r="G1463" s="28">
        <f>SUMIFS(G1464:G1509,K1464:K1509,"0",B1464:B1509,"5 2 4 1 1 12*")</f>
        <v>0</v>
      </c>
      <c r="H1463" s="28">
        <f t="shared" si="27"/>
        <v>1289544.8999999999</v>
      </c>
      <c r="I1463" s="28"/>
      <c r="K1463" t="s">
        <v>15</v>
      </c>
    </row>
    <row r="1464" spans="2:11" ht="13" x14ac:dyDescent="0.15">
      <c r="B1464" s="27" t="s">
        <v>1862</v>
      </c>
      <c r="C1464" s="27" t="s">
        <v>28</v>
      </c>
      <c r="D1464" s="28">
        <f>SUMIFS(D1465:D1509,K1465:K1509,"0",B1465:B1509,"5 2 4 1 1 12 31111*")-SUMIFS(E1465:E1509,K1465:K1509,"0",B1465:B1509,"5 2 4 1 1 12 31111*")</f>
        <v>0</v>
      </c>
      <c r="E1464" s="29"/>
      <c r="F1464" s="28">
        <f>SUMIFS(F1465:F1509,K1465:K1509,"0",B1465:B1509,"5 2 4 1 1 12 31111*")</f>
        <v>1289544.8999999999</v>
      </c>
      <c r="G1464" s="28">
        <f>SUMIFS(G1465:G1509,K1465:K1509,"0",B1465:B1509,"5 2 4 1 1 12 31111*")</f>
        <v>0</v>
      </c>
      <c r="H1464" s="28">
        <f t="shared" si="27"/>
        <v>1289544.8999999999</v>
      </c>
      <c r="I1464" s="28"/>
      <c r="K1464" t="s">
        <v>15</v>
      </c>
    </row>
    <row r="1465" spans="2:11" ht="13" x14ac:dyDescent="0.15">
      <c r="B1465" s="27" t="s">
        <v>1863</v>
      </c>
      <c r="C1465" s="27" t="s">
        <v>30</v>
      </c>
      <c r="D1465" s="28">
        <f>SUMIFS(D1466:D1509,K1466:K1509,"0",B1466:B1509,"5 2 4 1 1 12 31111 6*")-SUMIFS(E1466:E1509,K1466:K1509,"0",B1466:B1509,"5 2 4 1 1 12 31111 6*")</f>
        <v>0</v>
      </c>
      <c r="E1465" s="29"/>
      <c r="F1465" s="28">
        <f>SUMIFS(F1466:F1509,K1466:K1509,"0",B1466:B1509,"5 2 4 1 1 12 31111 6*")</f>
        <v>1289544.8999999999</v>
      </c>
      <c r="G1465" s="28">
        <f>SUMIFS(G1466:G1509,K1466:K1509,"0",B1466:B1509,"5 2 4 1 1 12 31111 6*")</f>
        <v>0</v>
      </c>
      <c r="H1465" s="28">
        <f t="shared" si="27"/>
        <v>1289544.8999999999</v>
      </c>
      <c r="I1465" s="28"/>
      <c r="K1465" t="s">
        <v>15</v>
      </c>
    </row>
    <row r="1466" spans="2:11" ht="13" x14ac:dyDescent="0.15">
      <c r="B1466" s="27" t="s">
        <v>1864</v>
      </c>
      <c r="C1466" s="27" t="s">
        <v>733</v>
      </c>
      <c r="D1466" s="28">
        <f>SUMIFS(D1467:D1509,K1467:K1509,"0",B1467:B1509,"5 2 4 1 1 12 31111 6 M78*")-SUMIFS(E1467:E1509,K1467:K1509,"0",B1467:B1509,"5 2 4 1 1 12 31111 6 M78*")</f>
        <v>0</v>
      </c>
      <c r="E1466" s="29"/>
      <c r="F1466" s="28">
        <f>SUMIFS(F1467:F1509,K1467:K1509,"0",B1467:B1509,"5 2 4 1 1 12 31111 6 M78*")</f>
        <v>1289544.8999999999</v>
      </c>
      <c r="G1466" s="28">
        <f>SUMIFS(G1467:G1509,K1467:K1509,"0",B1467:B1509,"5 2 4 1 1 12 31111 6 M78*")</f>
        <v>0</v>
      </c>
      <c r="H1466" s="28">
        <f t="shared" si="27"/>
        <v>1289544.8999999999</v>
      </c>
      <c r="I1466" s="28"/>
      <c r="K1466" t="s">
        <v>15</v>
      </c>
    </row>
    <row r="1467" spans="2:11" ht="13" x14ac:dyDescent="0.15">
      <c r="B1467" s="27" t="s">
        <v>1865</v>
      </c>
      <c r="C1467" s="27" t="s">
        <v>8</v>
      </c>
      <c r="D1467" s="28">
        <f>SUMIFS(D1468:D1509,K1468:K1509,"0",B1468:B1509,"5 2 4 1 1 12 31111 6 M78 07000*")-SUMIFS(E1468:E1509,K1468:K1509,"0",B1468:B1509,"5 2 4 1 1 12 31111 6 M78 07000*")</f>
        <v>0</v>
      </c>
      <c r="E1467" s="29"/>
      <c r="F1467" s="28">
        <f>SUMIFS(F1468:F1509,K1468:K1509,"0",B1468:B1509,"5 2 4 1 1 12 31111 6 M78 07000*")</f>
        <v>1289544.8999999999</v>
      </c>
      <c r="G1467" s="28">
        <f>SUMIFS(G1468:G1509,K1468:K1509,"0",B1468:B1509,"5 2 4 1 1 12 31111 6 M78 07000*")</f>
        <v>0</v>
      </c>
      <c r="H1467" s="28">
        <f t="shared" si="27"/>
        <v>1289544.8999999999</v>
      </c>
      <c r="I1467" s="28"/>
      <c r="K1467" t="s">
        <v>15</v>
      </c>
    </row>
    <row r="1468" spans="2:11" ht="13" x14ac:dyDescent="0.15">
      <c r="B1468" s="27" t="s">
        <v>1866</v>
      </c>
      <c r="C1468" s="27" t="s">
        <v>168</v>
      </c>
      <c r="D1468" s="28">
        <f>SUMIFS(D1469:D1509,K1469:K1509,"0",B1469:B1509,"5 2 4 1 1 12 31111 6 M78 07000 151*")-SUMIFS(E1469:E1509,K1469:K1509,"0",B1469:B1509,"5 2 4 1 1 12 31111 6 M78 07000 151*")</f>
        <v>0</v>
      </c>
      <c r="E1468" s="29"/>
      <c r="F1468" s="28">
        <f>SUMIFS(F1469:F1509,K1469:K1509,"0",B1469:B1509,"5 2 4 1 1 12 31111 6 M78 07000 151*")</f>
        <v>1289544.8999999999</v>
      </c>
      <c r="G1468" s="28">
        <f>SUMIFS(G1469:G1509,K1469:K1509,"0",B1469:B1509,"5 2 4 1 1 12 31111 6 M78 07000 151*")</f>
        <v>0</v>
      </c>
      <c r="H1468" s="28">
        <f t="shared" si="27"/>
        <v>1289544.8999999999</v>
      </c>
      <c r="I1468" s="28"/>
      <c r="K1468" t="s">
        <v>15</v>
      </c>
    </row>
    <row r="1469" spans="2:11" ht="13" x14ac:dyDescent="0.15">
      <c r="B1469" s="27" t="s">
        <v>1867</v>
      </c>
      <c r="C1469" s="27" t="s">
        <v>170</v>
      </c>
      <c r="D1469" s="28">
        <f>SUMIFS(D1470:D1509,K1470:K1509,"0",B1470:B1509,"5 2 4 1 1 12 31111 6 M78 07000 151 00C*")-SUMIFS(E1470:E1509,K1470:K1509,"0",B1470:B1509,"5 2 4 1 1 12 31111 6 M78 07000 151 00C*")</f>
        <v>0</v>
      </c>
      <c r="E1469" s="29"/>
      <c r="F1469" s="28">
        <f>SUMIFS(F1470:F1509,K1470:K1509,"0",B1470:B1509,"5 2 4 1 1 12 31111 6 M78 07000 151 00C*")</f>
        <v>1289544.8999999999</v>
      </c>
      <c r="G1469" s="28">
        <f>SUMIFS(G1470:G1509,K1470:K1509,"0",B1470:B1509,"5 2 4 1 1 12 31111 6 M78 07000 151 00C*")</f>
        <v>0</v>
      </c>
      <c r="H1469" s="28">
        <f t="shared" si="27"/>
        <v>1289544.8999999999</v>
      </c>
      <c r="I1469" s="28"/>
      <c r="K1469" t="s">
        <v>15</v>
      </c>
    </row>
    <row r="1470" spans="2:11" ht="22" x14ac:dyDescent="0.15">
      <c r="B1470" s="27" t="s">
        <v>1868</v>
      </c>
      <c r="C1470" s="27" t="s">
        <v>9</v>
      </c>
      <c r="D1470" s="28">
        <f>SUMIFS(D1471:D1509,K1471:K1509,"0",B1471:B1509,"5 2 4 1 1 12 31111 6 M78 07000 151 00C 001*")-SUMIFS(E1471:E1509,K1471:K1509,"0",B1471:B1509,"5 2 4 1 1 12 31111 6 M78 07000 151 00C 001*")</f>
        <v>0</v>
      </c>
      <c r="E1470" s="29"/>
      <c r="F1470" s="28">
        <f>SUMIFS(F1471:F1509,K1471:K1509,"0",B1471:B1509,"5 2 4 1 1 12 31111 6 M78 07000 151 00C 001*")</f>
        <v>1289544.8999999999</v>
      </c>
      <c r="G1470" s="28">
        <f>SUMIFS(G1471:G1509,K1471:K1509,"0",B1471:B1509,"5 2 4 1 1 12 31111 6 M78 07000 151 00C 001*")</f>
        <v>0</v>
      </c>
      <c r="H1470" s="28">
        <f t="shared" si="27"/>
        <v>1289544.8999999999</v>
      </c>
      <c r="I1470" s="28"/>
      <c r="K1470" t="s">
        <v>15</v>
      </c>
    </row>
    <row r="1471" spans="2:11" ht="22" x14ac:dyDescent="0.15">
      <c r="B1471" s="27" t="s">
        <v>1869</v>
      </c>
      <c r="C1471" s="27" t="s">
        <v>1870</v>
      </c>
      <c r="D1471" s="28">
        <f>SUMIFS(D1472:D1509,K1472:K1509,"0",B1472:B1509,"5 2 4 1 1 12 31111 6 M78 07000 151 00C 001 44101*")-SUMIFS(E1472:E1509,K1472:K1509,"0",B1472:B1509,"5 2 4 1 1 12 31111 6 M78 07000 151 00C 001 44101*")</f>
        <v>0</v>
      </c>
      <c r="E1471" s="29"/>
      <c r="F1471" s="28">
        <f>SUMIFS(F1472:F1509,K1472:K1509,"0",B1472:B1509,"5 2 4 1 1 12 31111 6 M78 07000 151 00C 001 44101*")</f>
        <v>1289544.8999999999</v>
      </c>
      <c r="G1471" s="28">
        <f>SUMIFS(G1472:G1509,K1472:K1509,"0",B1472:B1509,"5 2 4 1 1 12 31111 6 M78 07000 151 00C 001 44101*")</f>
        <v>0</v>
      </c>
      <c r="H1471" s="28">
        <f t="shared" si="27"/>
        <v>1289544.8999999999</v>
      </c>
      <c r="I1471" s="28"/>
      <c r="K1471" t="s">
        <v>15</v>
      </c>
    </row>
    <row r="1472" spans="2:11" ht="22" x14ac:dyDescent="0.15">
      <c r="B1472" s="27" t="s">
        <v>1871</v>
      </c>
      <c r="C1472" s="27" t="s">
        <v>176</v>
      </c>
      <c r="D1472" s="28">
        <f>SUMIFS(D1473:D1509,K1473:K1509,"0",B1473:B1509,"5 2 4 1 1 12 31111 6 M78 07000 151 00C 001 44101 015*")-SUMIFS(E1473:E1509,K1473:K1509,"0",B1473:B1509,"5 2 4 1 1 12 31111 6 M78 07000 151 00C 001 44101 015*")</f>
        <v>0</v>
      </c>
      <c r="E1472" s="29"/>
      <c r="F1472" s="28">
        <f>SUMIFS(F1473:F1509,K1473:K1509,"0",B1473:B1509,"5 2 4 1 1 12 31111 6 M78 07000 151 00C 001 44101 015*")</f>
        <v>1289544.8999999999</v>
      </c>
      <c r="G1472" s="28">
        <f>SUMIFS(G1473:G1509,K1473:K1509,"0",B1473:B1509,"5 2 4 1 1 12 31111 6 M78 07000 151 00C 001 44101 015*")</f>
        <v>0</v>
      </c>
      <c r="H1472" s="28">
        <f t="shared" si="27"/>
        <v>1289544.8999999999</v>
      </c>
      <c r="I1472" s="28"/>
      <c r="K1472" t="s">
        <v>15</v>
      </c>
    </row>
    <row r="1473" spans="2:11" ht="22" x14ac:dyDescent="0.15">
      <c r="B1473" s="27" t="s">
        <v>1872</v>
      </c>
      <c r="C1473" s="27" t="s">
        <v>1873</v>
      </c>
      <c r="D1473" s="28">
        <f>SUMIFS(D1474:D1509,K1474:K1509,"0",B1474:B1509,"5 2 4 1 1 12 31111 6 M78 07000 151 00C 001 44101 015 2151100*")-SUMIFS(E1474:E1509,K1474:K1509,"0",B1474:B1509,"5 2 4 1 1 12 31111 6 M78 07000 151 00C 001 44101 015 2151100*")</f>
        <v>0</v>
      </c>
      <c r="E1473" s="29"/>
      <c r="F1473" s="28">
        <f>SUMIFS(F1474:F1509,K1474:K1509,"0",B1474:B1509,"5 2 4 1 1 12 31111 6 M78 07000 151 00C 001 44101 015 2151100*")</f>
        <v>1289544.8999999999</v>
      </c>
      <c r="G1473" s="28">
        <f>SUMIFS(G1474:G1509,K1474:K1509,"0",B1474:B1509,"5 2 4 1 1 12 31111 6 M78 07000 151 00C 001 44101 015 2151100*")</f>
        <v>0</v>
      </c>
      <c r="H1473" s="28">
        <f t="shared" si="27"/>
        <v>1289544.8999999999</v>
      </c>
      <c r="I1473" s="28"/>
      <c r="K1473" t="s">
        <v>15</v>
      </c>
    </row>
    <row r="1474" spans="2:11" ht="22" x14ac:dyDescent="0.15">
      <c r="B1474" s="27" t="s">
        <v>1874</v>
      </c>
      <c r="C1474" s="27" t="s">
        <v>248</v>
      </c>
      <c r="D1474" s="28">
        <f>SUMIFS(D1475:D1509,K1475:K1509,"0",B1475:B1509,"5 2 4 1 1 12 31111 6 M78 07000 151 00C 001 44101 015 2151100 2024*")-SUMIFS(E1475:E1509,K1475:K1509,"0",B1475:B1509,"5 2 4 1 1 12 31111 6 M78 07000 151 00C 001 44101 015 2151100 2024*")</f>
        <v>0</v>
      </c>
      <c r="E1474" s="29"/>
      <c r="F1474" s="28">
        <f>SUMIFS(F1475:F1509,K1475:K1509,"0",B1475:B1509,"5 2 4 1 1 12 31111 6 M78 07000 151 00C 001 44101 015 2151100 2024*")</f>
        <v>1289544.8999999999</v>
      </c>
      <c r="G1474" s="28">
        <f>SUMIFS(G1475:G1509,K1475:K1509,"0",B1475:B1509,"5 2 4 1 1 12 31111 6 M78 07000 151 00C 001 44101 015 2151100 2024*")</f>
        <v>0</v>
      </c>
      <c r="H1474" s="28">
        <f t="shared" si="27"/>
        <v>1289544.8999999999</v>
      </c>
      <c r="I1474" s="28"/>
      <c r="K1474" t="s">
        <v>15</v>
      </c>
    </row>
    <row r="1475" spans="2:11" ht="22" x14ac:dyDescent="0.15">
      <c r="B1475" s="27" t="s">
        <v>1875</v>
      </c>
      <c r="C1475" s="27" t="s">
        <v>182</v>
      </c>
      <c r="D1475" s="28">
        <f>SUMIFS(D1476:D1509,K1476:K1509,"0",B1476:B1509,"5 2 4 1 1 12 31111 6 M78 07000 151 00C 001 44101 015 2151100 2024 00000000*")-SUMIFS(E1476:E1509,K1476:K1509,"0",B1476:B1509,"5 2 4 1 1 12 31111 6 M78 07000 151 00C 001 44101 015 2151100 2024 00000000*")</f>
        <v>0</v>
      </c>
      <c r="E1475" s="29"/>
      <c r="F1475" s="28">
        <f>SUMIFS(F1476:F1509,K1476:K1509,"0",B1476:B1509,"5 2 4 1 1 12 31111 6 M78 07000 151 00C 001 44101 015 2151100 2024 00000000*")</f>
        <v>1289544.8999999999</v>
      </c>
      <c r="G1475" s="28">
        <f>SUMIFS(G1476:G1509,K1476:K1509,"0",B1476:B1509,"5 2 4 1 1 12 31111 6 M78 07000 151 00C 001 44101 015 2151100 2024 00000000*")</f>
        <v>0</v>
      </c>
      <c r="H1475" s="28">
        <f t="shared" si="27"/>
        <v>1289544.8999999999</v>
      </c>
      <c r="I1475" s="28"/>
      <c r="K1475" t="s">
        <v>15</v>
      </c>
    </row>
    <row r="1476" spans="2:11" ht="33" x14ac:dyDescent="0.15">
      <c r="B1476" s="27" t="s">
        <v>1876</v>
      </c>
      <c r="C1476" s="27" t="s">
        <v>9</v>
      </c>
      <c r="D1476" s="28">
        <f>SUMIFS(D1477:D1509,K1477:K1509,"0",B1477:B1509,"5 2 4 1 1 12 31111 6 M78 07000 151 00C 001 44101 015 2151100 2024 00000000 001*")-SUMIFS(E1477:E1509,K1477:K1509,"0",B1477:B1509,"5 2 4 1 1 12 31111 6 M78 07000 151 00C 001 44101 015 2151100 2024 00000000 001*")</f>
        <v>0</v>
      </c>
      <c r="E1476" s="29"/>
      <c r="F1476" s="28">
        <f>SUMIFS(F1477:F1509,K1477:K1509,"0",B1477:B1509,"5 2 4 1 1 12 31111 6 M78 07000 151 00C 001 44101 015 2151100 2024 00000000 001*")</f>
        <v>1289544.8999999999</v>
      </c>
      <c r="G1476" s="28">
        <f>SUMIFS(G1477:G1509,K1477:K1509,"0",B1477:B1509,"5 2 4 1 1 12 31111 6 M78 07000 151 00C 001 44101 015 2151100 2024 00000000 001*")</f>
        <v>0</v>
      </c>
      <c r="H1476" s="28">
        <f t="shared" si="27"/>
        <v>1289544.8999999999</v>
      </c>
      <c r="I1476" s="28"/>
      <c r="K1476" t="s">
        <v>15</v>
      </c>
    </row>
    <row r="1477" spans="2:11" ht="33" x14ac:dyDescent="0.15">
      <c r="B1477" s="30" t="s">
        <v>1877</v>
      </c>
      <c r="C1477" s="30" t="s">
        <v>1859</v>
      </c>
      <c r="D1477" s="31">
        <v>0</v>
      </c>
      <c r="E1477" s="31"/>
      <c r="F1477" s="31">
        <v>252450</v>
      </c>
      <c r="G1477" s="31">
        <v>0</v>
      </c>
      <c r="H1477" s="31">
        <f t="shared" si="27"/>
        <v>252450</v>
      </c>
      <c r="I1477" s="31"/>
      <c r="K1477" t="s">
        <v>38</v>
      </c>
    </row>
    <row r="1478" spans="2:11" ht="33" x14ac:dyDescent="0.15">
      <c r="B1478" s="30" t="s">
        <v>1878</v>
      </c>
      <c r="C1478" s="30" t="s">
        <v>1879</v>
      </c>
      <c r="D1478" s="31">
        <v>0</v>
      </c>
      <c r="E1478" s="31"/>
      <c r="F1478" s="31">
        <v>8100</v>
      </c>
      <c r="G1478" s="31">
        <v>0</v>
      </c>
      <c r="H1478" s="31">
        <f t="shared" si="27"/>
        <v>8100</v>
      </c>
      <c r="I1478" s="31"/>
      <c r="K1478" t="s">
        <v>38</v>
      </c>
    </row>
    <row r="1479" spans="2:11" ht="33" x14ac:dyDescent="0.15">
      <c r="B1479" s="30" t="s">
        <v>1880</v>
      </c>
      <c r="C1479" s="30" t="s">
        <v>1881</v>
      </c>
      <c r="D1479" s="31">
        <v>0</v>
      </c>
      <c r="E1479" s="31"/>
      <c r="F1479" s="31">
        <v>1028994.9</v>
      </c>
      <c r="G1479" s="31">
        <v>0</v>
      </c>
      <c r="H1479" s="31">
        <f t="shared" si="27"/>
        <v>1028994.9</v>
      </c>
      <c r="I1479" s="31"/>
      <c r="K1479" t="s">
        <v>38</v>
      </c>
    </row>
    <row r="1480" spans="2:11" ht="13" x14ac:dyDescent="0.15">
      <c r="B1480" s="27" t="s">
        <v>1882</v>
      </c>
      <c r="C1480" s="27" t="s">
        <v>1883</v>
      </c>
      <c r="D1480" s="28">
        <f>SUMIFS(D1481:D1509,K1481:K1509,"0",B1481:B1509,"5 2 4 3*")-SUMIFS(E1481:E1509,K1481:K1509,"0",B1481:B1509,"5 2 4 3*")</f>
        <v>0</v>
      </c>
      <c r="E1480" s="29"/>
      <c r="F1480" s="28">
        <f>SUMIFS(F1481:F1509,K1481:K1509,"0",B1481:B1509,"5 2 4 3*")</f>
        <v>81750</v>
      </c>
      <c r="G1480" s="28">
        <f>SUMIFS(G1481:G1509,K1481:K1509,"0",B1481:B1509,"5 2 4 3*")</f>
        <v>0</v>
      </c>
      <c r="H1480" s="28">
        <f t="shared" si="27"/>
        <v>81750</v>
      </c>
      <c r="I1480" s="28"/>
      <c r="K1480" t="s">
        <v>15</v>
      </c>
    </row>
    <row r="1481" spans="2:11" ht="13" x14ac:dyDescent="0.15">
      <c r="B1481" s="27" t="s">
        <v>1884</v>
      </c>
      <c r="C1481" s="27" t="s">
        <v>1885</v>
      </c>
      <c r="D1481" s="28">
        <f>SUMIFS(D1482:D1509,K1482:K1509,"0",B1482:B1509,"5 2 4 3 3*")-SUMIFS(E1482:E1509,K1482:K1509,"0",B1482:B1509,"5 2 4 3 3*")</f>
        <v>0</v>
      </c>
      <c r="E1481" s="29"/>
      <c r="F1481" s="28">
        <f>SUMIFS(F1482:F1509,K1482:K1509,"0",B1482:B1509,"5 2 4 3 3*")</f>
        <v>81750</v>
      </c>
      <c r="G1481" s="28">
        <f>SUMIFS(G1482:G1509,K1482:K1509,"0",B1482:B1509,"5 2 4 3 3*")</f>
        <v>0</v>
      </c>
      <c r="H1481" s="28">
        <f t="shared" si="27"/>
        <v>81750</v>
      </c>
      <c r="I1481" s="28"/>
      <c r="K1481" t="s">
        <v>15</v>
      </c>
    </row>
    <row r="1482" spans="2:11" ht="13" x14ac:dyDescent="0.15">
      <c r="B1482" s="27" t="s">
        <v>1886</v>
      </c>
      <c r="C1482" s="27" t="s">
        <v>26</v>
      </c>
      <c r="D1482" s="28">
        <f>SUMIFS(D1483:D1509,K1483:K1509,"0",B1483:B1509,"5 2 4 3 3 12*")-SUMIFS(E1483:E1509,K1483:K1509,"0",B1483:B1509,"5 2 4 3 3 12*")</f>
        <v>0</v>
      </c>
      <c r="E1482" s="29"/>
      <c r="F1482" s="28">
        <f>SUMIFS(F1483:F1509,K1483:K1509,"0",B1483:B1509,"5 2 4 3 3 12*")</f>
        <v>81750</v>
      </c>
      <c r="G1482" s="28">
        <f>SUMIFS(G1483:G1509,K1483:K1509,"0",B1483:B1509,"5 2 4 3 3 12*")</f>
        <v>0</v>
      </c>
      <c r="H1482" s="28">
        <f t="shared" si="27"/>
        <v>81750</v>
      </c>
      <c r="I1482" s="28"/>
      <c r="K1482" t="s">
        <v>15</v>
      </c>
    </row>
    <row r="1483" spans="2:11" ht="13" x14ac:dyDescent="0.15">
      <c r="B1483" s="27" t="s">
        <v>1887</v>
      </c>
      <c r="C1483" s="27" t="s">
        <v>28</v>
      </c>
      <c r="D1483" s="28">
        <f>SUMIFS(D1484:D1509,K1484:K1509,"0",B1484:B1509,"5 2 4 3 3 12 31111*")-SUMIFS(E1484:E1509,K1484:K1509,"0",B1484:B1509,"5 2 4 3 3 12 31111*")</f>
        <v>0</v>
      </c>
      <c r="E1483" s="29"/>
      <c r="F1483" s="28">
        <f>SUMIFS(F1484:F1509,K1484:K1509,"0",B1484:B1509,"5 2 4 3 3 12 31111*")</f>
        <v>81750</v>
      </c>
      <c r="G1483" s="28">
        <f>SUMIFS(G1484:G1509,K1484:K1509,"0",B1484:B1509,"5 2 4 3 3 12 31111*")</f>
        <v>0</v>
      </c>
      <c r="H1483" s="28">
        <f t="shared" si="27"/>
        <v>81750</v>
      </c>
      <c r="I1483" s="28"/>
      <c r="K1483" t="s">
        <v>15</v>
      </c>
    </row>
    <row r="1484" spans="2:11" ht="13" x14ac:dyDescent="0.15">
      <c r="B1484" s="27" t="s">
        <v>1888</v>
      </c>
      <c r="C1484" s="27" t="s">
        <v>30</v>
      </c>
      <c r="D1484" s="28">
        <f>SUMIFS(D1485:D1509,K1485:K1509,"0",B1485:B1509,"5 2 4 3 3 12 31111 6*")-SUMIFS(E1485:E1509,K1485:K1509,"0",B1485:B1509,"5 2 4 3 3 12 31111 6*")</f>
        <v>0</v>
      </c>
      <c r="E1484" s="29"/>
      <c r="F1484" s="28">
        <f>SUMIFS(F1485:F1509,K1485:K1509,"0",B1485:B1509,"5 2 4 3 3 12 31111 6*")</f>
        <v>81750</v>
      </c>
      <c r="G1484" s="28">
        <f>SUMIFS(G1485:G1509,K1485:K1509,"0",B1485:B1509,"5 2 4 3 3 12 31111 6*")</f>
        <v>0</v>
      </c>
      <c r="H1484" s="28">
        <f t="shared" si="27"/>
        <v>81750</v>
      </c>
      <c r="I1484" s="28"/>
      <c r="K1484" t="s">
        <v>15</v>
      </c>
    </row>
    <row r="1485" spans="2:11" ht="13" x14ac:dyDescent="0.15">
      <c r="B1485" s="27" t="s">
        <v>1889</v>
      </c>
      <c r="C1485" s="27" t="s">
        <v>733</v>
      </c>
      <c r="D1485" s="28">
        <f>SUMIFS(D1486:D1509,K1486:K1509,"0",B1486:B1509,"5 2 4 3 3 12 31111 6 M78*")-SUMIFS(E1486:E1509,K1486:K1509,"0",B1486:B1509,"5 2 4 3 3 12 31111 6 M78*")</f>
        <v>0</v>
      </c>
      <c r="E1485" s="29"/>
      <c r="F1485" s="28">
        <f>SUMIFS(F1486:F1509,K1486:K1509,"0",B1486:B1509,"5 2 4 3 3 12 31111 6 M78*")</f>
        <v>81750</v>
      </c>
      <c r="G1485" s="28">
        <f>SUMIFS(G1486:G1509,K1486:K1509,"0",B1486:B1509,"5 2 4 3 3 12 31111 6 M78*")</f>
        <v>0</v>
      </c>
      <c r="H1485" s="28">
        <f t="shared" si="27"/>
        <v>81750</v>
      </c>
      <c r="I1485" s="28"/>
      <c r="K1485" t="s">
        <v>15</v>
      </c>
    </row>
    <row r="1486" spans="2:11" ht="13" x14ac:dyDescent="0.15">
      <c r="B1486" s="27" t="s">
        <v>1890</v>
      </c>
      <c r="C1486" s="27" t="s">
        <v>8</v>
      </c>
      <c r="D1486" s="28">
        <f>SUMIFS(D1487:D1509,K1487:K1509,"0",B1487:B1509,"5 2 4 3 3 12 31111 6 M78 07000*")-SUMIFS(E1487:E1509,K1487:K1509,"0",B1487:B1509,"5 2 4 3 3 12 31111 6 M78 07000*")</f>
        <v>0</v>
      </c>
      <c r="E1486" s="29"/>
      <c r="F1486" s="28">
        <f>SUMIFS(F1487:F1509,K1487:K1509,"0",B1487:B1509,"5 2 4 3 3 12 31111 6 M78 07000*")</f>
        <v>81750</v>
      </c>
      <c r="G1486" s="28">
        <f>SUMIFS(G1487:G1509,K1487:K1509,"0",B1487:B1509,"5 2 4 3 3 12 31111 6 M78 07000*")</f>
        <v>0</v>
      </c>
      <c r="H1486" s="28">
        <f t="shared" si="27"/>
        <v>81750</v>
      </c>
      <c r="I1486" s="28"/>
      <c r="K1486" t="s">
        <v>15</v>
      </c>
    </row>
    <row r="1487" spans="2:11" ht="13" x14ac:dyDescent="0.15">
      <c r="B1487" s="27" t="s">
        <v>1891</v>
      </c>
      <c r="C1487" s="27" t="s">
        <v>168</v>
      </c>
      <c r="D1487" s="28">
        <f>SUMIFS(D1488:D1509,K1488:K1509,"0",B1488:B1509,"5 2 4 3 3 12 31111 6 M78 07000 151*")-SUMIFS(E1488:E1509,K1488:K1509,"0",B1488:B1509,"5 2 4 3 3 12 31111 6 M78 07000 151*")</f>
        <v>0</v>
      </c>
      <c r="E1487" s="29"/>
      <c r="F1487" s="28">
        <f>SUMIFS(F1488:F1509,K1488:K1509,"0",B1488:B1509,"5 2 4 3 3 12 31111 6 M78 07000 151*")</f>
        <v>81750</v>
      </c>
      <c r="G1487" s="28">
        <f>SUMIFS(G1488:G1509,K1488:K1509,"0",B1488:B1509,"5 2 4 3 3 12 31111 6 M78 07000 151*")</f>
        <v>0</v>
      </c>
      <c r="H1487" s="28">
        <f t="shared" si="27"/>
        <v>81750</v>
      </c>
      <c r="I1487" s="28"/>
      <c r="K1487" t="s">
        <v>15</v>
      </c>
    </row>
    <row r="1488" spans="2:11" ht="13" x14ac:dyDescent="0.15">
      <c r="B1488" s="27" t="s">
        <v>1892</v>
      </c>
      <c r="C1488" s="27" t="s">
        <v>170</v>
      </c>
      <c r="D1488" s="28">
        <f>SUMIFS(D1489:D1509,K1489:K1509,"0",B1489:B1509,"5 2 4 3 3 12 31111 6 M78 07000 151 00C*")-SUMIFS(E1489:E1509,K1489:K1509,"0",B1489:B1509,"5 2 4 3 3 12 31111 6 M78 07000 151 00C*")</f>
        <v>0</v>
      </c>
      <c r="E1488" s="29"/>
      <c r="F1488" s="28">
        <f>SUMIFS(F1489:F1509,K1489:K1509,"0",B1489:B1509,"5 2 4 3 3 12 31111 6 M78 07000 151 00C*")</f>
        <v>81750</v>
      </c>
      <c r="G1488" s="28">
        <f>SUMIFS(G1489:G1509,K1489:K1509,"0",B1489:B1509,"5 2 4 3 3 12 31111 6 M78 07000 151 00C*")</f>
        <v>0</v>
      </c>
      <c r="H1488" s="28">
        <f t="shared" si="27"/>
        <v>81750</v>
      </c>
      <c r="I1488" s="28"/>
      <c r="K1488" t="s">
        <v>15</v>
      </c>
    </row>
    <row r="1489" spans="2:11" ht="22" x14ac:dyDescent="0.15">
      <c r="B1489" s="27" t="s">
        <v>1893</v>
      </c>
      <c r="C1489" s="27" t="s">
        <v>9</v>
      </c>
      <c r="D1489" s="28">
        <f>SUMIFS(D1490:D1509,K1490:K1509,"0",B1490:B1509,"5 2 4 3 3 12 31111 6 M78 07000 151 00C 001*")-SUMIFS(E1490:E1509,K1490:K1509,"0",B1490:B1509,"5 2 4 3 3 12 31111 6 M78 07000 151 00C 001*")</f>
        <v>0</v>
      </c>
      <c r="E1489" s="29"/>
      <c r="F1489" s="28">
        <f>SUMIFS(F1490:F1509,K1490:K1509,"0",B1490:B1509,"5 2 4 3 3 12 31111 6 M78 07000 151 00C 001*")</f>
        <v>81750</v>
      </c>
      <c r="G1489" s="28">
        <f>SUMIFS(G1490:G1509,K1490:K1509,"0",B1490:B1509,"5 2 4 3 3 12 31111 6 M78 07000 151 00C 001*")</f>
        <v>0</v>
      </c>
      <c r="H1489" s="28">
        <f t="shared" si="27"/>
        <v>81750</v>
      </c>
      <c r="I1489" s="28"/>
      <c r="K1489" t="s">
        <v>15</v>
      </c>
    </row>
    <row r="1490" spans="2:11" ht="22" x14ac:dyDescent="0.15">
      <c r="B1490" s="27" t="s">
        <v>1894</v>
      </c>
      <c r="C1490" s="27" t="s">
        <v>1895</v>
      </c>
      <c r="D1490" s="28">
        <f>SUMIFS(D1491:D1509,K1491:K1509,"0",B1491:B1509,"5 2 4 3 3 12 31111 6 M78 07000 151 00C 001 44300*")-SUMIFS(E1491:E1509,K1491:K1509,"0",B1491:B1509,"5 2 4 3 3 12 31111 6 M78 07000 151 00C 001 44300*")</f>
        <v>0</v>
      </c>
      <c r="E1490" s="29"/>
      <c r="F1490" s="28">
        <f>SUMIFS(F1491:F1509,K1491:K1509,"0",B1491:B1509,"5 2 4 3 3 12 31111 6 M78 07000 151 00C 001 44300*")</f>
        <v>81750</v>
      </c>
      <c r="G1490" s="28">
        <f>SUMIFS(G1491:G1509,K1491:K1509,"0",B1491:B1509,"5 2 4 3 3 12 31111 6 M78 07000 151 00C 001 44300*")</f>
        <v>0</v>
      </c>
      <c r="H1490" s="28">
        <f t="shared" si="27"/>
        <v>81750</v>
      </c>
      <c r="I1490" s="28"/>
      <c r="K1490" t="s">
        <v>15</v>
      </c>
    </row>
    <row r="1491" spans="2:11" ht="22" x14ac:dyDescent="0.15">
      <c r="B1491" s="27" t="s">
        <v>1896</v>
      </c>
      <c r="C1491" s="27" t="s">
        <v>176</v>
      </c>
      <c r="D1491" s="28">
        <f>SUMIFS(D1492:D1509,K1492:K1509,"0",B1492:B1509,"5 2 4 3 3 12 31111 6 M78 07000 151 00C 001 44300 015*")-SUMIFS(E1492:E1509,K1492:K1509,"0",B1492:B1509,"5 2 4 3 3 12 31111 6 M78 07000 151 00C 001 44300 015*")</f>
        <v>0</v>
      </c>
      <c r="E1491" s="29"/>
      <c r="F1491" s="28">
        <f>SUMIFS(F1492:F1509,K1492:K1509,"0",B1492:B1509,"5 2 4 3 3 12 31111 6 M78 07000 151 00C 001 44300 015*")</f>
        <v>81750</v>
      </c>
      <c r="G1491" s="28">
        <f>SUMIFS(G1492:G1509,K1492:K1509,"0",B1492:B1509,"5 2 4 3 3 12 31111 6 M78 07000 151 00C 001 44300 015*")</f>
        <v>0</v>
      </c>
      <c r="H1491" s="28">
        <f t="shared" si="27"/>
        <v>81750</v>
      </c>
      <c r="I1491" s="28"/>
      <c r="K1491" t="s">
        <v>15</v>
      </c>
    </row>
    <row r="1492" spans="2:11" ht="22" x14ac:dyDescent="0.15">
      <c r="B1492" s="27" t="s">
        <v>1897</v>
      </c>
      <c r="C1492" s="27" t="s">
        <v>1898</v>
      </c>
      <c r="D1492" s="28">
        <f>SUMIFS(D1493:D1509,K1493:K1509,"0",B1493:B1509,"5 2 4 3 3 12 31111 6 M78 07000 151 00C 001 44300 015 2151300*")-SUMIFS(E1493:E1509,K1493:K1509,"0",B1493:B1509,"5 2 4 3 3 12 31111 6 M78 07000 151 00C 001 44300 015 2151300*")</f>
        <v>0</v>
      </c>
      <c r="E1492" s="29"/>
      <c r="F1492" s="28">
        <f>SUMIFS(F1493:F1509,K1493:K1509,"0",B1493:B1509,"5 2 4 3 3 12 31111 6 M78 07000 151 00C 001 44300 015 2151300*")</f>
        <v>81750</v>
      </c>
      <c r="G1492" s="28">
        <f>SUMIFS(G1493:G1509,K1493:K1509,"0",B1493:B1509,"5 2 4 3 3 12 31111 6 M78 07000 151 00C 001 44300 015 2151300*")</f>
        <v>0</v>
      </c>
      <c r="H1492" s="28">
        <f t="shared" si="27"/>
        <v>81750</v>
      </c>
      <c r="I1492" s="28"/>
      <c r="K1492" t="s">
        <v>15</v>
      </c>
    </row>
    <row r="1493" spans="2:11" ht="22" x14ac:dyDescent="0.15">
      <c r="B1493" s="27" t="s">
        <v>1899</v>
      </c>
      <c r="C1493" s="27" t="s">
        <v>248</v>
      </c>
      <c r="D1493" s="28">
        <f>SUMIFS(D1494:D1509,K1494:K1509,"0",B1494:B1509,"5 2 4 3 3 12 31111 6 M78 07000 151 00C 001 44300 015 2151300 2024*")-SUMIFS(E1494:E1509,K1494:K1509,"0",B1494:B1509,"5 2 4 3 3 12 31111 6 M78 07000 151 00C 001 44300 015 2151300 2024*")</f>
        <v>0</v>
      </c>
      <c r="E1493" s="29"/>
      <c r="F1493" s="28">
        <f>SUMIFS(F1494:F1509,K1494:K1509,"0",B1494:B1509,"5 2 4 3 3 12 31111 6 M78 07000 151 00C 001 44300 015 2151300 2024*")</f>
        <v>81750</v>
      </c>
      <c r="G1493" s="28">
        <f>SUMIFS(G1494:G1509,K1494:K1509,"0",B1494:B1509,"5 2 4 3 3 12 31111 6 M78 07000 151 00C 001 44300 015 2151300 2024*")</f>
        <v>0</v>
      </c>
      <c r="H1493" s="28">
        <f t="shared" si="27"/>
        <v>81750</v>
      </c>
      <c r="I1493" s="28"/>
      <c r="K1493" t="s">
        <v>15</v>
      </c>
    </row>
    <row r="1494" spans="2:11" ht="22" x14ac:dyDescent="0.15">
      <c r="B1494" s="30" t="s">
        <v>1900</v>
      </c>
      <c r="C1494" s="30" t="s">
        <v>182</v>
      </c>
      <c r="D1494" s="31">
        <v>0</v>
      </c>
      <c r="E1494" s="31"/>
      <c r="F1494" s="31">
        <v>81750</v>
      </c>
      <c r="G1494" s="31">
        <v>0</v>
      </c>
      <c r="H1494" s="31">
        <f t="shared" si="27"/>
        <v>81750</v>
      </c>
      <c r="I1494" s="31"/>
      <c r="K1494" t="s">
        <v>38</v>
      </c>
    </row>
    <row r="1495" spans="2:11" ht="13" x14ac:dyDescent="0.15">
      <c r="B1495" s="27" t="s">
        <v>1901</v>
      </c>
      <c r="C1495" s="27" t="s">
        <v>1902</v>
      </c>
      <c r="D1495" s="28">
        <f>SUMIFS(D1496:D1509,K1496:K1509,"0",B1496:B1509,"8*")-SUMIFS(E1496:E1509,K1496:K1509,"0",B1496:B1509,"8*")</f>
        <v>0</v>
      </c>
      <c r="E1495" s="29"/>
      <c r="F1495" s="28">
        <f>SUMIFS(F1496:F1509,K1496:K1509,"0",B1496:B1509,"8*")</f>
        <v>141421102.42000002</v>
      </c>
      <c r="G1495" s="28">
        <f>SUMIFS(G1496:G1509,K1496:K1509,"0",B1496:B1509,"8*")</f>
        <v>141421102.42000002</v>
      </c>
      <c r="H1495" s="28">
        <f t="shared" si="27"/>
        <v>0</v>
      </c>
      <c r="I1495" s="28"/>
      <c r="K1495" t="s">
        <v>15</v>
      </c>
    </row>
    <row r="1496" spans="2:11" ht="13" x14ac:dyDescent="0.15">
      <c r="B1496" s="27" t="s">
        <v>1903</v>
      </c>
      <c r="C1496" s="27" t="s">
        <v>1904</v>
      </c>
      <c r="D1496" s="28">
        <f>SUMIFS(D1497:D1509,K1497:K1509,"0",B1497:B1509,"8 1*")-SUMIFS(E1497:E1509,K1497:K1509,"0",B1497:B1509,"8 1*")</f>
        <v>0</v>
      </c>
      <c r="E1496" s="29"/>
      <c r="F1496" s="28">
        <f>SUMIFS(F1497:F1509,K1497:K1509,"0",B1497:B1509,"8 1*")</f>
        <v>58965753.180000007</v>
      </c>
      <c r="G1496" s="28">
        <f>SUMIFS(G1497:G1509,K1497:K1509,"0",B1497:B1509,"8 1*")</f>
        <v>58965753.18</v>
      </c>
      <c r="H1496" s="28">
        <f t="shared" si="27"/>
        <v>0</v>
      </c>
      <c r="I1496" s="28"/>
      <c r="K1496" t="s">
        <v>15</v>
      </c>
    </row>
    <row r="1497" spans="2:11" ht="13" x14ac:dyDescent="0.15">
      <c r="B1497" s="30" t="s">
        <v>1905</v>
      </c>
      <c r="C1497" s="30" t="s">
        <v>1906</v>
      </c>
      <c r="D1497" s="31">
        <v>0</v>
      </c>
      <c r="E1497" s="31"/>
      <c r="F1497" s="31">
        <v>22526339.780000001</v>
      </c>
      <c r="G1497" s="31">
        <v>0</v>
      </c>
      <c r="H1497" s="31">
        <f t="shared" si="27"/>
        <v>22526339.780000001</v>
      </c>
      <c r="I1497" s="31"/>
      <c r="K1497" t="s">
        <v>38</v>
      </c>
    </row>
    <row r="1498" spans="2:11" ht="13" x14ac:dyDescent="0.15">
      <c r="B1498" s="30" t="s">
        <v>1907</v>
      </c>
      <c r="C1498" s="30" t="s">
        <v>1908</v>
      </c>
      <c r="D1498" s="31"/>
      <c r="E1498" s="31">
        <v>0</v>
      </c>
      <c r="F1498" s="31">
        <v>15634465.99</v>
      </c>
      <c r="G1498" s="31">
        <v>27696821.199999999</v>
      </c>
      <c r="H1498" s="31"/>
      <c r="I1498" s="31">
        <f>E1498 - F1498 + G1498</f>
        <v>12062355.209999999</v>
      </c>
      <c r="K1498" t="s">
        <v>38</v>
      </c>
    </row>
    <row r="1499" spans="2:11" ht="13" x14ac:dyDescent="0.15">
      <c r="B1499" s="30" t="s">
        <v>1909</v>
      </c>
      <c r="C1499" s="30" t="s">
        <v>1910</v>
      </c>
      <c r="D1499" s="31">
        <v>0</v>
      </c>
      <c r="E1499" s="31"/>
      <c r="F1499" s="31">
        <v>5170481.42</v>
      </c>
      <c r="G1499" s="31">
        <v>0</v>
      </c>
      <c r="H1499" s="31">
        <f>D1499 + F1499 - G1499</f>
        <v>5170481.42</v>
      </c>
      <c r="I1499" s="31"/>
      <c r="K1499" t="s">
        <v>38</v>
      </c>
    </row>
    <row r="1500" spans="2:11" ht="13" x14ac:dyDescent="0.15">
      <c r="B1500" s="30" t="s">
        <v>1911</v>
      </c>
      <c r="C1500" s="30" t="s">
        <v>1912</v>
      </c>
      <c r="D1500" s="31"/>
      <c r="E1500" s="31">
        <v>0</v>
      </c>
      <c r="F1500" s="31">
        <v>15634465.99</v>
      </c>
      <c r="G1500" s="31">
        <v>15634465.99</v>
      </c>
      <c r="H1500" s="31"/>
      <c r="I1500" s="31">
        <f>E1500 - F1500 + G1500</f>
        <v>0</v>
      </c>
      <c r="K1500" t="s">
        <v>38</v>
      </c>
    </row>
    <row r="1501" spans="2:11" ht="13" x14ac:dyDescent="0.15">
      <c r="B1501" s="30" t="s">
        <v>1913</v>
      </c>
      <c r="C1501" s="30" t="s">
        <v>1914</v>
      </c>
      <c r="D1501" s="31"/>
      <c r="E1501" s="31">
        <v>0</v>
      </c>
      <c r="F1501" s="31">
        <v>0</v>
      </c>
      <c r="G1501" s="31">
        <v>15634465.99</v>
      </c>
      <c r="H1501" s="31"/>
      <c r="I1501" s="31">
        <f>E1501 - F1501 + G1501</f>
        <v>15634465.99</v>
      </c>
      <c r="K1501" t="s">
        <v>38</v>
      </c>
    </row>
    <row r="1502" spans="2:11" ht="13" x14ac:dyDescent="0.15">
      <c r="B1502" s="27" t="s">
        <v>1915</v>
      </c>
      <c r="C1502" s="27" t="s">
        <v>1916</v>
      </c>
      <c r="D1502" s="29"/>
      <c r="E1502" s="28">
        <f>SUMIFS(E1503:E1509,K1503:K1509,"0",B1503:B1509,"8 2*")-SUMIFS(D1503:D1509,K1503:K1509,"0",B1503:B1509,"8 2*")</f>
        <v>0</v>
      </c>
      <c r="F1502" s="28">
        <f>SUMIFS(F1503:F1509,K1503:K1509,"0",B1503:B1509,"8 2*")</f>
        <v>82455349.24000001</v>
      </c>
      <c r="G1502" s="28">
        <f>SUMIFS(G1503:G1509,K1503:K1509,"0",B1503:B1509,"8 2*")</f>
        <v>82455349.24000001</v>
      </c>
      <c r="H1502" s="28"/>
      <c r="I1502" s="28">
        <f>E1502 - F1502 + G1502</f>
        <v>0</v>
      </c>
      <c r="K1502" t="s">
        <v>15</v>
      </c>
    </row>
    <row r="1503" spans="2:11" ht="13" x14ac:dyDescent="0.15">
      <c r="B1503" s="30" t="s">
        <v>1917</v>
      </c>
      <c r="C1503" s="30" t="s">
        <v>1918</v>
      </c>
      <c r="D1503" s="31"/>
      <c r="E1503" s="31">
        <v>0</v>
      </c>
      <c r="F1503" s="31">
        <v>0</v>
      </c>
      <c r="G1503" s="31">
        <v>22526339.780000001</v>
      </c>
      <c r="H1503" s="31"/>
      <c r="I1503" s="31">
        <f>E1503 - F1503 + G1503</f>
        <v>22526339.780000001</v>
      </c>
      <c r="K1503" t="s">
        <v>38</v>
      </c>
    </row>
    <row r="1504" spans="2:11" ht="13" x14ac:dyDescent="0.15">
      <c r="B1504" s="30" t="s">
        <v>1919</v>
      </c>
      <c r="C1504" s="30" t="s">
        <v>1920</v>
      </c>
      <c r="D1504" s="31">
        <v>0</v>
      </c>
      <c r="E1504" s="31"/>
      <c r="F1504" s="31">
        <v>27696821.199999999</v>
      </c>
      <c r="G1504" s="31">
        <v>13689632.01</v>
      </c>
      <c r="H1504" s="31">
        <f>D1504 + F1504 - G1504</f>
        <v>14007189.189999999</v>
      </c>
      <c r="I1504" s="31"/>
      <c r="K1504" t="s">
        <v>38</v>
      </c>
    </row>
    <row r="1505" spans="2:11" ht="13" x14ac:dyDescent="0.15">
      <c r="B1505" s="30" t="s">
        <v>1921</v>
      </c>
      <c r="C1505" s="30" t="s">
        <v>1922</v>
      </c>
      <c r="D1505" s="31"/>
      <c r="E1505" s="31">
        <v>0</v>
      </c>
      <c r="F1505" s="31">
        <v>0</v>
      </c>
      <c r="G1505" s="31">
        <v>5170481.42</v>
      </c>
      <c r="H1505" s="31"/>
      <c r="I1505" s="31">
        <f>E1505 - F1505 + G1505</f>
        <v>5170481.42</v>
      </c>
      <c r="K1505" t="s">
        <v>38</v>
      </c>
    </row>
    <row r="1506" spans="2:11" ht="13" x14ac:dyDescent="0.15">
      <c r="B1506" s="30" t="s">
        <v>1923</v>
      </c>
      <c r="C1506" s="30" t="s">
        <v>1924</v>
      </c>
      <c r="D1506" s="31">
        <v>0</v>
      </c>
      <c r="E1506" s="31"/>
      <c r="F1506" s="31">
        <v>13689632.01</v>
      </c>
      <c r="G1506" s="31">
        <v>13689632.01</v>
      </c>
      <c r="H1506" s="31">
        <f>D1506 + F1506 - G1506</f>
        <v>0</v>
      </c>
      <c r="I1506" s="31"/>
      <c r="K1506" t="s">
        <v>38</v>
      </c>
    </row>
    <row r="1507" spans="2:11" ht="13" x14ac:dyDescent="0.15">
      <c r="B1507" s="30" t="s">
        <v>1925</v>
      </c>
      <c r="C1507" s="30" t="s">
        <v>1926</v>
      </c>
      <c r="D1507" s="31">
        <v>0</v>
      </c>
      <c r="E1507" s="31"/>
      <c r="F1507" s="31">
        <v>13689632.01</v>
      </c>
      <c r="G1507" s="31">
        <v>13689632.01</v>
      </c>
      <c r="H1507" s="31">
        <f>D1507 + F1507 - G1507</f>
        <v>0</v>
      </c>
      <c r="I1507" s="31"/>
      <c r="K1507" t="s">
        <v>38</v>
      </c>
    </row>
    <row r="1508" spans="2:11" ht="13" x14ac:dyDescent="0.15">
      <c r="B1508" s="30" t="s">
        <v>1927</v>
      </c>
      <c r="C1508" s="30" t="s">
        <v>1928</v>
      </c>
      <c r="D1508" s="31">
        <v>0</v>
      </c>
      <c r="E1508" s="31"/>
      <c r="F1508" s="31">
        <v>13689632.01</v>
      </c>
      <c r="G1508" s="31">
        <v>13689632.01</v>
      </c>
      <c r="H1508" s="31">
        <f>D1508 + F1508 - G1508</f>
        <v>0</v>
      </c>
      <c r="I1508" s="31"/>
      <c r="K1508" t="s">
        <v>38</v>
      </c>
    </row>
    <row r="1509" spans="2:11" ht="13" x14ac:dyDescent="0.15">
      <c r="B1509" s="30" t="s">
        <v>1929</v>
      </c>
      <c r="C1509" s="30" t="s">
        <v>1930</v>
      </c>
      <c r="D1509" s="31">
        <v>0</v>
      </c>
      <c r="E1509" s="31"/>
      <c r="F1509" s="31">
        <v>13689632.01</v>
      </c>
      <c r="G1509" s="31">
        <v>0</v>
      </c>
      <c r="H1509" s="31">
        <f>D1509 + F1509 - G1509</f>
        <v>13689632.01</v>
      </c>
      <c r="I1509" s="31"/>
      <c r="K1509" t="s">
        <v>38</v>
      </c>
    </row>
    <row r="1510" spans="2:11" x14ac:dyDescent="0.15">
      <c r="B1510" s="32"/>
      <c r="C1510" s="33"/>
      <c r="D1510" s="34"/>
      <c r="E1510" s="34"/>
      <c r="F1510" s="34"/>
      <c r="G1510" s="32"/>
      <c r="H1510" s="33"/>
      <c r="I1510" s="34"/>
    </row>
    <row r="1511" spans="2:11" x14ac:dyDescent="0.15">
      <c r="B1511" s="32"/>
      <c r="C1511" s="33"/>
      <c r="D1511" s="35">
        <f>SUMIF(K12:K1509,"=0",D12:D1509)</f>
        <v>1799457.4299999997</v>
      </c>
      <c r="E1511" s="35">
        <f>SUMIF(K12:K1509,"=0",E12:E1509)</f>
        <v>1799457.4300000002</v>
      </c>
      <c r="F1511" s="35">
        <f>SUMIF(K12:K1509,"=0",F12:F1509)</f>
        <v>206619464.59999996</v>
      </c>
      <c r="G1511" s="35">
        <f>SUMIF(K12:K1509,"=0",G12:G1509)</f>
        <v>206619464.59999993</v>
      </c>
      <c r="H1511" s="35">
        <f>SUMIF(K12:K1509,"=0",H12:H1509)</f>
        <v>72234980.480000004</v>
      </c>
      <c r="I1511" s="35">
        <f>SUMIF(K12:K1509,"=0",I12:I1509)</f>
        <v>72234980.480000004</v>
      </c>
    </row>
    <row r="1512" spans="2:11" x14ac:dyDescent="0.15">
      <c r="B1512" s="32"/>
      <c r="C1512" s="33"/>
      <c r="D1512" s="34"/>
      <c r="E1512" s="34"/>
      <c r="F1512" s="34"/>
      <c r="G1512" s="32"/>
      <c r="H1512" s="33"/>
      <c r="I1512" s="34"/>
    </row>
    <row r="1513" spans="2:11" x14ac:dyDescent="0.15">
      <c r="B1513" s="36" t="str">
        <f>IF(AND(ROUND(D1511, 2)=ROUND(E1511, 2), ROUND(F1511, 2)=ROUND(G1511, 2), ROUND(H1511,2)=ROUND(I1511, 2)), "Bajo protesta de decir verdad declaramos que los estados financieros y sus notas son correctas, verídicas y responsabilidad del emisor", "* * * * * * * * * * * * * * * * * * * * * * * * * * * * * *BALANCE DESCUADRADO* * * * * * * * * * * * * * * * * * * * * * * * * * * * * *")</f>
        <v>Bajo protesta de decir verdad declaramos que los estados financieros y sus notas son correctas, verídicas y responsabilidad del emisor</v>
      </c>
      <c r="C1513" s="33"/>
      <c r="D1513" s="34"/>
      <c r="E1513" s="34"/>
      <c r="F1513" s="34"/>
      <c r="G1513" s="32"/>
      <c r="H1513" s="33"/>
      <c r="I1513" s="34"/>
    </row>
    <row r="1516" spans="2:11" x14ac:dyDescent="0.15">
      <c r="B1516" s="37"/>
      <c r="C1516" s="37"/>
      <c r="D1516" s="5"/>
      <c r="E1516" s="5"/>
      <c r="F1516" s="38"/>
      <c r="G1516" s="38"/>
      <c r="H1516" s="39"/>
      <c r="I1516" s="39"/>
    </row>
    <row r="1517" spans="2:11" x14ac:dyDescent="0.15">
      <c r="B1517" s="37"/>
      <c r="C1517" s="37"/>
      <c r="D1517" s="5"/>
      <c r="E1517" s="5"/>
      <c r="F1517" s="38"/>
      <c r="G1517" s="38"/>
      <c r="H1517" s="39"/>
      <c r="I1517" s="39"/>
    </row>
    <row r="1518" spans="2:11" x14ac:dyDescent="0.15">
      <c r="B1518" s="37"/>
      <c r="C1518" s="37"/>
      <c r="D1518" s="5"/>
      <c r="E1518" s="5"/>
      <c r="F1518" s="38"/>
      <c r="G1518" s="38"/>
      <c r="H1518" s="39"/>
      <c r="I1518" s="39"/>
    </row>
    <row r="1519" spans="2:11" x14ac:dyDescent="0.15">
      <c r="B1519" s="40"/>
      <c r="C1519" s="40"/>
      <c r="D1519" s="5"/>
      <c r="E1519" s="5"/>
      <c r="F1519" s="41"/>
      <c r="G1519" s="41"/>
      <c r="H1519" s="4"/>
    </row>
    <row r="1520" spans="2:11" x14ac:dyDescent="0.15">
      <c r="B1520" s="40"/>
      <c r="C1520" s="40"/>
      <c r="D1520" s="5"/>
      <c r="E1520" s="5"/>
      <c r="F1520" s="41"/>
      <c r="G1520" s="41"/>
      <c r="H1520" s="4"/>
    </row>
    <row r="1521" spans="2:8" x14ac:dyDescent="0.15">
      <c r="B1521" s="40"/>
      <c r="C1521" s="40"/>
      <c r="D1521" s="5"/>
      <c r="E1521" s="5"/>
      <c r="F1521" s="41"/>
      <c r="G1521" s="41"/>
      <c r="H1521" s="4"/>
    </row>
    <row r="1522" spans="2:8" x14ac:dyDescent="0.15">
      <c r="B1522" s="40"/>
      <c r="C1522" s="40"/>
      <c r="D1522" s="5"/>
      <c r="E1522" s="5"/>
      <c r="F1522" s="41"/>
      <c r="G1522" s="41"/>
      <c r="H1522" s="4"/>
    </row>
    <row r="1523" spans="2:8" x14ac:dyDescent="0.15">
      <c r="B1523" s="40"/>
      <c r="C1523" s="40"/>
      <c r="D1523" s="5"/>
      <c r="E1523" s="5"/>
      <c r="F1523" s="41"/>
      <c r="G1523" s="41"/>
      <c r="H1523" s="4"/>
    </row>
    <row r="1524" spans="2:8" x14ac:dyDescent="0.15">
      <c r="B1524" s="40"/>
      <c r="C1524" s="40"/>
      <c r="D1524" s="5"/>
      <c r="E1524" s="5"/>
      <c r="F1524" s="41"/>
      <c r="G1524" s="41"/>
      <c r="H1524" s="4"/>
    </row>
    <row r="1525" spans="2:8" x14ac:dyDescent="0.15">
      <c r="B1525" s="40"/>
      <c r="C1525" s="40"/>
      <c r="D1525" s="5"/>
      <c r="E1525" s="5"/>
      <c r="F1525" s="41"/>
      <c r="G1525" s="41"/>
      <c r="H1525" s="4"/>
    </row>
    <row r="1526" spans="2:8" x14ac:dyDescent="0.15">
      <c r="B1526" s="40"/>
      <c r="C1526" s="40"/>
      <c r="D1526" s="5"/>
      <c r="E1526" s="5"/>
      <c r="F1526" s="41"/>
      <c r="G1526" s="41"/>
      <c r="H1526" s="4"/>
    </row>
  </sheetData>
  <mergeCells count="12">
    <mergeCell ref="D10:E10"/>
    <mergeCell ref="F10:G10"/>
    <mergeCell ref="H10:I10"/>
    <mergeCell ref="D9:E9"/>
    <mergeCell ref="F9:G9"/>
    <mergeCell ref="H9:I9"/>
    <mergeCell ref="B7:I7"/>
    <mergeCell ref="B2:I2"/>
    <mergeCell ref="B3:I3"/>
    <mergeCell ref="B4:I4"/>
    <mergeCell ref="B5:I5"/>
    <mergeCell ref="B6:I6"/>
  </mergeCells>
  <phoneticPr fontId="0" type="noConversion"/>
  <pageMargins left="0.78740157480314965" right="0.78740157480314965" top="0.39370078740157483" bottom="0.39370078740157483" header="0" footer="0"/>
  <pageSetup scale="80" orientation="landscape" r:id="rId1"/>
  <headerFooter alignWithMargins="0">
    <oddFooter>&amp;C&amp;7CoRam-Contabilidad                                               &amp;T            &amp;D&amp;R&amp;7Pagina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2024-08-09T02:46:40Z</cp:lastPrinted>
  <dcterms:created xsi:type="dcterms:W3CDTF">1996-11-27T10:00:04Z</dcterms:created>
  <dcterms:modified xsi:type="dcterms:W3CDTF">2024-08-24T00:27:49Z</dcterms:modified>
</cp:coreProperties>
</file>