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714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/Users/karenabarcagarcia/Documents/JJH/CUENTA PÚBLICA/INFORME FINANCIERO 2024 /4.2.19 IC Balanza de comprobación excel/"/>
    </mc:Choice>
  </mc:AlternateContent>
  <xr:revisionPtr revIDLastSave="0" documentId="8_{57E9AF1D-409B-6946-9B09-AF4A834F0DD5}" xr6:coauthVersionLast="47" xr6:coauthVersionMax="47" xr10:uidLastSave="{00000000-0000-0000-0000-000000000000}"/>
  <bookViews>
    <workbookView xWindow="0" yWindow="740" windowWidth="29040" windowHeight="15840" xr2:uid="{00000000-000D-0000-FFFF-FFFF00000000}"/>
  </bookViews>
  <sheets>
    <sheet name="Hoja1" sheetId="1" r:id="rId1"/>
  </sheets>
  <definedNames>
    <definedName name="_xlnm.Print_Area" localSheetId="0">Hoja1!$A$1:$J$768</definedName>
    <definedName name="_xlnm.Print_Titles" localSheetId="0">Hoja1!$1:$8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49" i="1" l="1"/>
  <c r="F749" i="1"/>
  <c r="E749" i="1"/>
  <c r="D749" i="1"/>
  <c r="H747" i="1"/>
  <c r="H746" i="1"/>
  <c r="H745" i="1"/>
  <c r="H744" i="1"/>
  <c r="I743" i="1"/>
  <c r="H742" i="1"/>
  <c r="I741" i="1"/>
  <c r="G740" i="1"/>
  <c r="F740" i="1"/>
  <c r="E740" i="1"/>
  <c r="I740" i="1" s="1"/>
  <c r="I739" i="1"/>
  <c r="I738" i="1"/>
  <c r="H737" i="1"/>
  <c r="I736" i="1"/>
  <c r="H735" i="1"/>
  <c r="G734" i="1"/>
  <c r="F734" i="1"/>
  <c r="D734" i="1"/>
  <c r="H734" i="1" s="1"/>
  <c r="G733" i="1"/>
  <c r="F733" i="1"/>
  <c r="D733" i="1"/>
  <c r="H733" i="1" s="1"/>
  <c r="H732" i="1"/>
  <c r="G731" i="1"/>
  <c r="F731" i="1"/>
  <c r="D731" i="1"/>
  <c r="H731" i="1" s="1"/>
  <c r="G730" i="1"/>
  <c r="F730" i="1"/>
  <c r="D730" i="1"/>
  <c r="H730" i="1" s="1"/>
  <c r="G729" i="1"/>
  <c r="F729" i="1"/>
  <c r="D729" i="1"/>
  <c r="H729" i="1" s="1"/>
  <c r="G728" i="1"/>
  <c r="F728" i="1"/>
  <c r="D728" i="1"/>
  <c r="H728" i="1" s="1"/>
  <c r="G727" i="1"/>
  <c r="F727" i="1"/>
  <c r="D727" i="1"/>
  <c r="H727" i="1" s="1"/>
  <c r="G726" i="1"/>
  <c r="F726" i="1"/>
  <c r="D726" i="1"/>
  <c r="H726" i="1" s="1"/>
  <c r="G725" i="1"/>
  <c r="F725" i="1"/>
  <c r="D725" i="1"/>
  <c r="H725" i="1" s="1"/>
  <c r="G724" i="1"/>
  <c r="F724" i="1"/>
  <c r="D724" i="1"/>
  <c r="H724" i="1" s="1"/>
  <c r="G723" i="1"/>
  <c r="F723" i="1"/>
  <c r="D723" i="1"/>
  <c r="H723" i="1" s="1"/>
  <c r="G722" i="1"/>
  <c r="F722" i="1"/>
  <c r="D722" i="1"/>
  <c r="H722" i="1" s="1"/>
  <c r="G721" i="1"/>
  <c r="F721" i="1"/>
  <c r="D721" i="1"/>
  <c r="H721" i="1" s="1"/>
  <c r="G720" i="1"/>
  <c r="F720" i="1"/>
  <c r="D720" i="1"/>
  <c r="H720" i="1" s="1"/>
  <c r="G719" i="1"/>
  <c r="F719" i="1"/>
  <c r="D719" i="1"/>
  <c r="H719" i="1" s="1"/>
  <c r="G718" i="1"/>
  <c r="F718" i="1"/>
  <c r="D718" i="1"/>
  <c r="H718" i="1" s="1"/>
  <c r="G717" i="1"/>
  <c r="F717" i="1"/>
  <c r="D717" i="1"/>
  <c r="H717" i="1" s="1"/>
  <c r="H716" i="1"/>
  <c r="H715" i="1"/>
  <c r="G714" i="1"/>
  <c r="F714" i="1"/>
  <c r="D714" i="1"/>
  <c r="H714" i="1" s="1"/>
  <c r="G713" i="1"/>
  <c r="F713" i="1"/>
  <c r="D713" i="1"/>
  <c r="H713" i="1" s="1"/>
  <c r="G712" i="1"/>
  <c r="F712" i="1"/>
  <c r="D712" i="1"/>
  <c r="H712" i="1" s="1"/>
  <c r="G711" i="1"/>
  <c r="F711" i="1"/>
  <c r="D711" i="1"/>
  <c r="H711" i="1" s="1"/>
  <c r="G710" i="1"/>
  <c r="F710" i="1"/>
  <c r="D710" i="1"/>
  <c r="H710" i="1" s="1"/>
  <c r="G709" i="1"/>
  <c r="F709" i="1"/>
  <c r="D709" i="1"/>
  <c r="H709" i="1" s="1"/>
  <c r="G708" i="1"/>
  <c r="F708" i="1"/>
  <c r="D708" i="1"/>
  <c r="H708" i="1" s="1"/>
  <c r="G707" i="1"/>
  <c r="F707" i="1"/>
  <c r="D707" i="1"/>
  <c r="H707" i="1" s="1"/>
  <c r="G706" i="1"/>
  <c r="F706" i="1"/>
  <c r="D706" i="1"/>
  <c r="H706" i="1" s="1"/>
  <c r="G705" i="1"/>
  <c r="F705" i="1"/>
  <c r="D705" i="1"/>
  <c r="H705" i="1" s="1"/>
  <c r="G704" i="1"/>
  <c r="F704" i="1"/>
  <c r="D704" i="1"/>
  <c r="H704" i="1" s="1"/>
  <c r="G703" i="1"/>
  <c r="F703" i="1"/>
  <c r="D703" i="1"/>
  <c r="H703" i="1" s="1"/>
  <c r="G702" i="1"/>
  <c r="F702" i="1"/>
  <c r="D702" i="1"/>
  <c r="H702" i="1" s="1"/>
  <c r="G701" i="1"/>
  <c r="F701" i="1"/>
  <c r="D701" i="1"/>
  <c r="H701" i="1" s="1"/>
  <c r="G700" i="1"/>
  <c r="F700" i="1"/>
  <c r="D700" i="1"/>
  <c r="H700" i="1" s="1"/>
  <c r="G699" i="1"/>
  <c r="F699" i="1"/>
  <c r="D699" i="1"/>
  <c r="H699" i="1" s="1"/>
  <c r="H698" i="1"/>
  <c r="G697" i="1"/>
  <c r="F697" i="1"/>
  <c r="H697" i="1" s="1"/>
  <c r="D697" i="1"/>
  <c r="G696" i="1"/>
  <c r="F696" i="1"/>
  <c r="H696" i="1" s="1"/>
  <c r="D696" i="1"/>
  <c r="G695" i="1"/>
  <c r="F695" i="1"/>
  <c r="H695" i="1" s="1"/>
  <c r="D695" i="1"/>
  <c r="G694" i="1"/>
  <c r="F694" i="1"/>
  <c r="H694" i="1" s="1"/>
  <c r="D694" i="1"/>
  <c r="G693" i="1"/>
  <c r="F693" i="1"/>
  <c r="H693" i="1" s="1"/>
  <c r="D693" i="1"/>
  <c r="G692" i="1"/>
  <c r="F692" i="1"/>
  <c r="H692" i="1" s="1"/>
  <c r="D692" i="1"/>
  <c r="G691" i="1"/>
  <c r="F691" i="1"/>
  <c r="H691" i="1" s="1"/>
  <c r="D691" i="1"/>
  <c r="G690" i="1"/>
  <c r="F690" i="1"/>
  <c r="H690" i="1" s="1"/>
  <c r="D690" i="1"/>
  <c r="G689" i="1"/>
  <c r="F689" i="1"/>
  <c r="H689" i="1" s="1"/>
  <c r="D689" i="1"/>
  <c r="G688" i="1"/>
  <c r="F688" i="1"/>
  <c r="H688" i="1" s="1"/>
  <c r="D688" i="1"/>
  <c r="G687" i="1"/>
  <c r="F687" i="1"/>
  <c r="D687" i="1"/>
  <c r="H687" i="1" s="1"/>
  <c r="G686" i="1"/>
  <c r="F686" i="1"/>
  <c r="D686" i="1"/>
  <c r="H686" i="1" s="1"/>
  <c r="G685" i="1"/>
  <c r="F685" i="1"/>
  <c r="D685" i="1"/>
  <c r="H685" i="1" s="1"/>
  <c r="G684" i="1"/>
  <c r="F684" i="1"/>
  <c r="D684" i="1"/>
  <c r="H684" i="1" s="1"/>
  <c r="G683" i="1"/>
  <c r="F683" i="1"/>
  <c r="D683" i="1"/>
  <c r="H683" i="1" s="1"/>
  <c r="G682" i="1"/>
  <c r="F682" i="1"/>
  <c r="D682" i="1"/>
  <c r="H682" i="1" s="1"/>
  <c r="H681" i="1"/>
  <c r="G680" i="1"/>
  <c r="F680" i="1"/>
  <c r="D680" i="1"/>
  <c r="H680" i="1" s="1"/>
  <c r="G679" i="1"/>
  <c r="F679" i="1"/>
  <c r="D679" i="1"/>
  <c r="H679" i="1" s="1"/>
  <c r="G678" i="1"/>
  <c r="F678" i="1"/>
  <c r="D678" i="1"/>
  <c r="H678" i="1" s="1"/>
  <c r="G677" i="1"/>
  <c r="F677" i="1"/>
  <c r="D677" i="1"/>
  <c r="H677" i="1" s="1"/>
  <c r="G676" i="1"/>
  <c r="F676" i="1"/>
  <c r="D676" i="1"/>
  <c r="H676" i="1" s="1"/>
  <c r="G675" i="1"/>
  <c r="F675" i="1"/>
  <c r="D675" i="1"/>
  <c r="H675" i="1" s="1"/>
  <c r="G674" i="1"/>
  <c r="F674" i="1"/>
  <c r="D674" i="1"/>
  <c r="H674" i="1" s="1"/>
  <c r="G673" i="1"/>
  <c r="F673" i="1"/>
  <c r="D673" i="1"/>
  <c r="H673" i="1" s="1"/>
  <c r="G672" i="1"/>
  <c r="F672" i="1"/>
  <c r="D672" i="1"/>
  <c r="H672" i="1" s="1"/>
  <c r="G671" i="1"/>
  <c r="F671" i="1"/>
  <c r="D671" i="1"/>
  <c r="H671" i="1" s="1"/>
  <c r="G670" i="1"/>
  <c r="F670" i="1"/>
  <c r="D670" i="1"/>
  <c r="H670" i="1" s="1"/>
  <c r="G669" i="1"/>
  <c r="F669" i="1"/>
  <c r="D669" i="1"/>
  <c r="H669" i="1" s="1"/>
  <c r="G668" i="1"/>
  <c r="F668" i="1"/>
  <c r="D668" i="1"/>
  <c r="H668" i="1" s="1"/>
  <c r="G667" i="1"/>
  <c r="F667" i="1"/>
  <c r="D667" i="1"/>
  <c r="H667" i="1" s="1"/>
  <c r="G666" i="1"/>
  <c r="F666" i="1"/>
  <c r="D666" i="1"/>
  <c r="H666" i="1" s="1"/>
  <c r="G665" i="1"/>
  <c r="F665" i="1"/>
  <c r="D665" i="1"/>
  <c r="H665" i="1" s="1"/>
  <c r="H664" i="1"/>
  <c r="H663" i="1"/>
  <c r="G663" i="1"/>
  <c r="F663" i="1"/>
  <c r="D663" i="1"/>
  <c r="H662" i="1"/>
  <c r="G662" i="1"/>
  <c r="F662" i="1"/>
  <c r="D662" i="1"/>
  <c r="G661" i="1"/>
  <c r="F661" i="1"/>
  <c r="H661" i="1" s="1"/>
  <c r="D661" i="1"/>
  <c r="G660" i="1"/>
  <c r="F660" i="1"/>
  <c r="H660" i="1" s="1"/>
  <c r="D660" i="1"/>
  <c r="G659" i="1"/>
  <c r="F659" i="1"/>
  <c r="H659" i="1" s="1"/>
  <c r="D659" i="1"/>
  <c r="G658" i="1"/>
  <c r="F658" i="1"/>
  <c r="H658" i="1" s="1"/>
  <c r="D658" i="1"/>
  <c r="G657" i="1"/>
  <c r="F657" i="1"/>
  <c r="H657" i="1" s="1"/>
  <c r="D657" i="1"/>
  <c r="G656" i="1"/>
  <c r="F656" i="1"/>
  <c r="H656" i="1" s="1"/>
  <c r="D656" i="1"/>
  <c r="G655" i="1"/>
  <c r="F655" i="1"/>
  <c r="H655" i="1" s="1"/>
  <c r="D655" i="1"/>
  <c r="G654" i="1"/>
  <c r="F654" i="1"/>
  <c r="H654" i="1" s="1"/>
  <c r="D654" i="1"/>
  <c r="G653" i="1"/>
  <c r="F653" i="1"/>
  <c r="H653" i="1" s="1"/>
  <c r="D653" i="1"/>
  <c r="G652" i="1"/>
  <c r="F652" i="1"/>
  <c r="H652" i="1" s="1"/>
  <c r="D652" i="1"/>
  <c r="G651" i="1"/>
  <c r="F651" i="1"/>
  <c r="H651" i="1" s="1"/>
  <c r="D651" i="1"/>
  <c r="G650" i="1"/>
  <c r="F650" i="1"/>
  <c r="H650" i="1" s="1"/>
  <c r="D650" i="1"/>
  <c r="G649" i="1"/>
  <c r="F649" i="1"/>
  <c r="D649" i="1"/>
  <c r="H649" i="1" s="1"/>
  <c r="H648" i="1"/>
  <c r="H647" i="1"/>
  <c r="G646" i="1"/>
  <c r="F646" i="1"/>
  <c r="D646" i="1"/>
  <c r="H646" i="1" s="1"/>
  <c r="G645" i="1"/>
  <c r="F645" i="1"/>
  <c r="D645" i="1"/>
  <c r="H645" i="1" s="1"/>
  <c r="G644" i="1"/>
  <c r="F644" i="1"/>
  <c r="D644" i="1"/>
  <c r="H644" i="1" s="1"/>
  <c r="G643" i="1"/>
  <c r="F643" i="1"/>
  <c r="D643" i="1"/>
  <c r="H643" i="1" s="1"/>
  <c r="G642" i="1"/>
  <c r="F642" i="1"/>
  <c r="D642" i="1"/>
  <c r="H642" i="1" s="1"/>
  <c r="G641" i="1"/>
  <c r="F641" i="1"/>
  <c r="D641" i="1"/>
  <c r="H641" i="1" s="1"/>
  <c r="G640" i="1"/>
  <c r="F640" i="1"/>
  <c r="D640" i="1"/>
  <c r="H640" i="1" s="1"/>
  <c r="G639" i="1"/>
  <c r="F639" i="1"/>
  <c r="D639" i="1"/>
  <c r="H639" i="1" s="1"/>
  <c r="G638" i="1"/>
  <c r="F638" i="1"/>
  <c r="D638" i="1"/>
  <c r="H638" i="1" s="1"/>
  <c r="G637" i="1"/>
  <c r="F637" i="1"/>
  <c r="D637" i="1"/>
  <c r="H637" i="1" s="1"/>
  <c r="G636" i="1"/>
  <c r="F636" i="1"/>
  <c r="D636" i="1"/>
  <c r="H636" i="1" s="1"/>
  <c r="G635" i="1"/>
  <c r="F635" i="1"/>
  <c r="D635" i="1"/>
  <c r="H635" i="1" s="1"/>
  <c r="G634" i="1"/>
  <c r="F634" i="1"/>
  <c r="D634" i="1"/>
  <c r="H634" i="1" s="1"/>
  <c r="G633" i="1"/>
  <c r="F633" i="1"/>
  <c r="D633" i="1"/>
  <c r="H633" i="1" s="1"/>
  <c r="G632" i="1"/>
  <c r="F632" i="1"/>
  <c r="D632" i="1"/>
  <c r="H632" i="1" s="1"/>
  <c r="G631" i="1"/>
  <c r="F631" i="1"/>
  <c r="D631" i="1"/>
  <c r="H631" i="1" s="1"/>
  <c r="G630" i="1"/>
  <c r="F630" i="1"/>
  <c r="D630" i="1"/>
  <c r="H630" i="1" s="1"/>
  <c r="H629" i="1"/>
  <c r="G628" i="1"/>
  <c r="F628" i="1"/>
  <c r="H628" i="1" s="1"/>
  <c r="D628" i="1"/>
  <c r="G627" i="1"/>
  <c r="F627" i="1"/>
  <c r="H627" i="1" s="1"/>
  <c r="D627" i="1"/>
  <c r="G626" i="1"/>
  <c r="F626" i="1"/>
  <c r="D626" i="1"/>
  <c r="H626" i="1" s="1"/>
  <c r="G625" i="1"/>
  <c r="F625" i="1"/>
  <c r="D625" i="1"/>
  <c r="H625" i="1" s="1"/>
  <c r="G624" i="1"/>
  <c r="F624" i="1"/>
  <c r="D624" i="1"/>
  <c r="H624" i="1" s="1"/>
  <c r="G623" i="1"/>
  <c r="F623" i="1"/>
  <c r="D623" i="1"/>
  <c r="H623" i="1" s="1"/>
  <c r="G622" i="1"/>
  <c r="F622" i="1"/>
  <c r="D622" i="1"/>
  <c r="H622" i="1" s="1"/>
  <c r="G621" i="1"/>
  <c r="F621" i="1"/>
  <c r="D621" i="1"/>
  <c r="H621" i="1" s="1"/>
  <c r="G620" i="1"/>
  <c r="F620" i="1"/>
  <c r="D620" i="1"/>
  <c r="H620" i="1" s="1"/>
  <c r="G619" i="1"/>
  <c r="F619" i="1"/>
  <c r="D619" i="1"/>
  <c r="H619" i="1" s="1"/>
  <c r="G618" i="1"/>
  <c r="F618" i="1"/>
  <c r="D618" i="1"/>
  <c r="H618" i="1" s="1"/>
  <c r="G617" i="1"/>
  <c r="F617" i="1"/>
  <c r="D617" i="1"/>
  <c r="H617" i="1" s="1"/>
  <c r="G616" i="1"/>
  <c r="F616" i="1"/>
  <c r="D616" i="1"/>
  <c r="H616" i="1" s="1"/>
  <c r="G615" i="1"/>
  <c r="F615" i="1"/>
  <c r="D615" i="1"/>
  <c r="H615" i="1" s="1"/>
  <c r="G614" i="1"/>
  <c r="F614" i="1"/>
  <c r="D614" i="1"/>
  <c r="H614" i="1" s="1"/>
  <c r="G613" i="1"/>
  <c r="F613" i="1"/>
  <c r="D613" i="1"/>
  <c r="H613" i="1" s="1"/>
  <c r="H612" i="1"/>
  <c r="G611" i="1"/>
  <c r="F611" i="1"/>
  <c r="H611" i="1" s="1"/>
  <c r="D611" i="1"/>
  <c r="G610" i="1"/>
  <c r="F610" i="1"/>
  <c r="H610" i="1" s="1"/>
  <c r="D610" i="1"/>
  <c r="G609" i="1"/>
  <c r="F609" i="1"/>
  <c r="H609" i="1" s="1"/>
  <c r="D609" i="1"/>
  <c r="G608" i="1"/>
  <c r="F608" i="1"/>
  <c r="H608" i="1" s="1"/>
  <c r="D608" i="1"/>
  <c r="G607" i="1"/>
  <c r="F607" i="1"/>
  <c r="H607" i="1" s="1"/>
  <c r="D607" i="1"/>
  <c r="G606" i="1"/>
  <c r="F606" i="1"/>
  <c r="H606" i="1" s="1"/>
  <c r="D606" i="1"/>
  <c r="G605" i="1"/>
  <c r="F605" i="1"/>
  <c r="H605" i="1" s="1"/>
  <c r="D605" i="1"/>
  <c r="G604" i="1"/>
  <c r="F604" i="1"/>
  <c r="D604" i="1"/>
  <c r="H604" i="1" s="1"/>
  <c r="G603" i="1"/>
  <c r="F603" i="1"/>
  <c r="D603" i="1"/>
  <c r="H603" i="1" s="1"/>
  <c r="G602" i="1"/>
  <c r="F602" i="1"/>
  <c r="D602" i="1"/>
  <c r="H602" i="1" s="1"/>
  <c r="G601" i="1"/>
  <c r="F601" i="1"/>
  <c r="D601" i="1"/>
  <c r="H601" i="1" s="1"/>
  <c r="G600" i="1"/>
  <c r="F600" i="1"/>
  <c r="D600" i="1"/>
  <c r="H600" i="1" s="1"/>
  <c r="G599" i="1"/>
  <c r="F599" i="1"/>
  <c r="D599" i="1"/>
  <c r="H599" i="1" s="1"/>
  <c r="G598" i="1"/>
  <c r="F598" i="1"/>
  <c r="D598" i="1"/>
  <c r="H598" i="1" s="1"/>
  <c r="G597" i="1"/>
  <c r="F597" i="1"/>
  <c r="D597" i="1"/>
  <c r="H597" i="1" s="1"/>
  <c r="G596" i="1"/>
  <c r="F596" i="1"/>
  <c r="D596" i="1"/>
  <c r="H596" i="1" s="1"/>
  <c r="H595" i="1"/>
  <c r="H594" i="1"/>
  <c r="G594" i="1"/>
  <c r="F594" i="1"/>
  <c r="D594" i="1"/>
  <c r="H593" i="1"/>
  <c r="G593" i="1"/>
  <c r="F593" i="1"/>
  <c r="D593" i="1"/>
  <c r="H592" i="1"/>
  <c r="G592" i="1"/>
  <c r="F592" i="1"/>
  <c r="D592" i="1"/>
  <c r="H591" i="1"/>
  <c r="G591" i="1"/>
  <c r="F591" i="1"/>
  <c r="D591" i="1"/>
  <c r="H590" i="1"/>
  <c r="G590" i="1"/>
  <c r="F590" i="1"/>
  <c r="D590" i="1"/>
  <c r="H589" i="1"/>
  <c r="G589" i="1"/>
  <c r="F589" i="1"/>
  <c r="D589" i="1"/>
  <c r="H588" i="1"/>
  <c r="G588" i="1"/>
  <c r="F588" i="1"/>
  <c r="D588" i="1"/>
  <c r="H587" i="1"/>
  <c r="G587" i="1"/>
  <c r="F587" i="1"/>
  <c r="D587" i="1"/>
  <c r="H586" i="1"/>
  <c r="G586" i="1"/>
  <c r="F586" i="1"/>
  <c r="D586" i="1"/>
  <c r="H585" i="1"/>
  <c r="G585" i="1"/>
  <c r="F585" i="1"/>
  <c r="D585" i="1"/>
  <c r="H584" i="1"/>
  <c r="G584" i="1"/>
  <c r="F584" i="1"/>
  <c r="D584" i="1"/>
  <c r="H583" i="1"/>
  <c r="G583" i="1"/>
  <c r="F583" i="1"/>
  <c r="D583" i="1"/>
  <c r="H582" i="1"/>
  <c r="G582" i="1"/>
  <c r="F582" i="1"/>
  <c r="D582" i="1"/>
  <c r="H581" i="1"/>
  <c r="G581" i="1"/>
  <c r="F581" i="1"/>
  <c r="D581" i="1"/>
  <c r="H580" i="1"/>
  <c r="G580" i="1"/>
  <c r="F580" i="1"/>
  <c r="D580" i="1"/>
  <c r="H579" i="1"/>
  <c r="G578" i="1"/>
  <c r="F578" i="1"/>
  <c r="D578" i="1"/>
  <c r="H578" i="1" s="1"/>
  <c r="G577" i="1"/>
  <c r="F577" i="1"/>
  <c r="D577" i="1"/>
  <c r="H577" i="1" s="1"/>
  <c r="G576" i="1"/>
  <c r="F576" i="1"/>
  <c r="D576" i="1"/>
  <c r="H576" i="1" s="1"/>
  <c r="G575" i="1"/>
  <c r="F575" i="1"/>
  <c r="D575" i="1"/>
  <c r="H575" i="1" s="1"/>
  <c r="G574" i="1"/>
  <c r="F574" i="1"/>
  <c r="D574" i="1"/>
  <c r="H574" i="1" s="1"/>
  <c r="G573" i="1"/>
  <c r="F573" i="1"/>
  <c r="D573" i="1"/>
  <c r="H573" i="1" s="1"/>
  <c r="G572" i="1"/>
  <c r="F572" i="1"/>
  <c r="D572" i="1"/>
  <c r="H572" i="1" s="1"/>
  <c r="G571" i="1"/>
  <c r="F571" i="1"/>
  <c r="D571" i="1"/>
  <c r="H571" i="1" s="1"/>
  <c r="G570" i="1"/>
  <c r="F570" i="1"/>
  <c r="D570" i="1"/>
  <c r="H570" i="1" s="1"/>
  <c r="G569" i="1"/>
  <c r="F569" i="1"/>
  <c r="D569" i="1"/>
  <c r="H569" i="1" s="1"/>
  <c r="G568" i="1"/>
  <c r="F568" i="1"/>
  <c r="D568" i="1"/>
  <c r="H568" i="1" s="1"/>
  <c r="G567" i="1"/>
  <c r="F567" i="1"/>
  <c r="D567" i="1"/>
  <c r="H567" i="1" s="1"/>
  <c r="G566" i="1"/>
  <c r="F566" i="1"/>
  <c r="D566" i="1"/>
  <c r="H566" i="1" s="1"/>
  <c r="G565" i="1"/>
  <c r="F565" i="1"/>
  <c r="D565" i="1"/>
  <c r="H565" i="1" s="1"/>
  <c r="G564" i="1"/>
  <c r="F564" i="1"/>
  <c r="D564" i="1"/>
  <c r="H564" i="1" s="1"/>
  <c r="G563" i="1"/>
  <c r="F563" i="1"/>
  <c r="D563" i="1"/>
  <c r="H563" i="1" s="1"/>
  <c r="H562" i="1"/>
  <c r="G561" i="1"/>
  <c r="F561" i="1"/>
  <c r="H561" i="1" s="1"/>
  <c r="D561" i="1"/>
  <c r="G560" i="1"/>
  <c r="F560" i="1"/>
  <c r="H560" i="1" s="1"/>
  <c r="D560" i="1"/>
  <c r="G559" i="1"/>
  <c r="F559" i="1"/>
  <c r="H559" i="1" s="1"/>
  <c r="D559" i="1"/>
  <c r="G558" i="1"/>
  <c r="F558" i="1"/>
  <c r="D558" i="1"/>
  <c r="H558" i="1" s="1"/>
  <c r="G557" i="1"/>
  <c r="F557" i="1"/>
  <c r="D557" i="1"/>
  <c r="H557" i="1" s="1"/>
  <c r="G556" i="1"/>
  <c r="F556" i="1"/>
  <c r="D556" i="1"/>
  <c r="H556" i="1" s="1"/>
  <c r="G555" i="1"/>
  <c r="F555" i="1"/>
  <c r="D555" i="1"/>
  <c r="H555" i="1" s="1"/>
  <c r="G554" i="1"/>
  <c r="F554" i="1"/>
  <c r="D554" i="1"/>
  <c r="H554" i="1" s="1"/>
  <c r="G553" i="1"/>
  <c r="F553" i="1"/>
  <c r="D553" i="1"/>
  <c r="H553" i="1" s="1"/>
  <c r="G552" i="1"/>
  <c r="F552" i="1"/>
  <c r="D552" i="1"/>
  <c r="H552" i="1" s="1"/>
  <c r="G551" i="1"/>
  <c r="F551" i="1"/>
  <c r="D551" i="1"/>
  <c r="H551" i="1" s="1"/>
  <c r="G550" i="1"/>
  <c r="F550" i="1"/>
  <c r="D550" i="1"/>
  <c r="H550" i="1" s="1"/>
  <c r="G549" i="1"/>
  <c r="F549" i="1"/>
  <c r="D549" i="1"/>
  <c r="H549" i="1" s="1"/>
  <c r="G548" i="1"/>
  <c r="F548" i="1"/>
  <c r="D548" i="1"/>
  <c r="H548" i="1" s="1"/>
  <c r="G547" i="1"/>
  <c r="F547" i="1"/>
  <c r="D547" i="1"/>
  <c r="H547" i="1" s="1"/>
  <c r="G546" i="1"/>
  <c r="F546" i="1"/>
  <c r="D546" i="1"/>
  <c r="H546" i="1" s="1"/>
  <c r="H545" i="1"/>
  <c r="G544" i="1"/>
  <c r="F544" i="1"/>
  <c r="H544" i="1" s="1"/>
  <c r="D544" i="1"/>
  <c r="G543" i="1"/>
  <c r="F543" i="1"/>
  <c r="H543" i="1" s="1"/>
  <c r="D543" i="1"/>
  <c r="G542" i="1"/>
  <c r="F542" i="1"/>
  <c r="H542" i="1" s="1"/>
  <c r="D542" i="1"/>
  <c r="G541" i="1"/>
  <c r="F541" i="1"/>
  <c r="H541" i="1" s="1"/>
  <c r="D541" i="1"/>
  <c r="G540" i="1"/>
  <c r="F540" i="1"/>
  <c r="H540" i="1" s="1"/>
  <c r="D540" i="1"/>
  <c r="G539" i="1"/>
  <c r="F539" i="1"/>
  <c r="H539" i="1" s="1"/>
  <c r="D539" i="1"/>
  <c r="G538" i="1"/>
  <c r="F538" i="1"/>
  <c r="D538" i="1"/>
  <c r="H538" i="1" s="1"/>
  <c r="G537" i="1"/>
  <c r="F537" i="1"/>
  <c r="D537" i="1"/>
  <c r="H537" i="1" s="1"/>
  <c r="G536" i="1"/>
  <c r="F536" i="1"/>
  <c r="D536" i="1"/>
  <c r="H536" i="1" s="1"/>
  <c r="G535" i="1"/>
  <c r="F535" i="1"/>
  <c r="D535" i="1"/>
  <c r="H535" i="1" s="1"/>
  <c r="G534" i="1"/>
  <c r="F534" i="1"/>
  <c r="D534" i="1"/>
  <c r="H534" i="1" s="1"/>
  <c r="G533" i="1"/>
  <c r="F533" i="1"/>
  <c r="D533" i="1"/>
  <c r="H533" i="1" s="1"/>
  <c r="G532" i="1"/>
  <c r="F532" i="1"/>
  <c r="D532" i="1"/>
  <c r="H532" i="1" s="1"/>
  <c r="G531" i="1"/>
  <c r="F531" i="1"/>
  <c r="D531" i="1"/>
  <c r="H531" i="1" s="1"/>
  <c r="G530" i="1"/>
  <c r="F530" i="1"/>
  <c r="D530" i="1"/>
  <c r="H530" i="1" s="1"/>
  <c r="H529" i="1"/>
  <c r="H528" i="1"/>
  <c r="G528" i="1"/>
  <c r="F528" i="1"/>
  <c r="D528" i="1"/>
  <c r="H527" i="1"/>
  <c r="G527" i="1"/>
  <c r="F527" i="1"/>
  <c r="D527" i="1"/>
  <c r="H526" i="1"/>
  <c r="G526" i="1"/>
  <c r="F526" i="1"/>
  <c r="D526" i="1"/>
  <c r="H525" i="1"/>
  <c r="G525" i="1"/>
  <c r="F525" i="1"/>
  <c r="D525" i="1"/>
  <c r="H524" i="1"/>
  <c r="G524" i="1"/>
  <c r="F524" i="1"/>
  <c r="D524" i="1"/>
  <c r="H523" i="1"/>
  <c r="G523" i="1"/>
  <c r="F523" i="1"/>
  <c r="D523" i="1"/>
  <c r="H522" i="1"/>
  <c r="G522" i="1"/>
  <c r="F522" i="1"/>
  <c r="D522" i="1"/>
  <c r="H521" i="1"/>
  <c r="G521" i="1"/>
  <c r="F521" i="1"/>
  <c r="D521" i="1"/>
  <c r="H520" i="1"/>
  <c r="G520" i="1"/>
  <c r="F520" i="1"/>
  <c r="D520" i="1"/>
  <c r="H519" i="1"/>
  <c r="G519" i="1"/>
  <c r="F519" i="1"/>
  <c r="D519" i="1"/>
  <c r="H518" i="1"/>
  <c r="G518" i="1"/>
  <c r="F518" i="1"/>
  <c r="D518" i="1"/>
  <c r="H517" i="1"/>
  <c r="G517" i="1"/>
  <c r="F517" i="1"/>
  <c r="D517" i="1"/>
  <c r="H516" i="1"/>
  <c r="G516" i="1"/>
  <c r="F516" i="1"/>
  <c r="D516" i="1"/>
  <c r="H515" i="1"/>
  <c r="G515" i="1"/>
  <c r="F515" i="1"/>
  <c r="D515" i="1"/>
  <c r="H514" i="1"/>
  <c r="G514" i="1"/>
  <c r="F514" i="1"/>
  <c r="D514" i="1"/>
  <c r="H513" i="1"/>
  <c r="G512" i="1"/>
  <c r="F512" i="1"/>
  <c r="D512" i="1"/>
  <c r="H512" i="1" s="1"/>
  <c r="G511" i="1"/>
  <c r="F511" i="1"/>
  <c r="D511" i="1"/>
  <c r="H511" i="1" s="1"/>
  <c r="G510" i="1"/>
  <c r="F510" i="1"/>
  <c r="D510" i="1"/>
  <c r="H510" i="1" s="1"/>
  <c r="G509" i="1"/>
  <c r="F509" i="1"/>
  <c r="D509" i="1"/>
  <c r="H509" i="1" s="1"/>
  <c r="G508" i="1"/>
  <c r="F508" i="1"/>
  <c r="D508" i="1"/>
  <c r="H508" i="1" s="1"/>
  <c r="G507" i="1"/>
  <c r="F507" i="1"/>
  <c r="D507" i="1"/>
  <c r="H507" i="1" s="1"/>
  <c r="G506" i="1"/>
  <c r="F506" i="1"/>
  <c r="D506" i="1"/>
  <c r="H506" i="1" s="1"/>
  <c r="G505" i="1"/>
  <c r="F505" i="1"/>
  <c r="D505" i="1"/>
  <c r="H505" i="1" s="1"/>
  <c r="G504" i="1"/>
  <c r="F504" i="1"/>
  <c r="D504" i="1"/>
  <c r="H504" i="1" s="1"/>
  <c r="G503" i="1"/>
  <c r="F503" i="1"/>
  <c r="D503" i="1"/>
  <c r="H503" i="1" s="1"/>
  <c r="G502" i="1"/>
  <c r="F502" i="1"/>
  <c r="D502" i="1"/>
  <c r="H502" i="1" s="1"/>
  <c r="G501" i="1"/>
  <c r="F501" i="1"/>
  <c r="D501" i="1"/>
  <c r="H501" i="1" s="1"/>
  <c r="G500" i="1"/>
  <c r="F500" i="1"/>
  <c r="D500" i="1"/>
  <c r="H500" i="1" s="1"/>
  <c r="G499" i="1"/>
  <c r="F499" i="1"/>
  <c r="D499" i="1"/>
  <c r="H499" i="1" s="1"/>
  <c r="G498" i="1"/>
  <c r="F498" i="1"/>
  <c r="D498" i="1"/>
  <c r="H498" i="1" s="1"/>
  <c r="H497" i="1"/>
  <c r="G496" i="1"/>
  <c r="F496" i="1"/>
  <c r="H496" i="1" s="1"/>
  <c r="D496" i="1"/>
  <c r="G495" i="1"/>
  <c r="F495" i="1"/>
  <c r="H495" i="1" s="1"/>
  <c r="D495" i="1"/>
  <c r="G494" i="1"/>
  <c r="F494" i="1"/>
  <c r="H494" i="1" s="1"/>
  <c r="D494" i="1"/>
  <c r="G493" i="1"/>
  <c r="F493" i="1"/>
  <c r="D493" i="1"/>
  <c r="H493" i="1" s="1"/>
  <c r="G492" i="1"/>
  <c r="F492" i="1"/>
  <c r="D492" i="1"/>
  <c r="H492" i="1" s="1"/>
  <c r="G491" i="1"/>
  <c r="F491" i="1"/>
  <c r="D491" i="1"/>
  <c r="H491" i="1" s="1"/>
  <c r="G490" i="1"/>
  <c r="F490" i="1"/>
  <c r="D490" i="1"/>
  <c r="H490" i="1" s="1"/>
  <c r="G489" i="1"/>
  <c r="F489" i="1"/>
  <c r="D489" i="1"/>
  <c r="H489" i="1" s="1"/>
  <c r="G488" i="1"/>
  <c r="F488" i="1"/>
  <c r="D488" i="1"/>
  <c r="H488" i="1" s="1"/>
  <c r="G487" i="1"/>
  <c r="F487" i="1"/>
  <c r="D487" i="1"/>
  <c r="H487" i="1" s="1"/>
  <c r="G486" i="1"/>
  <c r="F486" i="1"/>
  <c r="D486" i="1"/>
  <c r="H486" i="1" s="1"/>
  <c r="G485" i="1"/>
  <c r="F485" i="1"/>
  <c r="D485" i="1"/>
  <c r="H485" i="1" s="1"/>
  <c r="G484" i="1"/>
  <c r="F484" i="1"/>
  <c r="D484" i="1"/>
  <c r="H484" i="1" s="1"/>
  <c r="G483" i="1"/>
  <c r="F483" i="1"/>
  <c r="D483" i="1"/>
  <c r="H483" i="1" s="1"/>
  <c r="G482" i="1"/>
  <c r="F482" i="1"/>
  <c r="D482" i="1"/>
  <c r="H482" i="1" s="1"/>
  <c r="G481" i="1"/>
  <c r="F481" i="1"/>
  <c r="D481" i="1"/>
  <c r="H481" i="1" s="1"/>
  <c r="G480" i="1"/>
  <c r="F480" i="1"/>
  <c r="D480" i="1"/>
  <c r="H480" i="1" s="1"/>
  <c r="H479" i="1"/>
  <c r="G478" i="1"/>
  <c r="F478" i="1"/>
  <c r="H478" i="1" s="1"/>
  <c r="D478" i="1"/>
  <c r="G477" i="1"/>
  <c r="F477" i="1"/>
  <c r="H477" i="1" s="1"/>
  <c r="D477" i="1"/>
  <c r="G476" i="1"/>
  <c r="F476" i="1"/>
  <c r="H476" i="1" s="1"/>
  <c r="D476" i="1"/>
  <c r="G475" i="1"/>
  <c r="F475" i="1"/>
  <c r="H475" i="1" s="1"/>
  <c r="D475" i="1"/>
  <c r="G474" i="1"/>
  <c r="F474" i="1"/>
  <c r="H474" i="1" s="1"/>
  <c r="D474" i="1"/>
  <c r="G473" i="1"/>
  <c r="F473" i="1"/>
  <c r="H473" i="1" s="1"/>
  <c r="D473" i="1"/>
  <c r="G472" i="1"/>
  <c r="F472" i="1"/>
  <c r="H472" i="1" s="1"/>
  <c r="D472" i="1"/>
  <c r="G471" i="1"/>
  <c r="F471" i="1"/>
  <c r="H471" i="1" s="1"/>
  <c r="D471" i="1"/>
  <c r="G470" i="1"/>
  <c r="F470" i="1"/>
  <c r="D470" i="1"/>
  <c r="H470" i="1" s="1"/>
  <c r="G469" i="1"/>
  <c r="F469" i="1"/>
  <c r="D469" i="1"/>
  <c r="H469" i="1" s="1"/>
  <c r="G468" i="1"/>
  <c r="F468" i="1"/>
  <c r="D468" i="1"/>
  <c r="H468" i="1" s="1"/>
  <c r="G467" i="1"/>
  <c r="F467" i="1"/>
  <c r="D467" i="1"/>
  <c r="H467" i="1" s="1"/>
  <c r="G466" i="1"/>
  <c r="F466" i="1"/>
  <c r="D466" i="1"/>
  <c r="H466" i="1" s="1"/>
  <c r="G465" i="1"/>
  <c r="F465" i="1"/>
  <c r="D465" i="1"/>
  <c r="H465" i="1" s="1"/>
  <c r="G464" i="1"/>
  <c r="F464" i="1"/>
  <c r="D464" i="1"/>
  <c r="G463" i="1"/>
  <c r="F463" i="1"/>
  <c r="D463" i="1"/>
  <c r="H462" i="1"/>
  <c r="H461" i="1"/>
  <c r="G461" i="1"/>
  <c r="F461" i="1"/>
  <c r="D461" i="1"/>
  <c r="H460" i="1"/>
  <c r="G460" i="1"/>
  <c r="F460" i="1"/>
  <c r="D460" i="1"/>
  <c r="H459" i="1"/>
  <c r="G459" i="1"/>
  <c r="F459" i="1"/>
  <c r="D459" i="1"/>
  <c r="H458" i="1"/>
  <c r="G458" i="1"/>
  <c r="F458" i="1"/>
  <c r="D458" i="1"/>
  <c r="H457" i="1"/>
  <c r="G457" i="1"/>
  <c r="F457" i="1"/>
  <c r="D457" i="1"/>
  <c r="H456" i="1"/>
  <c r="G456" i="1"/>
  <c r="F456" i="1"/>
  <c r="D456" i="1"/>
  <c r="H455" i="1"/>
  <c r="G455" i="1"/>
  <c r="F455" i="1"/>
  <c r="D455" i="1"/>
  <c r="H454" i="1"/>
  <c r="G454" i="1"/>
  <c r="F454" i="1"/>
  <c r="D454" i="1"/>
  <c r="H453" i="1"/>
  <c r="G453" i="1"/>
  <c r="F453" i="1"/>
  <c r="D453" i="1"/>
  <c r="H452" i="1"/>
  <c r="G452" i="1"/>
  <c r="F452" i="1"/>
  <c r="D452" i="1"/>
  <c r="H451" i="1"/>
  <c r="G451" i="1"/>
  <c r="F451" i="1"/>
  <c r="D451" i="1"/>
  <c r="H450" i="1"/>
  <c r="G449" i="1"/>
  <c r="F449" i="1"/>
  <c r="D449" i="1"/>
  <c r="H449" i="1" s="1"/>
  <c r="G448" i="1"/>
  <c r="F448" i="1"/>
  <c r="D448" i="1"/>
  <c r="H448" i="1" s="1"/>
  <c r="G447" i="1"/>
  <c r="F447" i="1"/>
  <c r="D447" i="1"/>
  <c r="H447" i="1" s="1"/>
  <c r="G446" i="1"/>
  <c r="F446" i="1"/>
  <c r="D446" i="1"/>
  <c r="H446" i="1" s="1"/>
  <c r="G445" i="1"/>
  <c r="F445" i="1"/>
  <c r="D445" i="1"/>
  <c r="H445" i="1" s="1"/>
  <c r="G444" i="1"/>
  <c r="F444" i="1"/>
  <c r="D444" i="1"/>
  <c r="H444" i="1" s="1"/>
  <c r="G443" i="1"/>
  <c r="F443" i="1"/>
  <c r="D443" i="1"/>
  <c r="H443" i="1" s="1"/>
  <c r="G442" i="1"/>
  <c r="F442" i="1"/>
  <c r="D442" i="1"/>
  <c r="H442" i="1" s="1"/>
  <c r="G441" i="1"/>
  <c r="F441" i="1"/>
  <c r="D441" i="1"/>
  <c r="H441" i="1" s="1"/>
  <c r="G440" i="1"/>
  <c r="F440" i="1"/>
  <c r="D440" i="1"/>
  <c r="H440" i="1" s="1"/>
  <c r="G439" i="1"/>
  <c r="F439" i="1"/>
  <c r="D439" i="1"/>
  <c r="H439" i="1" s="1"/>
  <c r="H438" i="1"/>
  <c r="G437" i="1"/>
  <c r="F437" i="1"/>
  <c r="D437" i="1"/>
  <c r="H437" i="1" s="1"/>
  <c r="G436" i="1"/>
  <c r="F436" i="1"/>
  <c r="D436" i="1"/>
  <c r="H436" i="1" s="1"/>
  <c r="G435" i="1"/>
  <c r="F435" i="1"/>
  <c r="D435" i="1"/>
  <c r="H435" i="1" s="1"/>
  <c r="G434" i="1"/>
  <c r="F434" i="1"/>
  <c r="D434" i="1"/>
  <c r="G433" i="1"/>
  <c r="F433" i="1"/>
  <c r="D433" i="1"/>
  <c r="H433" i="1" s="1"/>
  <c r="G432" i="1"/>
  <c r="F432" i="1"/>
  <c r="D432" i="1"/>
  <c r="H432" i="1" s="1"/>
  <c r="G431" i="1"/>
  <c r="F431" i="1"/>
  <c r="D431" i="1"/>
  <c r="H431" i="1" s="1"/>
  <c r="G430" i="1"/>
  <c r="F430" i="1"/>
  <c r="D430" i="1"/>
  <c r="H430" i="1" s="1"/>
  <c r="G429" i="1"/>
  <c r="F429" i="1"/>
  <c r="D429" i="1"/>
  <c r="H429" i="1" s="1"/>
  <c r="G428" i="1"/>
  <c r="F428" i="1"/>
  <c r="D428" i="1"/>
  <c r="H428" i="1" s="1"/>
  <c r="G427" i="1"/>
  <c r="F427" i="1"/>
  <c r="D427" i="1"/>
  <c r="H427" i="1" s="1"/>
  <c r="H426" i="1"/>
  <c r="G425" i="1"/>
  <c r="F425" i="1"/>
  <c r="H425" i="1" s="1"/>
  <c r="D425" i="1"/>
  <c r="G424" i="1"/>
  <c r="F424" i="1"/>
  <c r="H424" i="1" s="1"/>
  <c r="D424" i="1"/>
  <c r="G423" i="1"/>
  <c r="F423" i="1"/>
  <c r="H423" i="1" s="1"/>
  <c r="D423" i="1"/>
  <c r="G422" i="1"/>
  <c r="F422" i="1"/>
  <c r="D422" i="1"/>
  <c r="H422" i="1" s="1"/>
  <c r="G421" i="1"/>
  <c r="F421" i="1"/>
  <c r="D421" i="1"/>
  <c r="H421" i="1" s="1"/>
  <c r="G420" i="1"/>
  <c r="F420" i="1"/>
  <c r="D420" i="1"/>
  <c r="H420" i="1" s="1"/>
  <c r="G419" i="1"/>
  <c r="F419" i="1"/>
  <c r="D419" i="1"/>
  <c r="H419" i="1" s="1"/>
  <c r="G418" i="1"/>
  <c r="F418" i="1"/>
  <c r="D418" i="1"/>
  <c r="H418" i="1" s="1"/>
  <c r="G417" i="1"/>
  <c r="F417" i="1"/>
  <c r="D417" i="1"/>
  <c r="H417" i="1" s="1"/>
  <c r="G416" i="1"/>
  <c r="F416" i="1"/>
  <c r="D416" i="1"/>
  <c r="H416" i="1" s="1"/>
  <c r="G415" i="1"/>
  <c r="F415" i="1"/>
  <c r="D415" i="1"/>
  <c r="H415" i="1" s="1"/>
  <c r="H414" i="1"/>
  <c r="G413" i="1"/>
  <c r="F413" i="1"/>
  <c r="H413" i="1" s="1"/>
  <c r="D413" i="1"/>
  <c r="G412" i="1"/>
  <c r="F412" i="1"/>
  <c r="H412" i="1" s="1"/>
  <c r="D412" i="1"/>
  <c r="G411" i="1"/>
  <c r="F411" i="1"/>
  <c r="H411" i="1" s="1"/>
  <c r="D411" i="1"/>
  <c r="G410" i="1"/>
  <c r="F410" i="1"/>
  <c r="H410" i="1" s="1"/>
  <c r="D410" i="1"/>
  <c r="G409" i="1"/>
  <c r="F409" i="1"/>
  <c r="D409" i="1"/>
  <c r="H409" i="1" s="1"/>
  <c r="G408" i="1"/>
  <c r="F408" i="1"/>
  <c r="D408" i="1"/>
  <c r="H408" i="1" s="1"/>
  <c r="G407" i="1"/>
  <c r="F407" i="1"/>
  <c r="D407" i="1"/>
  <c r="H407" i="1" s="1"/>
  <c r="G406" i="1"/>
  <c r="F406" i="1"/>
  <c r="D406" i="1"/>
  <c r="H406" i="1" s="1"/>
  <c r="G405" i="1"/>
  <c r="F405" i="1"/>
  <c r="D405" i="1"/>
  <c r="H405" i="1" s="1"/>
  <c r="G404" i="1"/>
  <c r="F404" i="1"/>
  <c r="D404" i="1"/>
  <c r="H404" i="1" s="1"/>
  <c r="G403" i="1"/>
  <c r="F403" i="1"/>
  <c r="D403" i="1"/>
  <c r="H403" i="1" s="1"/>
  <c r="G402" i="1"/>
  <c r="F402" i="1"/>
  <c r="D402" i="1"/>
  <c r="H402" i="1" s="1"/>
  <c r="G401" i="1"/>
  <c r="F401" i="1"/>
  <c r="D401" i="1"/>
  <c r="H401" i="1" s="1"/>
  <c r="G400" i="1"/>
  <c r="F400" i="1"/>
  <c r="D400" i="1"/>
  <c r="H400" i="1" s="1"/>
  <c r="G399" i="1"/>
  <c r="F399" i="1"/>
  <c r="D399" i="1"/>
  <c r="H399" i="1" s="1"/>
  <c r="G398" i="1"/>
  <c r="F398" i="1"/>
  <c r="D398" i="1"/>
  <c r="H398" i="1" s="1"/>
  <c r="G397" i="1"/>
  <c r="F397" i="1"/>
  <c r="D397" i="1"/>
  <c r="H397" i="1" s="1"/>
  <c r="H396" i="1"/>
  <c r="G395" i="1"/>
  <c r="F395" i="1"/>
  <c r="H395" i="1" s="1"/>
  <c r="D395" i="1"/>
  <c r="G394" i="1"/>
  <c r="F394" i="1"/>
  <c r="H394" i="1" s="1"/>
  <c r="D394" i="1"/>
  <c r="G393" i="1"/>
  <c r="F393" i="1"/>
  <c r="H393" i="1" s="1"/>
  <c r="D393" i="1"/>
  <c r="G392" i="1"/>
  <c r="F392" i="1"/>
  <c r="H392" i="1" s="1"/>
  <c r="D392" i="1"/>
  <c r="G391" i="1"/>
  <c r="F391" i="1"/>
  <c r="H391" i="1" s="1"/>
  <c r="D391" i="1"/>
  <c r="G390" i="1"/>
  <c r="F390" i="1"/>
  <c r="H390" i="1" s="1"/>
  <c r="D390" i="1"/>
  <c r="G389" i="1"/>
  <c r="F389" i="1"/>
  <c r="H389" i="1" s="1"/>
  <c r="D389" i="1"/>
  <c r="G388" i="1"/>
  <c r="F388" i="1"/>
  <c r="H388" i="1" s="1"/>
  <c r="D388" i="1"/>
  <c r="G387" i="1"/>
  <c r="F387" i="1"/>
  <c r="H387" i="1" s="1"/>
  <c r="D387" i="1"/>
  <c r="G386" i="1"/>
  <c r="F386" i="1"/>
  <c r="H386" i="1" s="1"/>
  <c r="D386" i="1"/>
  <c r="G385" i="1"/>
  <c r="F385" i="1"/>
  <c r="H385" i="1" s="1"/>
  <c r="D385" i="1"/>
  <c r="H384" i="1"/>
  <c r="G383" i="1"/>
  <c r="H383" i="1" s="1"/>
  <c r="F383" i="1"/>
  <c r="D383" i="1"/>
  <c r="G382" i="1"/>
  <c r="H382" i="1" s="1"/>
  <c r="F382" i="1"/>
  <c r="D382" i="1"/>
  <c r="G381" i="1"/>
  <c r="H381" i="1" s="1"/>
  <c r="F381" i="1"/>
  <c r="D381" i="1"/>
  <c r="G380" i="1"/>
  <c r="H380" i="1" s="1"/>
  <c r="F380" i="1"/>
  <c r="D380" i="1"/>
  <c r="G379" i="1"/>
  <c r="F379" i="1"/>
  <c r="D379" i="1"/>
  <c r="H379" i="1" s="1"/>
  <c r="G378" i="1"/>
  <c r="F378" i="1"/>
  <c r="D378" i="1"/>
  <c r="H378" i="1" s="1"/>
  <c r="G377" i="1"/>
  <c r="F377" i="1"/>
  <c r="D377" i="1"/>
  <c r="H377" i="1" s="1"/>
  <c r="G376" i="1"/>
  <c r="F376" i="1"/>
  <c r="D376" i="1"/>
  <c r="H376" i="1" s="1"/>
  <c r="G375" i="1"/>
  <c r="F375" i="1"/>
  <c r="D375" i="1"/>
  <c r="H375" i="1" s="1"/>
  <c r="G374" i="1"/>
  <c r="F374" i="1"/>
  <c r="D374" i="1"/>
  <c r="H374" i="1" s="1"/>
  <c r="G373" i="1"/>
  <c r="F373" i="1"/>
  <c r="D373" i="1"/>
  <c r="H373" i="1" s="1"/>
  <c r="H372" i="1"/>
  <c r="G371" i="1"/>
  <c r="F371" i="1"/>
  <c r="H371" i="1" s="1"/>
  <c r="D371" i="1"/>
  <c r="G370" i="1"/>
  <c r="F370" i="1"/>
  <c r="H370" i="1" s="1"/>
  <c r="D370" i="1"/>
  <c r="G369" i="1"/>
  <c r="F369" i="1"/>
  <c r="H369" i="1" s="1"/>
  <c r="D369" i="1"/>
  <c r="G368" i="1"/>
  <c r="F368" i="1"/>
  <c r="H368" i="1" s="1"/>
  <c r="D368" i="1"/>
  <c r="G367" i="1"/>
  <c r="F367" i="1"/>
  <c r="H367" i="1" s="1"/>
  <c r="D367" i="1"/>
  <c r="G366" i="1"/>
  <c r="F366" i="1"/>
  <c r="D366" i="1"/>
  <c r="H366" i="1" s="1"/>
  <c r="G365" i="1"/>
  <c r="F365" i="1"/>
  <c r="D365" i="1"/>
  <c r="H365" i="1" s="1"/>
  <c r="G364" i="1"/>
  <c r="F364" i="1"/>
  <c r="D364" i="1"/>
  <c r="H364" i="1" s="1"/>
  <c r="G363" i="1"/>
  <c r="F363" i="1"/>
  <c r="D363" i="1"/>
  <c r="H363" i="1" s="1"/>
  <c r="G362" i="1"/>
  <c r="F362" i="1"/>
  <c r="D362" i="1"/>
  <c r="H362" i="1" s="1"/>
  <c r="G361" i="1"/>
  <c r="F361" i="1"/>
  <c r="D361" i="1"/>
  <c r="H361" i="1" s="1"/>
  <c r="H360" i="1"/>
  <c r="G359" i="1"/>
  <c r="F359" i="1"/>
  <c r="H359" i="1" s="1"/>
  <c r="D359" i="1"/>
  <c r="G358" i="1"/>
  <c r="F358" i="1"/>
  <c r="D358" i="1"/>
  <c r="H358" i="1" s="1"/>
  <c r="G357" i="1"/>
  <c r="F357" i="1"/>
  <c r="D357" i="1"/>
  <c r="H357" i="1" s="1"/>
  <c r="G356" i="1"/>
  <c r="F356" i="1"/>
  <c r="D356" i="1"/>
  <c r="H356" i="1" s="1"/>
  <c r="G355" i="1"/>
  <c r="F355" i="1"/>
  <c r="D355" i="1"/>
  <c r="H355" i="1" s="1"/>
  <c r="G354" i="1"/>
  <c r="F354" i="1"/>
  <c r="D354" i="1"/>
  <c r="H354" i="1" s="1"/>
  <c r="G353" i="1"/>
  <c r="F353" i="1"/>
  <c r="D353" i="1"/>
  <c r="H353" i="1" s="1"/>
  <c r="G352" i="1"/>
  <c r="F352" i="1"/>
  <c r="D352" i="1"/>
  <c r="H352" i="1" s="1"/>
  <c r="G351" i="1"/>
  <c r="F351" i="1"/>
  <c r="D351" i="1"/>
  <c r="H351" i="1" s="1"/>
  <c r="G350" i="1"/>
  <c r="F350" i="1"/>
  <c r="D350" i="1"/>
  <c r="H350" i="1" s="1"/>
  <c r="G349" i="1"/>
  <c r="F349" i="1"/>
  <c r="D349" i="1"/>
  <c r="H349" i="1" s="1"/>
  <c r="H348" i="1"/>
  <c r="G347" i="1"/>
  <c r="F347" i="1"/>
  <c r="H347" i="1" s="1"/>
  <c r="D347" i="1"/>
  <c r="G346" i="1"/>
  <c r="F346" i="1"/>
  <c r="H346" i="1" s="1"/>
  <c r="D346" i="1"/>
  <c r="G345" i="1"/>
  <c r="F345" i="1"/>
  <c r="H345" i="1" s="1"/>
  <c r="D345" i="1"/>
  <c r="G344" i="1"/>
  <c r="F344" i="1"/>
  <c r="H344" i="1" s="1"/>
  <c r="D344" i="1"/>
  <c r="G343" i="1"/>
  <c r="F343" i="1"/>
  <c r="H343" i="1" s="1"/>
  <c r="D343" i="1"/>
  <c r="G342" i="1"/>
  <c r="F342" i="1"/>
  <c r="H342" i="1" s="1"/>
  <c r="D342" i="1"/>
  <c r="G341" i="1"/>
  <c r="F341" i="1"/>
  <c r="H341" i="1" s="1"/>
  <c r="D341" i="1"/>
  <c r="G340" i="1"/>
  <c r="F340" i="1"/>
  <c r="H340" i="1" s="1"/>
  <c r="D340" i="1"/>
  <c r="G339" i="1"/>
  <c r="F339" i="1"/>
  <c r="D339" i="1"/>
  <c r="H339" i="1" s="1"/>
  <c r="G338" i="1"/>
  <c r="F338" i="1"/>
  <c r="D338" i="1"/>
  <c r="H338" i="1" s="1"/>
  <c r="G337" i="1"/>
  <c r="F337" i="1"/>
  <c r="D337" i="1"/>
  <c r="H337" i="1" s="1"/>
  <c r="G336" i="1"/>
  <c r="F336" i="1"/>
  <c r="D336" i="1"/>
  <c r="H336" i="1" s="1"/>
  <c r="G335" i="1"/>
  <c r="F335" i="1"/>
  <c r="D335" i="1"/>
  <c r="H335" i="1" s="1"/>
  <c r="G334" i="1"/>
  <c r="F334" i="1"/>
  <c r="D334" i="1"/>
  <c r="H334" i="1" s="1"/>
  <c r="G333" i="1"/>
  <c r="F333" i="1"/>
  <c r="D333" i="1"/>
  <c r="H333" i="1" s="1"/>
  <c r="G332" i="1"/>
  <c r="F332" i="1"/>
  <c r="D332" i="1"/>
  <c r="H332" i="1" s="1"/>
  <c r="G331" i="1"/>
  <c r="F331" i="1"/>
  <c r="D331" i="1"/>
  <c r="H331" i="1" s="1"/>
  <c r="G330" i="1"/>
  <c r="F330" i="1"/>
  <c r="D330" i="1"/>
  <c r="H330" i="1" s="1"/>
  <c r="G329" i="1"/>
  <c r="F329" i="1"/>
  <c r="D329" i="1"/>
  <c r="H329" i="1" s="1"/>
  <c r="G328" i="1"/>
  <c r="F328" i="1"/>
  <c r="D328" i="1"/>
  <c r="H328" i="1" s="1"/>
  <c r="I327" i="1"/>
  <c r="G326" i="1"/>
  <c r="F326" i="1"/>
  <c r="I326" i="1" s="1"/>
  <c r="E326" i="1"/>
  <c r="G325" i="1"/>
  <c r="F325" i="1"/>
  <c r="I325" i="1" s="1"/>
  <c r="E325" i="1"/>
  <c r="G324" i="1"/>
  <c r="F324" i="1"/>
  <c r="I324" i="1" s="1"/>
  <c r="E324" i="1"/>
  <c r="G323" i="1"/>
  <c r="F323" i="1"/>
  <c r="I323" i="1" s="1"/>
  <c r="E323" i="1"/>
  <c r="G322" i="1"/>
  <c r="F322" i="1"/>
  <c r="I322" i="1" s="1"/>
  <c r="E322" i="1"/>
  <c r="G321" i="1"/>
  <c r="F321" i="1"/>
  <c r="I321" i="1" s="1"/>
  <c r="E321" i="1"/>
  <c r="G320" i="1"/>
  <c r="F320" i="1"/>
  <c r="I320" i="1" s="1"/>
  <c r="E320" i="1"/>
  <c r="G319" i="1"/>
  <c r="F319" i="1"/>
  <c r="I319" i="1" s="1"/>
  <c r="E319" i="1"/>
  <c r="G318" i="1"/>
  <c r="F318" i="1"/>
  <c r="I318" i="1" s="1"/>
  <c r="E318" i="1"/>
  <c r="G317" i="1"/>
  <c r="F317" i="1"/>
  <c r="I317" i="1" s="1"/>
  <c r="E317" i="1"/>
  <c r="G316" i="1"/>
  <c r="F316" i="1"/>
  <c r="I316" i="1" s="1"/>
  <c r="E316" i="1"/>
  <c r="G315" i="1"/>
  <c r="F315" i="1"/>
  <c r="E315" i="1"/>
  <c r="I315" i="1" s="1"/>
  <c r="G314" i="1"/>
  <c r="F314" i="1"/>
  <c r="E314" i="1"/>
  <c r="I314" i="1" s="1"/>
  <c r="G313" i="1"/>
  <c r="F313" i="1"/>
  <c r="E313" i="1"/>
  <c r="I313" i="1" s="1"/>
  <c r="G312" i="1"/>
  <c r="F312" i="1"/>
  <c r="E312" i="1"/>
  <c r="I312" i="1" s="1"/>
  <c r="G311" i="1"/>
  <c r="F311" i="1"/>
  <c r="E311" i="1"/>
  <c r="I311" i="1" s="1"/>
  <c r="G310" i="1"/>
  <c r="F310" i="1"/>
  <c r="E310" i="1"/>
  <c r="I310" i="1" s="1"/>
  <c r="G309" i="1"/>
  <c r="F309" i="1"/>
  <c r="E309" i="1"/>
  <c r="I309" i="1" s="1"/>
  <c r="I308" i="1"/>
  <c r="G307" i="1"/>
  <c r="I307" i="1" s="1"/>
  <c r="F307" i="1"/>
  <c r="E307" i="1"/>
  <c r="G306" i="1"/>
  <c r="F306" i="1"/>
  <c r="E306" i="1"/>
  <c r="I306" i="1" s="1"/>
  <c r="G305" i="1"/>
  <c r="F305" i="1"/>
  <c r="E305" i="1"/>
  <c r="I305" i="1" s="1"/>
  <c r="G304" i="1"/>
  <c r="F304" i="1"/>
  <c r="E304" i="1"/>
  <c r="I304" i="1" s="1"/>
  <c r="G303" i="1"/>
  <c r="F303" i="1"/>
  <c r="E303" i="1"/>
  <c r="I303" i="1" s="1"/>
  <c r="G302" i="1"/>
  <c r="F302" i="1"/>
  <c r="E302" i="1"/>
  <c r="I302" i="1" s="1"/>
  <c r="G301" i="1"/>
  <c r="F301" i="1"/>
  <c r="E301" i="1"/>
  <c r="I301" i="1" s="1"/>
  <c r="G300" i="1"/>
  <c r="F300" i="1"/>
  <c r="E300" i="1"/>
  <c r="I300" i="1" s="1"/>
  <c r="G299" i="1"/>
  <c r="F299" i="1"/>
  <c r="E299" i="1"/>
  <c r="I299" i="1" s="1"/>
  <c r="G298" i="1"/>
  <c r="F298" i="1"/>
  <c r="E298" i="1"/>
  <c r="I298" i="1" s="1"/>
  <c r="G297" i="1"/>
  <c r="F297" i="1"/>
  <c r="E297" i="1"/>
  <c r="I297" i="1" s="1"/>
  <c r="G296" i="1"/>
  <c r="F296" i="1"/>
  <c r="E296" i="1"/>
  <c r="I296" i="1" s="1"/>
  <c r="G295" i="1"/>
  <c r="F295" i="1"/>
  <c r="E295" i="1"/>
  <c r="I295" i="1" s="1"/>
  <c r="G294" i="1"/>
  <c r="F294" i="1"/>
  <c r="E294" i="1"/>
  <c r="I294" i="1" s="1"/>
  <c r="G293" i="1"/>
  <c r="F293" i="1"/>
  <c r="E293" i="1"/>
  <c r="I293" i="1" s="1"/>
  <c r="G292" i="1"/>
  <c r="F292" i="1"/>
  <c r="E292" i="1"/>
  <c r="I292" i="1" s="1"/>
  <c r="G291" i="1"/>
  <c r="F291" i="1"/>
  <c r="E291" i="1"/>
  <c r="I291" i="1" s="1"/>
  <c r="G290" i="1"/>
  <c r="F290" i="1"/>
  <c r="E290" i="1"/>
  <c r="I290" i="1" s="1"/>
  <c r="G289" i="1"/>
  <c r="F289" i="1"/>
  <c r="E289" i="1"/>
  <c r="I289" i="1" s="1"/>
  <c r="I288" i="1"/>
  <c r="G287" i="1"/>
  <c r="F287" i="1"/>
  <c r="I287" i="1" s="1"/>
  <c r="E287" i="1"/>
  <c r="G286" i="1"/>
  <c r="F286" i="1"/>
  <c r="I286" i="1" s="1"/>
  <c r="E286" i="1"/>
  <c r="G285" i="1"/>
  <c r="F285" i="1"/>
  <c r="I285" i="1" s="1"/>
  <c r="E285" i="1"/>
  <c r="G284" i="1"/>
  <c r="F284" i="1"/>
  <c r="I284" i="1" s="1"/>
  <c r="E284" i="1"/>
  <c r="G283" i="1"/>
  <c r="F283" i="1"/>
  <c r="I283" i="1" s="1"/>
  <c r="E283" i="1"/>
  <c r="G282" i="1"/>
  <c r="F282" i="1"/>
  <c r="I282" i="1" s="1"/>
  <c r="E282" i="1"/>
  <c r="G281" i="1"/>
  <c r="F281" i="1"/>
  <c r="I281" i="1" s="1"/>
  <c r="E281" i="1"/>
  <c r="G280" i="1"/>
  <c r="F280" i="1"/>
  <c r="I280" i="1" s="1"/>
  <c r="E280" i="1"/>
  <c r="I279" i="1"/>
  <c r="G278" i="1"/>
  <c r="F278" i="1"/>
  <c r="E278" i="1"/>
  <c r="I278" i="1" s="1"/>
  <c r="G277" i="1"/>
  <c r="F277" i="1"/>
  <c r="E277" i="1"/>
  <c r="I277" i="1" s="1"/>
  <c r="G276" i="1"/>
  <c r="F276" i="1"/>
  <c r="E276" i="1"/>
  <c r="I276" i="1" s="1"/>
  <c r="G275" i="1"/>
  <c r="F275" i="1"/>
  <c r="E275" i="1"/>
  <c r="I275" i="1" s="1"/>
  <c r="G274" i="1"/>
  <c r="F274" i="1"/>
  <c r="E274" i="1"/>
  <c r="I274" i="1" s="1"/>
  <c r="G273" i="1"/>
  <c r="F273" i="1"/>
  <c r="E273" i="1"/>
  <c r="I273" i="1" s="1"/>
  <c r="G272" i="1"/>
  <c r="F272" i="1"/>
  <c r="E272" i="1"/>
  <c r="I272" i="1" s="1"/>
  <c r="G271" i="1"/>
  <c r="F271" i="1"/>
  <c r="E271" i="1"/>
  <c r="I271" i="1" s="1"/>
  <c r="G270" i="1"/>
  <c r="F270" i="1"/>
  <c r="E270" i="1"/>
  <c r="I270" i="1" s="1"/>
  <c r="I269" i="1"/>
  <c r="I268" i="1"/>
  <c r="G267" i="1"/>
  <c r="F267" i="1"/>
  <c r="E267" i="1"/>
  <c r="I267" i="1" s="1"/>
  <c r="G266" i="1"/>
  <c r="F266" i="1"/>
  <c r="E266" i="1"/>
  <c r="I266" i="1" s="1"/>
  <c r="G265" i="1"/>
  <c r="F265" i="1"/>
  <c r="E265" i="1"/>
  <c r="I265" i="1" s="1"/>
  <c r="G264" i="1"/>
  <c r="F264" i="1"/>
  <c r="E264" i="1"/>
  <c r="I264" i="1" s="1"/>
  <c r="G263" i="1"/>
  <c r="F263" i="1"/>
  <c r="E263" i="1"/>
  <c r="I263" i="1" s="1"/>
  <c r="G262" i="1"/>
  <c r="F262" i="1"/>
  <c r="E262" i="1"/>
  <c r="I262" i="1" s="1"/>
  <c r="G261" i="1"/>
  <c r="F261" i="1"/>
  <c r="E261" i="1"/>
  <c r="I261" i="1" s="1"/>
  <c r="G260" i="1"/>
  <c r="F260" i="1"/>
  <c r="E260" i="1"/>
  <c r="I260" i="1" s="1"/>
  <c r="I259" i="1"/>
  <c r="I258" i="1"/>
  <c r="I257" i="1"/>
  <c r="I256" i="1"/>
  <c r="I255" i="1"/>
  <c r="G254" i="1"/>
  <c r="F254" i="1"/>
  <c r="I254" i="1" s="1"/>
  <c r="E254" i="1"/>
  <c r="G253" i="1"/>
  <c r="F253" i="1"/>
  <c r="I253" i="1" s="1"/>
  <c r="E253" i="1"/>
  <c r="G252" i="1"/>
  <c r="F252" i="1"/>
  <c r="I252" i="1" s="1"/>
  <c r="E252" i="1"/>
  <c r="G251" i="1"/>
  <c r="F251" i="1"/>
  <c r="I251" i="1" s="1"/>
  <c r="E251" i="1"/>
  <c r="G250" i="1"/>
  <c r="F250" i="1"/>
  <c r="I250" i="1" s="1"/>
  <c r="E250" i="1"/>
  <c r="G249" i="1"/>
  <c r="F249" i="1"/>
  <c r="I249" i="1" s="1"/>
  <c r="E249" i="1"/>
  <c r="G248" i="1"/>
  <c r="F248" i="1"/>
  <c r="I248" i="1" s="1"/>
  <c r="E248" i="1"/>
  <c r="I247" i="1"/>
  <c r="I246" i="1"/>
  <c r="I245" i="1"/>
  <c r="I244" i="1"/>
  <c r="I243" i="1"/>
  <c r="I242" i="1"/>
  <c r="I241" i="1"/>
  <c r="I240" i="1"/>
  <c r="I239" i="1"/>
  <c r="I238" i="1"/>
  <c r="I237" i="1"/>
  <c r="I236" i="1"/>
  <c r="G235" i="1"/>
  <c r="F235" i="1"/>
  <c r="I235" i="1" s="1"/>
  <c r="E235" i="1"/>
  <c r="G234" i="1"/>
  <c r="F234" i="1"/>
  <c r="I234" i="1" s="1"/>
  <c r="E234" i="1"/>
  <c r="G233" i="1"/>
  <c r="F233" i="1"/>
  <c r="I233" i="1" s="1"/>
  <c r="E233" i="1"/>
  <c r="G232" i="1"/>
  <c r="F232" i="1"/>
  <c r="E232" i="1"/>
  <c r="I232" i="1" s="1"/>
  <c r="G231" i="1"/>
  <c r="F231" i="1"/>
  <c r="E231" i="1"/>
  <c r="I231" i="1" s="1"/>
  <c r="G230" i="1"/>
  <c r="F230" i="1"/>
  <c r="E230" i="1"/>
  <c r="I230" i="1" s="1"/>
  <c r="G229" i="1"/>
  <c r="F229" i="1"/>
  <c r="E229" i="1"/>
  <c r="I229" i="1" s="1"/>
  <c r="I228" i="1"/>
  <c r="I227" i="1"/>
  <c r="I226" i="1"/>
  <c r="G226" i="1"/>
  <c r="F226" i="1"/>
  <c r="E226" i="1"/>
  <c r="I225" i="1"/>
  <c r="G225" i="1"/>
  <c r="F225" i="1"/>
  <c r="E225" i="1"/>
  <c r="I224" i="1"/>
  <c r="G224" i="1"/>
  <c r="F224" i="1"/>
  <c r="E224" i="1"/>
  <c r="I223" i="1"/>
  <c r="G223" i="1"/>
  <c r="F223" i="1"/>
  <c r="E223" i="1"/>
  <c r="I222" i="1"/>
  <c r="G222" i="1"/>
  <c r="F222" i="1"/>
  <c r="E222" i="1"/>
  <c r="I221" i="1"/>
  <c r="G221" i="1"/>
  <c r="F221" i="1"/>
  <c r="E221" i="1"/>
  <c r="I220" i="1"/>
  <c r="G220" i="1"/>
  <c r="F220" i="1"/>
  <c r="E220" i="1"/>
  <c r="I219" i="1"/>
  <c r="G219" i="1"/>
  <c r="F219" i="1"/>
  <c r="E219" i="1"/>
  <c r="I218" i="1"/>
  <c r="G218" i="1"/>
  <c r="F218" i="1"/>
  <c r="E218" i="1"/>
  <c r="I217" i="1"/>
  <c r="G217" i="1"/>
  <c r="F217" i="1"/>
  <c r="E217" i="1"/>
  <c r="H216" i="1"/>
  <c r="H215" i="1"/>
  <c r="H214" i="1"/>
  <c r="G213" i="1"/>
  <c r="F213" i="1"/>
  <c r="H213" i="1" s="1"/>
  <c r="D213" i="1"/>
  <c r="G212" i="1"/>
  <c r="F212" i="1"/>
  <c r="H212" i="1" s="1"/>
  <c r="D212" i="1"/>
  <c r="G211" i="1"/>
  <c r="F211" i="1"/>
  <c r="H211" i="1" s="1"/>
  <c r="D211" i="1"/>
  <c r="G210" i="1"/>
  <c r="F210" i="1"/>
  <c r="D210" i="1"/>
  <c r="H209" i="1"/>
  <c r="H208" i="1"/>
  <c r="G208" i="1"/>
  <c r="F208" i="1"/>
  <c r="D208" i="1"/>
  <c r="H207" i="1"/>
  <c r="G207" i="1"/>
  <c r="F207" i="1"/>
  <c r="D207" i="1"/>
  <c r="H206" i="1"/>
  <c r="G206" i="1"/>
  <c r="F206" i="1"/>
  <c r="D206" i="1"/>
  <c r="H205" i="1"/>
  <c r="G205" i="1"/>
  <c r="F205" i="1"/>
  <c r="D205" i="1"/>
  <c r="H204" i="1"/>
  <c r="G204" i="1"/>
  <c r="F204" i="1"/>
  <c r="D204" i="1"/>
  <c r="H203" i="1"/>
  <c r="G203" i="1"/>
  <c r="F203" i="1"/>
  <c r="D203" i="1"/>
  <c r="H202" i="1"/>
  <c r="G202" i="1"/>
  <c r="F202" i="1"/>
  <c r="D202" i="1"/>
  <c r="H201" i="1"/>
  <c r="G201" i="1"/>
  <c r="F201" i="1"/>
  <c r="D201" i="1"/>
  <c r="H200" i="1"/>
  <c r="G200" i="1"/>
  <c r="F200" i="1"/>
  <c r="D200" i="1"/>
  <c r="H199" i="1"/>
  <c r="G199" i="1"/>
  <c r="F199" i="1"/>
  <c r="D199" i="1"/>
  <c r="H198" i="1"/>
  <c r="G198" i="1"/>
  <c r="F198" i="1"/>
  <c r="D198" i="1"/>
  <c r="H197" i="1"/>
  <c r="H196" i="1"/>
  <c r="H195" i="1"/>
  <c r="H194" i="1"/>
  <c r="H193" i="1"/>
  <c r="G192" i="1"/>
  <c r="F192" i="1"/>
  <c r="D192" i="1"/>
  <c r="H192" i="1" s="1"/>
  <c r="G191" i="1"/>
  <c r="F191" i="1"/>
  <c r="D191" i="1"/>
  <c r="H191" i="1" s="1"/>
  <c r="G190" i="1"/>
  <c r="F190" i="1"/>
  <c r="D190" i="1"/>
  <c r="H190" i="1" s="1"/>
  <c r="G189" i="1"/>
  <c r="F189" i="1"/>
  <c r="D189" i="1"/>
  <c r="H189" i="1" s="1"/>
  <c r="G188" i="1"/>
  <c r="F188" i="1"/>
  <c r="D188" i="1"/>
  <c r="H188" i="1" s="1"/>
  <c r="G187" i="1"/>
  <c r="F187" i="1"/>
  <c r="D187" i="1"/>
  <c r="H187" i="1" s="1"/>
  <c r="G186" i="1"/>
  <c r="F186" i="1"/>
  <c r="D186" i="1"/>
  <c r="H186" i="1" s="1"/>
  <c r="G185" i="1"/>
  <c r="F185" i="1"/>
  <c r="D185" i="1"/>
  <c r="H185" i="1" s="1"/>
  <c r="G184" i="1"/>
  <c r="F184" i="1"/>
  <c r="D184" i="1"/>
  <c r="H184" i="1" s="1"/>
  <c r="G183" i="1"/>
  <c r="F183" i="1"/>
  <c r="D183" i="1"/>
  <c r="H183" i="1" s="1"/>
  <c r="H182" i="1"/>
  <c r="G181" i="1"/>
  <c r="F181" i="1"/>
  <c r="H181" i="1" s="1"/>
  <c r="D181" i="1"/>
  <c r="G180" i="1"/>
  <c r="F180" i="1"/>
  <c r="H180" i="1" s="1"/>
  <c r="D180" i="1"/>
  <c r="G179" i="1"/>
  <c r="F179" i="1"/>
  <c r="D179" i="1"/>
  <c r="G178" i="1"/>
  <c r="F178" i="1"/>
  <c r="D178" i="1"/>
  <c r="H178" i="1" s="1"/>
  <c r="H177" i="1"/>
  <c r="G176" i="1"/>
  <c r="H176" i="1" s="1"/>
  <c r="F176" i="1"/>
  <c r="D176" i="1"/>
  <c r="G175" i="1"/>
  <c r="H175" i="1" s="1"/>
  <c r="F175" i="1"/>
  <c r="D175" i="1"/>
  <c r="G174" i="1"/>
  <c r="H174" i="1" s="1"/>
  <c r="F174" i="1"/>
  <c r="D174" i="1"/>
  <c r="G173" i="1"/>
  <c r="H173" i="1" s="1"/>
  <c r="F173" i="1"/>
  <c r="D173" i="1"/>
  <c r="H172" i="1"/>
  <c r="H171" i="1"/>
  <c r="G171" i="1"/>
  <c r="F171" i="1"/>
  <c r="D171" i="1"/>
  <c r="H170" i="1"/>
  <c r="G170" i="1"/>
  <c r="F170" i="1"/>
  <c r="D170" i="1"/>
  <c r="H169" i="1"/>
  <c r="G169" i="1"/>
  <c r="F169" i="1"/>
  <c r="D169" i="1"/>
  <c r="H168" i="1"/>
  <c r="G168" i="1"/>
  <c r="F168" i="1"/>
  <c r="D168" i="1"/>
  <c r="H167" i="1"/>
  <c r="G166" i="1"/>
  <c r="F166" i="1"/>
  <c r="D166" i="1"/>
  <c r="H166" i="1" s="1"/>
  <c r="G165" i="1"/>
  <c r="F165" i="1"/>
  <c r="D165" i="1"/>
  <c r="H165" i="1" s="1"/>
  <c r="G164" i="1"/>
  <c r="F164" i="1"/>
  <c r="D164" i="1"/>
  <c r="H164" i="1" s="1"/>
  <c r="G163" i="1"/>
  <c r="F163" i="1"/>
  <c r="D163" i="1"/>
  <c r="H163" i="1" s="1"/>
  <c r="G162" i="1"/>
  <c r="F162" i="1"/>
  <c r="D162" i="1"/>
  <c r="H162" i="1" s="1"/>
  <c r="G161" i="1"/>
  <c r="F161" i="1"/>
  <c r="D161" i="1"/>
  <c r="H161" i="1" s="1"/>
  <c r="G160" i="1"/>
  <c r="F160" i="1"/>
  <c r="D160" i="1"/>
  <c r="H160" i="1" s="1"/>
  <c r="G159" i="1"/>
  <c r="F159" i="1"/>
  <c r="D159" i="1"/>
  <c r="H159" i="1" s="1"/>
  <c r="G158" i="1"/>
  <c r="F158" i="1"/>
  <c r="D158" i="1"/>
  <c r="H158" i="1" s="1"/>
  <c r="G157" i="1"/>
  <c r="F157" i="1"/>
  <c r="D157" i="1"/>
  <c r="H157" i="1" s="1"/>
  <c r="G156" i="1"/>
  <c r="F156" i="1"/>
  <c r="D156" i="1"/>
  <c r="H156" i="1" s="1"/>
  <c r="H155" i="1"/>
  <c r="G154" i="1"/>
  <c r="F154" i="1"/>
  <c r="H154" i="1" s="1"/>
  <c r="D154" i="1"/>
  <c r="G153" i="1"/>
  <c r="F153" i="1"/>
  <c r="H153" i="1" s="1"/>
  <c r="D153" i="1"/>
  <c r="H152" i="1"/>
  <c r="H151" i="1"/>
  <c r="H150" i="1"/>
  <c r="G149" i="1"/>
  <c r="F149" i="1"/>
  <c r="D149" i="1"/>
  <c r="H149" i="1" s="1"/>
  <c r="H148" i="1"/>
  <c r="H147" i="1"/>
  <c r="H146" i="1"/>
  <c r="H145" i="1"/>
  <c r="H144" i="1"/>
  <c r="H143" i="1"/>
  <c r="H142" i="1"/>
  <c r="H141" i="1"/>
  <c r="H140" i="1"/>
  <c r="G139" i="1"/>
  <c r="F139" i="1"/>
  <c r="H139" i="1" s="1"/>
  <c r="D139" i="1"/>
  <c r="G138" i="1"/>
  <c r="F138" i="1"/>
  <c r="H138" i="1" s="1"/>
  <c r="D138" i="1"/>
  <c r="G137" i="1"/>
  <c r="F137" i="1"/>
  <c r="H137" i="1" s="1"/>
  <c r="D137" i="1"/>
  <c r="G136" i="1"/>
  <c r="F136" i="1"/>
  <c r="H136" i="1" s="1"/>
  <c r="D136" i="1"/>
  <c r="G135" i="1"/>
  <c r="F135" i="1"/>
  <c r="D135" i="1"/>
  <c r="G134" i="1"/>
  <c r="F134" i="1"/>
  <c r="D134" i="1"/>
  <c r="H134" i="1" s="1"/>
  <c r="G133" i="1"/>
  <c r="F133" i="1"/>
  <c r="D133" i="1"/>
  <c r="G132" i="1"/>
  <c r="F132" i="1"/>
  <c r="D132" i="1"/>
  <c r="G131" i="1"/>
  <c r="F131" i="1"/>
  <c r="D131" i="1"/>
  <c r="G130" i="1"/>
  <c r="F130" i="1"/>
  <c r="D130" i="1"/>
  <c r="H130" i="1" s="1"/>
  <c r="H129" i="1"/>
  <c r="G128" i="1"/>
  <c r="H128" i="1" s="1"/>
  <c r="F128" i="1"/>
  <c r="D128" i="1"/>
  <c r="G127" i="1"/>
  <c r="H127" i="1" s="1"/>
  <c r="F127" i="1"/>
  <c r="D127" i="1"/>
  <c r="G126" i="1"/>
  <c r="H126" i="1" s="1"/>
  <c r="F126" i="1"/>
  <c r="D126" i="1"/>
  <c r="G125" i="1"/>
  <c r="H125" i="1" s="1"/>
  <c r="F125" i="1"/>
  <c r="D125" i="1"/>
  <c r="G124" i="1"/>
  <c r="H124" i="1" s="1"/>
  <c r="F124" i="1"/>
  <c r="D124" i="1"/>
  <c r="G123" i="1"/>
  <c r="H123" i="1" s="1"/>
  <c r="F123" i="1"/>
  <c r="D123" i="1"/>
  <c r="G122" i="1"/>
  <c r="F122" i="1"/>
  <c r="D122" i="1"/>
  <c r="G121" i="1"/>
  <c r="F121" i="1"/>
  <c r="H121" i="1" s="1"/>
  <c r="D121" i="1"/>
  <c r="G120" i="1"/>
  <c r="F120" i="1"/>
  <c r="D120" i="1"/>
  <c r="H120" i="1" s="1"/>
  <c r="H119" i="1"/>
  <c r="H118" i="1"/>
  <c r="G118" i="1"/>
  <c r="F118" i="1"/>
  <c r="D118" i="1"/>
  <c r="H117" i="1"/>
  <c r="G117" i="1"/>
  <c r="F117" i="1"/>
  <c r="D117" i="1"/>
  <c r="H116" i="1"/>
  <c r="G116" i="1"/>
  <c r="F116" i="1"/>
  <c r="D116" i="1"/>
  <c r="H115" i="1"/>
  <c r="G115" i="1"/>
  <c r="F115" i="1"/>
  <c r="D115" i="1"/>
  <c r="H114" i="1"/>
  <c r="G113" i="1"/>
  <c r="F113" i="1"/>
  <c r="D113" i="1"/>
  <c r="H113" i="1" s="1"/>
  <c r="G112" i="1"/>
  <c r="F112" i="1"/>
  <c r="D112" i="1"/>
  <c r="H112" i="1" s="1"/>
  <c r="G111" i="1"/>
  <c r="F111" i="1"/>
  <c r="D111" i="1"/>
  <c r="H111" i="1" s="1"/>
  <c r="G110" i="1"/>
  <c r="F110" i="1"/>
  <c r="D110" i="1"/>
  <c r="H110" i="1" s="1"/>
  <c r="G109" i="1"/>
  <c r="F109" i="1"/>
  <c r="D109" i="1"/>
  <c r="H109" i="1" s="1"/>
  <c r="G108" i="1"/>
  <c r="F108" i="1"/>
  <c r="D108" i="1"/>
  <c r="H108" i="1" s="1"/>
  <c r="G107" i="1"/>
  <c r="F107" i="1"/>
  <c r="D107" i="1"/>
  <c r="H107" i="1" s="1"/>
  <c r="G106" i="1"/>
  <c r="F106" i="1"/>
  <c r="D106" i="1"/>
  <c r="H106" i="1" s="1"/>
  <c r="G105" i="1"/>
  <c r="F105" i="1"/>
  <c r="D105" i="1"/>
  <c r="H105" i="1" s="1"/>
  <c r="G104" i="1"/>
  <c r="F104" i="1"/>
  <c r="D104" i="1"/>
  <c r="H104" i="1" s="1"/>
  <c r="G103" i="1"/>
  <c r="F103" i="1"/>
  <c r="D103" i="1"/>
  <c r="H103" i="1" s="1"/>
  <c r="H102" i="1"/>
  <c r="H101" i="1"/>
  <c r="H100" i="1"/>
  <c r="H99" i="1"/>
  <c r="H98" i="1"/>
  <c r="H97" i="1"/>
  <c r="H96" i="1"/>
  <c r="H95" i="1"/>
  <c r="G95" i="1"/>
  <c r="F95" i="1"/>
  <c r="D95" i="1"/>
  <c r="H94" i="1"/>
  <c r="G94" i="1"/>
  <c r="F94" i="1"/>
  <c r="D94" i="1"/>
  <c r="H93" i="1"/>
  <c r="G93" i="1"/>
  <c r="F93" i="1"/>
  <c r="D93" i="1"/>
  <c r="H92" i="1"/>
  <c r="G92" i="1"/>
  <c r="F92" i="1"/>
  <c r="D92" i="1"/>
  <c r="H91" i="1"/>
  <c r="G91" i="1"/>
  <c r="F91" i="1"/>
  <c r="D91" i="1"/>
  <c r="H90" i="1"/>
  <c r="G90" i="1"/>
  <c r="F90" i="1"/>
  <c r="D90" i="1"/>
  <c r="H89" i="1"/>
  <c r="G89" i="1"/>
  <c r="F89" i="1"/>
  <c r="D89" i="1"/>
  <c r="H88" i="1"/>
  <c r="G88" i="1"/>
  <c r="F88" i="1"/>
  <c r="D88" i="1"/>
  <c r="H87" i="1"/>
  <c r="G87" i="1"/>
  <c r="F87" i="1"/>
  <c r="D87" i="1"/>
  <c r="H86" i="1"/>
  <c r="H85" i="1"/>
  <c r="G84" i="1"/>
  <c r="F84" i="1"/>
  <c r="H84" i="1" s="1"/>
  <c r="D84" i="1"/>
  <c r="G83" i="1"/>
  <c r="F83" i="1"/>
  <c r="H83" i="1" s="1"/>
  <c r="D83" i="1"/>
  <c r="G82" i="1"/>
  <c r="F82" i="1"/>
  <c r="H82" i="1" s="1"/>
  <c r="D82" i="1"/>
  <c r="G81" i="1"/>
  <c r="F81" i="1"/>
  <c r="H81" i="1" s="1"/>
  <c r="D81" i="1"/>
  <c r="G80" i="1"/>
  <c r="F80" i="1"/>
  <c r="H80" i="1" s="1"/>
  <c r="D80" i="1"/>
  <c r="G79" i="1"/>
  <c r="F79" i="1"/>
  <c r="D79" i="1"/>
  <c r="G78" i="1"/>
  <c r="F78" i="1"/>
  <c r="D78" i="1"/>
  <c r="G77" i="1"/>
  <c r="F77" i="1"/>
  <c r="D77" i="1"/>
  <c r="H77" i="1" s="1"/>
  <c r="G76" i="1"/>
  <c r="F76" i="1"/>
  <c r="D76" i="1"/>
  <c r="G75" i="1"/>
  <c r="F75" i="1"/>
  <c r="D75" i="1"/>
  <c r="G74" i="1"/>
  <c r="F74" i="1"/>
  <c r="D74" i="1"/>
  <c r="G73" i="1"/>
  <c r="F73" i="1"/>
  <c r="D73" i="1"/>
  <c r="H73" i="1" s="1"/>
  <c r="H72" i="1"/>
  <c r="G71" i="1"/>
  <c r="H71" i="1" s="1"/>
  <c r="F71" i="1"/>
  <c r="D71" i="1"/>
  <c r="G70" i="1"/>
  <c r="H70" i="1" s="1"/>
  <c r="F70" i="1"/>
  <c r="D70" i="1"/>
  <c r="G69" i="1"/>
  <c r="H69" i="1" s="1"/>
  <c r="F69" i="1"/>
  <c r="D69" i="1"/>
  <c r="G68" i="1"/>
  <c r="H68" i="1" s="1"/>
  <c r="F68" i="1"/>
  <c r="D68" i="1"/>
  <c r="G67" i="1"/>
  <c r="H67" i="1" s="1"/>
  <c r="F67" i="1"/>
  <c r="D67" i="1"/>
  <c r="G66" i="1"/>
  <c r="H66" i="1" s="1"/>
  <c r="F66" i="1"/>
  <c r="D66" i="1"/>
  <c r="G65" i="1"/>
  <c r="H65" i="1" s="1"/>
  <c r="F65" i="1"/>
  <c r="D65" i="1"/>
  <c r="G64" i="1"/>
  <c r="H64" i="1" s="1"/>
  <c r="F64" i="1"/>
  <c r="D64" i="1"/>
  <c r="G63" i="1"/>
  <c r="H63" i="1" s="1"/>
  <c r="F63" i="1"/>
  <c r="D63" i="1"/>
  <c r="H62" i="1"/>
  <c r="H61" i="1"/>
  <c r="G61" i="1"/>
  <c r="F61" i="1"/>
  <c r="D61" i="1"/>
  <c r="H60" i="1"/>
  <c r="G60" i="1"/>
  <c r="F60" i="1"/>
  <c r="D60" i="1"/>
  <c r="H59" i="1"/>
  <c r="G59" i="1"/>
  <c r="F59" i="1"/>
  <c r="D59" i="1"/>
  <c r="H58" i="1"/>
  <c r="G58" i="1"/>
  <c r="F58" i="1"/>
  <c r="D58" i="1"/>
  <c r="H57" i="1"/>
  <c r="G57" i="1"/>
  <c r="F57" i="1"/>
  <c r="D57" i="1"/>
  <c r="H56" i="1"/>
  <c r="G56" i="1"/>
  <c r="F56" i="1"/>
  <c r="D56" i="1"/>
  <c r="H55" i="1"/>
  <c r="G55" i="1"/>
  <c r="F55" i="1"/>
  <c r="D55" i="1"/>
  <c r="H54" i="1"/>
  <c r="G54" i="1"/>
  <c r="F54" i="1"/>
  <c r="D54" i="1"/>
  <c r="H53" i="1"/>
  <c r="H52" i="1"/>
  <c r="H51" i="1"/>
  <c r="H50" i="1"/>
  <c r="H49" i="1"/>
  <c r="G48" i="1"/>
  <c r="F48" i="1"/>
  <c r="D48" i="1"/>
  <c r="H48" i="1" s="1"/>
  <c r="G47" i="1"/>
  <c r="F47" i="1"/>
  <c r="D47" i="1"/>
  <c r="H47" i="1" s="1"/>
  <c r="G46" i="1"/>
  <c r="F46" i="1"/>
  <c r="D46" i="1"/>
  <c r="H46" i="1" s="1"/>
  <c r="G45" i="1"/>
  <c r="F45" i="1"/>
  <c r="D45" i="1"/>
  <c r="H45" i="1" s="1"/>
  <c r="G44" i="1"/>
  <c r="F44" i="1"/>
  <c r="D44" i="1"/>
  <c r="H44" i="1" s="1"/>
  <c r="G43" i="1"/>
  <c r="F43" i="1"/>
  <c r="D43" i="1"/>
  <c r="H43" i="1" s="1"/>
  <c r="G42" i="1"/>
  <c r="F42" i="1"/>
  <c r="D42" i="1"/>
  <c r="H42" i="1" s="1"/>
  <c r="G41" i="1"/>
  <c r="F41" i="1"/>
  <c r="D41" i="1"/>
  <c r="H41" i="1" s="1"/>
  <c r="H40" i="1"/>
  <c r="H39" i="1"/>
  <c r="H38" i="1"/>
  <c r="H37" i="1"/>
  <c r="G36" i="1"/>
  <c r="F36" i="1"/>
  <c r="D36" i="1"/>
  <c r="H36" i="1" s="1"/>
  <c r="G35" i="1"/>
  <c r="F35" i="1"/>
  <c r="D35" i="1"/>
  <c r="H35" i="1" s="1"/>
  <c r="G34" i="1"/>
  <c r="F34" i="1"/>
  <c r="D34" i="1"/>
  <c r="H34" i="1" s="1"/>
  <c r="G33" i="1"/>
  <c r="F33" i="1"/>
  <c r="D33" i="1"/>
  <c r="G32" i="1"/>
  <c r="F32" i="1"/>
  <c r="D32" i="1"/>
  <c r="G31" i="1"/>
  <c r="F31" i="1"/>
  <c r="D31" i="1"/>
  <c r="H31" i="1" s="1"/>
  <c r="G30" i="1"/>
  <c r="F30" i="1"/>
  <c r="D30" i="1"/>
  <c r="H30" i="1" s="1"/>
  <c r="G29" i="1"/>
  <c r="F29" i="1"/>
  <c r="D29" i="1"/>
  <c r="G28" i="1"/>
  <c r="F28" i="1"/>
  <c r="D28" i="1"/>
  <c r="H27" i="1"/>
  <c r="H26" i="1"/>
  <c r="H25" i="1"/>
  <c r="H24" i="1"/>
  <c r="H23" i="1"/>
  <c r="G22" i="1"/>
  <c r="F22" i="1"/>
  <c r="H22" i="1" s="1"/>
  <c r="D22" i="1"/>
  <c r="G21" i="1"/>
  <c r="F21" i="1"/>
  <c r="H21" i="1" s="1"/>
  <c r="D21" i="1"/>
  <c r="G20" i="1"/>
  <c r="F20" i="1"/>
  <c r="D20" i="1"/>
  <c r="G19" i="1"/>
  <c r="F19" i="1"/>
  <c r="D19" i="1"/>
  <c r="G18" i="1"/>
  <c r="F18" i="1"/>
  <c r="H18" i="1" s="1"/>
  <c r="D18" i="1"/>
  <c r="G17" i="1"/>
  <c r="F17" i="1"/>
  <c r="D17" i="1"/>
  <c r="H17" i="1" s="1"/>
  <c r="G16" i="1"/>
  <c r="F16" i="1"/>
  <c r="D16" i="1"/>
  <c r="H16" i="1" s="1"/>
  <c r="H15" i="1"/>
  <c r="G15" i="1"/>
  <c r="F15" i="1"/>
  <c r="D15" i="1"/>
  <c r="G14" i="1"/>
  <c r="F14" i="1"/>
  <c r="D14" i="1"/>
  <c r="H14" i="1" s="1"/>
  <c r="G13" i="1"/>
  <c r="F13" i="1"/>
  <c r="D13" i="1"/>
  <c r="H13" i="1" s="1"/>
  <c r="G12" i="1"/>
  <c r="F12" i="1"/>
  <c r="D12" i="1"/>
  <c r="H12" i="1" s="1"/>
  <c r="H76" i="1" l="1"/>
  <c r="H133" i="1"/>
  <c r="H20" i="1"/>
  <c r="H29" i="1"/>
  <c r="H33" i="1"/>
  <c r="H75" i="1"/>
  <c r="H79" i="1"/>
  <c r="H132" i="1"/>
  <c r="H210" i="1"/>
  <c r="H19" i="1"/>
  <c r="H28" i="1"/>
  <c r="H32" i="1"/>
  <c r="H74" i="1"/>
  <c r="H78" i="1"/>
  <c r="H122" i="1"/>
  <c r="H131" i="1"/>
  <c r="H135" i="1"/>
  <c r="H179" i="1"/>
  <c r="H464" i="1"/>
  <c r="I749" i="1"/>
  <c r="H434" i="1"/>
  <c r="H463" i="1"/>
  <c r="H749" i="1"/>
  <c r="B753" i="1" s="1"/>
</calcChain>
</file>

<file path=xl/sharedStrings.xml><?xml version="1.0" encoding="utf-8"?>
<sst xmlns="http://schemas.openxmlformats.org/spreadsheetml/2006/main" count="2227" uniqueCount="1013">
  <si>
    <t>DEBE</t>
  </si>
  <si>
    <t>HABER</t>
  </si>
  <si>
    <t>C U E N T A</t>
  </si>
  <si>
    <t>C O N C E P T O</t>
  </si>
  <si>
    <t>SALDOS ACUMULADOS</t>
  </si>
  <si>
    <t>M O V I M I E N T O S</t>
  </si>
  <si>
    <t>SALDOS INICIALES</t>
  </si>
  <si>
    <t>H. AYUNTAMIENTO MUNICIPAL DE JOSE JOAQUIN DE HERRERA, GRO.</t>
  </si>
  <si>
    <t>TESORERIA MUNICIPAL</t>
  </si>
  <si>
    <t>SEGURIDAD PUBLICA</t>
  </si>
  <si>
    <t/>
  </si>
  <si>
    <t xml:space="preserve">BALANZA DE COMPROBACIÓN DEL 1 DE ENERO AL 30 DE JUNIO DEL 2024 </t>
  </si>
  <si>
    <t>AL 1 DE ENERO DE 2024</t>
  </si>
  <si>
    <t>ENERO - JUNIO 2024</t>
  </si>
  <si>
    <t>AL 30 DE JUNIO DE 2024</t>
  </si>
  <si>
    <t>1</t>
  </si>
  <si>
    <t>ACTIVO</t>
  </si>
  <si>
    <t>1 1</t>
  </si>
  <si>
    <t>ACTIVO CIRCULANTE</t>
  </si>
  <si>
    <t>1 1 1</t>
  </si>
  <si>
    <t>EFECTIVO Y EQUIVALENTES</t>
  </si>
  <si>
    <t>1 1 1 2</t>
  </si>
  <si>
    <t>BANCOS/TESORERÍA</t>
  </si>
  <si>
    <t>1 1 1 2 1</t>
  </si>
  <si>
    <t>BANCOS MONEDA NACIONAL</t>
  </si>
  <si>
    <t>1 1 1 2 1 12</t>
  </si>
  <si>
    <t>GUERRERO</t>
  </si>
  <si>
    <t>1 1 1 2 1 12 31111</t>
  </si>
  <si>
    <t>ORGANO EJECUTIVO MUNICIPAL (AYUNTAMIENTO)</t>
  </si>
  <si>
    <t>1 1 1 2 1 12 31111 6</t>
  </si>
  <si>
    <t>SECTOR PÚBLICO MUNICIPAL</t>
  </si>
  <si>
    <t>1 1 1 2 1 12 31111 6 M78</t>
  </si>
  <si>
    <t>JOSÉ JOAQUÍN DE HERRERA</t>
  </si>
  <si>
    <t>1 1 1 2 1 12 31111 6 M78 00003</t>
  </si>
  <si>
    <t>FONDO DE APORTACIONES P/EL FORTALECIMENTO DE LOS MUNICIPIOS</t>
  </si>
  <si>
    <t>1 1 1 2 1 12 31111 6 M78 00003 002</t>
  </si>
  <si>
    <t>ADMINISTRACION 2018-2021</t>
  </si>
  <si>
    <t>1 1 1 2 1 12 31111 6 M78 00003 002 005</t>
  </si>
  <si>
    <t>BANAMEX 7011 3762010 FORTAMUN 2021</t>
  </si>
  <si>
    <t>0</t>
  </si>
  <si>
    <t>1 1 1 2 1 12 31111 6 M78 00003 002 006</t>
  </si>
  <si>
    <t>BANAMEX 7012-5209244-3  FORTAMUN 2022</t>
  </si>
  <si>
    <t>1 1 1 2 1 12 31111 6 M78 00003 002 007</t>
  </si>
  <si>
    <t>BANAMEX 9940185972  INVERSIONES FORTAMUN 2022</t>
  </si>
  <si>
    <t>1 1 1 2 1 12 31111 6 M78 00003 002 008</t>
  </si>
  <si>
    <t>BANAMEX 7014 4640061 8 FORTAMUN 2023</t>
  </si>
  <si>
    <t>1 1 1 2 1 12 31111 6 M78 00003 002 009</t>
  </si>
  <si>
    <t xml:space="preserve">BANAMEX 7014 4640118 3 FORTAMUN 2024
</t>
  </si>
  <si>
    <t>1 1 2</t>
  </si>
  <si>
    <t>DERECHOS A RECIBIR EFECTIVO O EQUIVALENTES</t>
  </si>
  <si>
    <t>1 1 2 2</t>
  </si>
  <si>
    <t>CUENTAS POR COBRAR A CORTO PLAZO</t>
  </si>
  <si>
    <t>1 1 2 2 5</t>
  </si>
  <si>
    <t>CUENTAS POR COBRAR A LA FEDERACIÓN</t>
  </si>
  <si>
    <t>1 1 2 2 5 12</t>
  </si>
  <si>
    <t>1 1 2 2 5 12 31111</t>
  </si>
  <si>
    <t>1 1 2 2 5 12 31111 6</t>
  </si>
  <si>
    <t>1 1 2 2 5 12 31111 6 M78</t>
  </si>
  <si>
    <t>1 1 2 2 5 12 31111 6 M78 00003</t>
  </si>
  <si>
    <t>1 1 2 2 5 12 31111 6 M78 00003 002</t>
  </si>
  <si>
    <t>1 1 2 2 5 12 31111 6 M78 00003 002 001</t>
  </si>
  <si>
    <t>1 1 2 2 5 12 31111 6 M78 00003 002 003</t>
  </si>
  <si>
    <t>SUBSIDIO PARA EL EMPLEO</t>
  </si>
  <si>
    <t>1 1 2 2 5 12 31111 6 M78 00003 002 004</t>
  </si>
  <si>
    <t>SUBSIDIO PARA EL EMPLEO 2023</t>
  </si>
  <si>
    <t>1 1 2 2 5 12 31111 6 M78 00003 002 005</t>
  </si>
  <si>
    <t>SUBSIDIO PARA EL EMPLEO 2024</t>
  </si>
  <si>
    <t>1 1 2 3</t>
  </si>
  <si>
    <t>DEUDORES DIVERSOS POR COBRAR A CORTO PLAZO</t>
  </si>
  <si>
    <t>1 1 2 3 1</t>
  </si>
  <si>
    <t>DEUDORES DIVERSOS POR COBRAR A CP</t>
  </si>
  <si>
    <t>1 1 2 3 1 12</t>
  </si>
  <si>
    <t>1 1 2 3 1 12 31111</t>
  </si>
  <si>
    <t>1 1 2 3 1 12 31111 6</t>
  </si>
  <si>
    <t>1 1 2 3 1 12 31111 6 M78</t>
  </si>
  <si>
    <t>1 1 2 3 1 12 31111 6 M78 00003</t>
  </si>
  <si>
    <t>1 1 2 3 1 12 31111 6 M78 00003 002</t>
  </si>
  <si>
    <t>ADMINISTRACION  2018-2021</t>
  </si>
  <si>
    <t>1 1 2 3 1 12 31111 6 M78 00003 002 001</t>
  </si>
  <si>
    <t>ALBERTO CASTRO FLORES</t>
  </si>
  <si>
    <t>1 1 2 3 1 12 31111 6 M78 00003 002 011</t>
  </si>
  <si>
    <t>COMISION FEDERAL DE ELECTRICIDAD</t>
  </si>
  <si>
    <t>1 1 2 3 1 12 31111 6 M78 00003 002 012</t>
  </si>
  <si>
    <t>GASTO CORRIENTE 2023</t>
  </si>
  <si>
    <t>1 1 2 3 1 12 31111 6 M78 00003 002 013</t>
  </si>
  <si>
    <t>INGRESOS FISCALES 2023</t>
  </si>
  <si>
    <t>1 1 2 3 1 12 31111 6 M78 00003 002 014</t>
  </si>
  <si>
    <t>GASTO CORRIENTE 2024</t>
  </si>
  <si>
    <t>1 1 2 4</t>
  </si>
  <si>
    <t>INGRESOS POR RECUPERAR A CORTO PLAZO</t>
  </si>
  <si>
    <t>1 1 2 4 4</t>
  </si>
  <si>
    <t>PRODUCTOS POR COBRAR</t>
  </si>
  <si>
    <t>1 1 2 4 4 12</t>
  </si>
  <si>
    <t>1 1 2 4 4 12 31111</t>
  </si>
  <si>
    <t>1 1 2 4 4 12 31111 6</t>
  </si>
  <si>
    <t>1 1 2 4 4 12 31111 6 M78</t>
  </si>
  <si>
    <t>1 1 2 4 4 12 31111 6 M78 00003</t>
  </si>
  <si>
    <t>1 1 2 4 4 12 31111 6 M78 00003 002</t>
  </si>
  <si>
    <t>1 1 2 4 4 12 31111 6 M78 00003 002 001</t>
  </si>
  <si>
    <t>PRODUCTOS</t>
  </si>
  <si>
    <t>1 1 3</t>
  </si>
  <si>
    <t>DERECHOS A RECIBIR BIENES O SERVICIOS</t>
  </si>
  <si>
    <t>1 1 3 1</t>
  </si>
  <si>
    <t>ANTICIPO A PROVEEDORES POR ADQUISICIÓN DE BIENES Y PRESTACIÓN DE SERVICIOS A CORTO PLAZO</t>
  </si>
  <si>
    <t>1 1 3 1 1</t>
  </si>
  <si>
    <t>1 1 3 1 1 12</t>
  </si>
  <si>
    <t>1 1 3 1 1 12 31111</t>
  </si>
  <si>
    <t>1 1 3 1 1 12 31111 6</t>
  </si>
  <si>
    <t>1 1 3 1 1 12 31111 6 M78</t>
  </si>
  <si>
    <t>JOSE JOAQUIN DE HERRERA</t>
  </si>
  <si>
    <t>1 1 3 1 1 12 31111 6 M78 00003</t>
  </si>
  <si>
    <t>FONDO DE APORTACIONES PARA EL FORTALECIMIENTO DE LOS MUNICIPIOS</t>
  </si>
  <si>
    <t>1 1 3 1 1 12 31111 6 M78 00003 002</t>
  </si>
  <si>
    <t>ADMINISTRACIÓN 2018-2021</t>
  </si>
  <si>
    <t>1 1 3 1 1 12 31111 6 M78 00003 002 005</t>
  </si>
  <si>
    <t>SECRETARÍA DE SEGURIDAD PÚBLICA DEL ESTADO DE GUERRERO</t>
  </si>
  <si>
    <t>1 2</t>
  </si>
  <si>
    <t>ACTIVO NO CIRCULANTE</t>
  </si>
  <si>
    <t>1 2 4</t>
  </si>
  <si>
    <t>BIENES MUEBLES</t>
  </si>
  <si>
    <t>1 2 4 1</t>
  </si>
  <si>
    <t>MOBILIARIO Y EQUIPO DE ADMINISTRACIÓN</t>
  </si>
  <si>
    <t>1 2 4 1 1</t>
  </si>
  <si>
    <t>MUEBLES DE OFICINA Y ESTANTERÍA</t>
  </si>
  <si>
    <t>1 2 4 1 1 12</t>
  </si>
  <si>
    <t>1 2 4 1 1 12 31111</t>
  </si>
  <si>
    <t>1 2 4 1 1 12 31111 6</t>
  </si>
  <si>
    <t>1 2 4 1 1 12 31111 6 M78</t>
  </si>
  <si>
    <t>1 2 4 1 1 12 31111 6 M78 00000</t>
  </si>
  <si>
    <t>SIN ETIQUETA - 0 - 000</t>
  </si>
  <si>
    <t>1 2 4 1 1 12 31111 6 M78 00000 003</t>
  </si>
  <si>
    <t>1 2 4 1 1 12 31111 6 M78 00000 003 001</t>
  </si>
  <si>
    <t>ADMINISTRACION ANTERIOR</t>
  </si>
  <si>
    <t>1 2 4 1 1 12 31111 6 M78 00000 003 001 001</t>
  </si>
  <si>
    <t>1 2 4 1 1 12 31111 6 M78 00000 003 001 001 00001</t>
  </si>
  <si>
    <t>ESCRITORIO METALICO DE 2 CAJONES CON CERRADURAS</t>
  </si>
  <si>
    <t>1 2 4 1 1 12 31111 6 M78 00000 003 001 001 00002</t>
  </si>
  <si>
    <t>EQUIPO DE ESCRITORIO ENSAMBLADO</t>
  </si>
  <si>
    <t>1 2 4 1 3</t>
  </si>
  <si>
    <t>EQUIPO DE CÓMPUTO Y DE TECNOLOGÍAS DE LA INFORMACIÓN</t>
  </si>
  <si>
    <t>1 2 4 1 3 12</t>
  </si>
  <si>
    <t>1 2 4 1 3 12 31111</t>
  </si>
  <si>
    <t>1 2 4 1 3 12 31111 6</t>
  </si>
  <si>
    <t>1 2 4 1 3 12 31111 6 M78</t>
  </si>
  <si>
    <t>1 2 4 1 3 12 31111 6 M78 00000</t>
  </si>
  <si>
    <t>1 2 4 1 3 12 31111 6 M78 00000 003</t>
  </si>
  <si>
    <t>1 2 4 1 3 12 31111 6 M78 00000 003 001</t>
  </si>
  <si>
    <t>ADMON. ANTERIOR</t>
  </si>
  <si>
    <t>1 2 4 1 3 12 31111 6 M78 00000 003 001 001</t>
  </si>
  <si>
    <t>1 2 4 1 3 12 31111 6 M78 00000 003 001 001 00001</t>
  </si>
  <si>
    <t>IMPRESORA ZEBRA</t>
  </si>
  <si>
    <t>1 2 4 1 3 12 31111 6 M78 00000 003 001 001 00002</t>
  </si>
  <si>
    <t>LAPTOP MODELO 245</t>
  </si>
  <si>
    <t>1 2 4 1 3 12 31111 6 M78 00000 003 001 001 00003</t>
  </si>
  <si>
    <t>1 2 4 1 3 12 31111 6 M78 00000 003 001 001 00004</t>
  </si>
  <si>
    <t>LAPTOP MP PAWNON</t>
  </si>
  <si>
    <t>1 2 4 1 3 12 31111 6 M78 00000 003 001 001 00005</t>
  </si>
  <si>
    <t>PROYECTOR PANASONIC</t>
  </si>
  <si>
    <t>1 2 4 1 3 12 31111 6 M78 00000 003 001 001 00006</t>
  </si>
  <si>
    <t>FUENTE DE PODER REGULADOR ASTRO</t>
  </si>
  <si>
    <t>1 2 4 1 3 12 31111 6 M78 00000 003 001 001 00007</t>
  </si>
  <si>
    <t>IMPRESORA EPSON L310</t>
  </si>
  <si>
    <t>1 2 4 1 3 12 31111 6 M78 15000</t>
  </si>
  <si>
    <t>DIRECCION DE SEGURIDAD PUBLICA</t>
  </si>
  <si>
    <t>1 2 4 1 3 12 31111 6 M78 15000 171</t>
  </si>
  <si>
    <t>POLICÍA</t>
  </si>
  <si>
    <t>1 2 4 1 3 12 31111 6 M78 15000 171 00I</t>
  </si>
  <si>
    <t>GASTO FEDERALIZADO</t>
  </si>
  <si>
    <t>1 2 4 1 3 12 31111 6 M78 15000 171 00I 002</t>
  </si>
  <si>
    <t>GASTO DE CAPITAL</t>
  </si>
  <si>
    <t>1 2 4 1 3 12 31111 6 M78 15000 171 00I 002 51501</t>
  </si>
  <si>
    <t>BIENES INFORMATICOS.</t>
  </si>
  <si>
    <t>1 2 4 1 3 12 31111 6 M78 15000 171 00I 002 51501 025</t>
  </si>
  <si>
    <t>25 - RECURSOS FEDERALES</t>
  </si>
  <si>
    <t>1 2 4 1 3 12 31111 6 M78 15000 171 00I 002 51501 025 2112000</t>
  </si>
  <si>
    <t>COMPRA DE BIENES Y SERVICIOS</t>
  </si>
  <si>
    <t>1 2 4 1 3 12 31111 6 M78 15000 171 00I 002 51501 025 2112000 2019</t>
  </si>
  <si>
    <t>EJERCICIO 2019</t>
  </si>
  <si>
    <t>1 2 4 1 3 12 31111 6 M78 15000 171 00I 002 51501 025 2112000 2019 00000000</t>
  </si>
  <si>
    <t>SIN PRIORIDAD</t>
  </si>
  <si>
    <t>1 2 4 1 3 12 31111 6 M78 15000 171 00I 002 51501 025 2112000 2019 00000000 003</t>
  </si>
  <si>
    <t>1 2 4 1 3 12 31111 6 M78 15000 171 00I 002 51501 025 2112000 2019 00000000 003 015</t>
  </si>
  <si>
    <t>1 2 4 1 3 12 31111 6 M78 15000 171 00I 002 51501 025 2112000 2019 00000000 003 015 001</t>
  </si>
  <si>
    <t>IMPRESORA MULTIFUNCIONAL EPSON L575</t>
  </si>
  <si>
    <t>1 2 4 1 3 12 31111 6 M78 15000 171 00I 002 51501 025 2112000 2023</t>
  </si>
  <si>
    <t>EJERCICIO 2023</t>
  </si>
  <si>
    <t>1 2 4 1 3 12 31111 6 M78 15000 171 00I 002 51501 025 2112000 2023 00000000</t>
  </si>
  <si>
    <t>1 2 4 1 3 12 31111 6 M78 15000 171 00I 002 51501 025 2112000 2023 00000000 003</t>
  </si>
  <si>
    <t>1 2 4 1 3 12 31111 6 M78 15000 171 00I 002 51501 025 2112000 2023 00000000 003 015</t>
  </si>
  <si>
    <t>1 2 4 1 3 12 31111 6 M78 15000 171 00I 002 51501 025 2112000 2023 00000000 003 015 002</t>
  </si>
  <si>
    <t>COMPUTDORA DELL INSPIRON 24 ALL IN ONE, MODELO 5410, WHITE PANTALLA DE 23.8" TCOUCH DISPLAY INTEL CORE I5-1235U´PROCESSOR 12 GB DE MEMORIA RAM 256 GB SSD + 1TB HDD, WINDOWS 11 HOME</t>
  </si>
  <si>
    <t>1 2 4 1 9</t>
  </si>
  <si>
    <t>OTROS MOBILIARIOS Y EQUIPOS DE ADMINISTRACIÓN</t>
  </si>
  <si>
    <t>1 2 4 1 9 12</t>
  </si>
  <si>
    <t>1 2 4 1 9 12 31111</t>
  </si>
  <si>
    <t>1 2 4 1 9 12 31111 6</t>
  </si>
  <si>
    <t>1 2 4 1 9 12 31111 6 M78</t>
  </si>
  <si>
    <t>1 2 4 1 9 12 31111 6 M78 00000</t>
  </si>
  <si>
    <t>1 2 4 1 9 12 31111 6 M78 00000 003</t>
  </si>
  <si>
    <t>1 2 4 1 9 12 31111 6 M78 00000 003 001</t>
  </si>
  <si>
    <t>1 2 4 1 9 12 31111 6 M78 00000 003 001 001</t>
  </si>
  <si>
    <t>1 2 4 1 9 12 31111 6 M78 00000 003 001 001 00001</t>
  </si>
  <si>
    <t>ENFRIADOR DE DOS TEMPERATURAS</t>
  </si>
  <si>
    <t>1 2 4 4</t>
  </si>
  <si>
    <t>VEHÍCULOS Y EQUIPO DE TRANSPORTE</t>
  </si>
  <si>
    <t>1 2 4 4 1</t>
  </si>
  <si>
    <t>AUTOMÓVILES Y EQUIPO TERRESTRE</t>
  </si>
  <si>
    <t>1 2 4 4 1 12</t>
  </si>
  <si>
    <t>1 2 4 4 1 12 31111</t>
  </si>
  <si>
    <t>1 2 4 4 1 12 31111 6</t>
  </si>
  <si>
    <t>1 2 4 4 1 12 31111 6 M78</t>
  </si>
  <si>
    <t>1 2 4 4 1 12 31111 6 M78 00000</t>
  </si>
  <si>
    <t>1 2 4 4 1 12 31111 6 M78 00000 003</t>
  </si>
  <si>
    <t>1 2 4 4 1 12 31111 6 M78 00000 003 001</t>
  </si>
  <si>
    <t>1 2 4 4 1 12 31111 6 M78 00000 003 001 001</t>
  </si>
  <si>
    <t>1 2 4 4 1 12 31111 6 M78 00000 003 001 001 00001</t>
  </si>
  <si>
    <t>CAMIONETA F-150XLXA BLANCA 2013</t>
  </si>
  <si>
    <t>1 2 4 4 1 12 31111 6 M78 00000 003 001 001 00002</t>
  </si>
  <si>
    <t>MOTOCICLETA AMARILLA ITALIKA 2014</t>
  </si>
  <si>
    <t>1 2 4 4 1 12 31111 6 M78 00000 003 001 001 00003</t>
  </si>
  <si>
    <t>1 2 4 4 1 12 31111 6 M78 00000 003 001 001 00004</t>
  </si>
  <si>
    <t>CAMIONETA HILUX DC 4X2 TOYOTA GRIS</t>
  </si>
  <si>
    <t>1 2 4 4 1 12 31111 6 M78 00000 003 001 001 00006</t>
  </si>
  <si>
    <t>1 2 4 4 1 12 31111 6 M78 00000 003 001 001 00007</t>
  </si>
  <si>
    <t>MOTOCICLETA AMARILLA/NEGRO ITALIKA 2014</t>
  </si>
  <si>
    <t>1 2 4 4 1 12 31111 6 M78 00000 003 001 001 00008</t>
  </si>
  <si>
    <t>MOTOCICLETA NUEVA SERIE LZSK4FKK0NF051368, CILINDRAJE 250CC, MARCA ITALIKA MODELO DM250, AÑO 2022, COLOR NARANJA-NEGRO, NO. MOTOR  ZS167FMM5N123662</t>
  </si>
  <si>
    <t>1 2 4 4 1 12 31111 6 M78 00000 003 001 001 00009</t>
  </si>
  <si>
    <t>MOTOCICLETA NUEVA SERIE 35CKZAER3P1002870, CILINDRAJE 150CC, MARCA ITALIKA MODELO FT150, AÑO 2023, COLOR GRIS-NEGRO, NO. MOTOR  LC162FMJVQ194108</t>
  </si>
  <si>
    <t>1 2 4 4 1 12 31111 6 M78 00000 003 001 001 00010</t>
  </si>
  <si>
    <t>MOTOCICLETA NUEVA SERIE 35CK2DEU1N1014213, CILINDRAJE 180CC, MARCA ITALIKA MODELO FT180, AÑO 2023, COLOR NEGRO-AZUL, NO. MOTOR  RW162FMK2200015088</t>
  </si>
  <si>
    <t>1 2 4 4 1 12 31111 6 M78 00000 003 001 002</t>
  </si>
  <si>
    <t>PATRULLAS</t>
  </si>
  <si>
    <t>1 2 4 4 1 12 31111 6 M78 00000 003 001 002 00001</t>
  </si>
  <si>
    <t>FORD F-150 XL REG CAB 4X2 3 7L V6 BLANCA 2013</t>
  </si>
  <si>
    <t>1 2 4 4 1 12 31111 6 M78 00000 003 001 002 00002</t>
  </si>
  <si>
    <t>CAMIONETA RAM 1500 DODGE BLANCA 2013</t>
  </si>
  <si>
    <t>1 2 4 4 1 12 31111 6 M78 00000 003 001 002 00003</t>
  </si>
  <si>
    <t>TOYOTA MODELO 2017 HILUX BLANCA</t>
  </si>
  <si>
    <t>1 2 4 4 1 12 31111 6 M78 00000 003 002</t>
  </si>
  <si>
    <t>1 2 4 4 1 12 31111 6 M78 00000 003 002 001</t>
  </si>
  <si>
    <t>PROTECCION CIVIL</t>
  </si>
  <si>
    <t>1 2 4 4 1 12 31111 6 M78 00000 003 002 001 00001</t>
  </si>
  <si>
    <t>AMBULANCIA CHEVROLET BLANCA 2009</t>
  </si>
  <si>
    <t>1 2 4 4 1 12 31111 6 M78 15000</t>
  </si>
  <si>
    <t>1 2 4 4 1 12 31111 6 M78 15000 171</t>
  </si>
  <si>
    <t>1 2 4 4 1 12 31111 6 M78 15000 171 00I</t>
  </si>
  <si>
    <t>1 2 4 4 1 12 31111 6 M78 15000 171 00I 002</t>
  </si>
  <si>
    <t>1 2 4 4 1 12 31111 6 M78 15000 171 00I 002 54105</t>
  </si>
  <si>
    <t>VEHICULOS Y EQUIPO TERRESTRES DESTINADOS A SERVIDORES PUBLICOS.</t>
  </si>
  <si>
    <t>1 2 4 4 1 12 31111 6 M78 15000 171 00I 002 54105 025</t>
  </si>
  <si>
    <t>1 2 4 4 1 12 31111 6 M78 15000 171 00I 002 54105 025 2222100</t>
  </si>
  <si>
    <t>EQUIPO DE TRANSPORTE</t>
  </si>
  <si>
    <t>1 2 4 4 1 12 31111 6 M78 15000 171 00I 002 54105 025 2222100 2020</t>
  </si>
  <si>
    <t>EJERCICIO 2020</t>
  </si>
  <si>
    <t>1 2 4 4 1 12 31111 6 M78 15000 171 00I 002 54105 025 2222100 2020 00000000</t>
  </si>
  <si>
    <t>1 2 4 4 1 12 31111 6 M78 15000 171 00I 002 54105 025 2222100 2020 00000000 003</t>
  </si>
  <si>
    <t>1 2 4 4 1 12 31111 6 M78 15000 171 00I 002 54105 025 2222100 2020 00000000 003 002</t>
  </si>
  <si>
    <t>SINDICATURA</t>
  </si>
  <si>
    <t>1 2 4 4 1 12 31111 6 M78 15000 171 00I 002 54105 025 2222100 2020 00000000 003 002 001</t>
  </si>
  <si>
    <t>VEHICULO NUEVO MARCA TOYOTA MODELO 2020 HILUX DC BASE 4X2. COLOR EXTERIOR PLATA METALICO, TRANSMISION, No. PUERTAS 4 No. MOTOR 2TR-A33543. No. SERIE MR0EX3DD7L0005881.</t>
  </si>
  <si>
    <t>1 2 4 4 1 12 31111 6 M78 15000 171 00I 002 54105 025 2222100 2021</t>
  </si>
  <si>
    <t>EJERCICIO 2021</t>
  </si>
  <si>
    <t>1 2 4 4 1 12 31111 6 M78 15000 171 00I 002 54105 025 2222100 2021 00000000</t>
  </si>
  <si>
    <t>1 2 4 4 1 12 31111 6 M78 15000 171 00I 002 54105 025 2222100 2021 00000000 003</t>
  </si>
  <si>
    <t>1 2 4 4 1 12 31111 6 M78 15000 171 00I 002 54105 025 2222100 2021 00000000 003 002</t>
  </si>
  <si>
    <t>1 2 4 4 1 12 31111 6 M78 15000 171 00I 002 54105 025 2222100 2021 00000000 003 002 001</t>
  </si>
  <si>
    <t>VEHICULO NUEVO MARCA TOYOTA MODELO 2020 HILUX DC BASE 4X2. COLOR EXTERIOR BLANCO, TRANSMISION, No. PUERTAS 4 No. MOTOR 2TR-A733161. No. SERIE MR0EX3DD7L0005884.</t>
  </si>
  <si>
    <t>1 2 4 4 1 12 31111 6 M78 15000 171 00I 002 54105 025 2222100 2022</t>
  </si>
  <si>
    <t>EJERCICIO 2022</t>
  </si>
  <si>
    <t>1 2 4 4 1 12 31111 6 M78 15000 171 00I 002 54105 025 2222100 2022 00000000</t>
  </si>
  <si>
    <t>1 2 4 4 1 12 31111 6 M78 15000 171 00I 002 54105 025 2222100 2022 00000000 003</t>
  </si>
  <si>
    <t>1 2 4 4 1 12 31111 6 M78 15000 171 00I 002 54105 025 2222100 2022 00000000 003 002</t>
  </si>
  <si>
    <t>1 2 4 4 1 12 31111 6 M78 15000 171 00I 002 54105 025 2222100 2022 00000000 003 002 003</t>
  </si>
  <si>
    <t>VEHICULO NUEVO MARCA TOYOTA MODELO 2022</t>
  </si>
  <si>
    <t>1 2 4 4 1 12 31111 6 M78 15000 171 00I 002 54105 025 2222100 2023</t>
  </si>
  <si>
    <t>1 2 4 4 1 12 31111 6 M78 15000 171 00I 002 54105 025 2222100 2023 00000000</t>
  </si>
  <si>
    <t>1 2 4 4 1 12 31111 6 M78 15000 171 00I 002 54105 025 2222100 2023 00000000 003</t>
  </si>
  <si>
    <t>1 2 4 4 1 12 31111 6 M78 15000 171 00I 002 54105 025 2222100 2023 00000000 003 002</t>
  </si>
  <si>
    <t>1 2 4 4 1 12 31111 6 M78 15000 171 00I 002 54105 025 2222100 2023 00000000 003 002 003</t>
  </si>
  <si>
    <t>1 2 4 6</t>
  </si>
  <si>
    <t>MAQUINARIA, OTROS EQUIPOS Y HERRAMIENTAS</t>
  </si>
  <si>
    <t>1 2 4 6 5</t>
  </si>
  <si>
    <t>EQUIPO DE COMUNICACIÓN Y TELECOMUNICACIÓN</t>
  </si>
  <si>
    <t>1 2 4 6 5 12</t>
  </si>
  <si>
    <t>1 2 4 6 5 12 31111</t>
  </si>
  <si>
    <t>1 2 4 6 5 12 31111 6</t>
  </si>
  <si>
    <t>1 2 4 6 5 12 31111 6 M78</t>
  </si>
  <si>
    <t>1 2 4 6 5 12 31111 6 M78 00000</t>
  </si>
  <si>
    <t>1 2 4 6 5 12 31111 6 M78 00000 003</t>
  </si>
  <si>
    <t>1 2 4 6 5 12 31111 6 M78 00000 003 001</t>
  </si>
  <si>
    <t>1 2 4 6 5 12 31111 6 M78 00000 003 001 001</t>
  </si>
  <si>
    <t>1 2 4 6 5 12 31111 6 M78 00000 003 001 001 00001</t>
  </si>
  <si>
    <t>RADIO TRANCEPTOR PORTATIL EN BANDA VHF 16 CANALES</t>
  </si>
  <si>
    <t>1 2 4 6 5 12 31111 6 M78 00000 003 001 001 00002</t>
  </si>
  <si>
    <t>5 RADIOS PORTATIL KEWWOOD16 CANALES</t>
  </si>
  <si>
    <t>1 2 4 6 5 12 31111 6 M78 00000 003 001 001 00003</t>
  </si>
  <si>
    <t>6 RADIOS PORTATIL ICOM16 CANALES</t>
  </si>
  <si>
    <t>1 2 4 6 5 12 31111 6 M78 00000 003 001 001 00004</t>
  </si>
  <si>
    <t>REPETIDOR KEWWOD</t>
  </si>
  <si>
    <t>1 2 4 6 5 12 31111 6 M78 00000 003 001 001 00005</t>
  </si>
  <si>
    <t>2 RADIOS PORTATIL KEWWOOD</t>
  </si>
  <si>
    <t>1 2 4 6 5 12 31111 6 M78 15000</t>
  </si>
  <si>
    <t>1 2 4 6 5 12 31111 6 M78 15000 171</t>
  </si>
  <si>
    <t>1 2 4 6 5 12 31111 6 M78 15000 171 00I</t>
  </si>
  <si>
    <t>1 2 4 6 5 12 31111 6 M78 15000 171 00I 002</t>
  </si>
  <si>
    <t>1 2 4 6 5 12 31111 6 M78 15000 171 00I 002 56501</t>
  </si>
  <si>
    <t>EQUIPOS Y APARATOS DE COMUNICACIONES Y TELECOMUNICACIONES.</t>
  </si>
  <si>
    <t>1 2 4 6 5 12 31111 6 M78 15000 171 00I 002 56501 025</t>
  </si>
  <si>
    <t>1 2 4 6 5 12 31111 6 M78 15000 171 00I 002 56501 025 2112000</t>
  </si>
  <si>
    <t>1 2 4 6 5 12 31111 6 M78 15000 171 00I 002 56501 025 2112000 2019</t>
  </si>
  <si>
    <t>1 2 4 6 5 12 31111 6 M78 15000 171 00I 002 56501 025 2112000 2019 00000000</t>
  </si>
  <si>
    <t>1 2 4 6 5 12 31111 6 M78 15000 171 00I 002 56501 025 2112000 2019 00000000 003</t>
  </si>
  <si>
    <t>1 2 4 6 5 12 31111 6 M78 15000 171 00I 002 56501 025 2112000 2019 00000000 003 015</t>
  </si>
  <si>
    <t>DIRECION SEGURIDAD PUBLICA</t>
  </si>
  <si>
    <t>1 2 4 6 5 12 31111 6 M78 15000 171 00I 002 56501 025 2112000 2019 00000000 003 015 001</t>
  </si>
  <si>
    <t>10 RADIOS PORTATIL ICOM, ANTENA,BATERIA Y CARGADOR.</t>
  </si>
  <si>
    <t>1 2 4 6 5 12 31111 6 M78 15000 171 00I 002 56501 025 2112000 2024</t>
  </si>
  <si>
    <t>EJERCICIO 2024</t>
  </si>
  <si>
    <t>1 2 4 6 5 12 31111 6 M78 15000 171 00I 002 56501 025 2112000 2024 00000000</t>
  </si>
  <si>
    <t>1 2 4 6 5 12 31111 6 M78 15000 171 00I 002 56501 025 2112000 2024 00000000 003</t>
  </si>
  <si>
    <t>1 2 4 6 5 12 31111 6 M78 15000 171 00I 002 56501 025 2112000 2024 00000000 003 015</t>
  </si>
  <si>
    <t>1 2 4 6 5 12 31111 6 M78 15000 171 00I 002 56501 025 2112000 2024 00000000 003 015 002</t>
  </si>
  <si>
    <t>2 RADIOS PORTATIL ICOM, ICF 3003 5 WATTS, 16 CANALES, SERIE58019761 58020042</t>
  </si>
  <si>
    <t>1 2 4 6 5 12 31111 6 M78 15000 171 00I 002 56501 025 2112000 2024 00000000 003 015 003</t>
  </si>
  <si>
    <t>1 RADIOS PORTATIL ICOM, MODELO ICF 30215 S 5 WATTS, 126 CANALES, SERIE 4120654</t>
  </si>
  <si>
    <t>1 2 4 6 5 12 31111 6 M78 15000 171 00I 002 56501 025 2112000 2024 00000000 003 015 004</t>
  </si>
  <si>
    <t>1 RADIOS PORTATIL ICOM, MODELO ICF 3103D DIGITAL 5 WATTS, 16 CANALES, SERIE 13004960-1</t>
  </si>
  <si>
    <t>2</t>
  </si>
  <si>
    <t>PASIVO</t>
  </si>
  <si>
    <t>2 1</t>
  </si>
  <si>
    <t>PASIVO CIRCULANTE</t>
  </si>
  <si>
    <t>2 1 1</t>
  </si>
  <si>
    <t>CUENTAS POR PAGAR A CORTO PLAZO</t>
  </si>
  <si>
    <t>2 1 1 1</t>
  </si>
  <si>
    <t>SERVICIOS PERSONALES POR PAGAR A CORTO PLAZO</t>
  </si>
  <si>
    <t>2 1 1 1 1</t>
  </si>
  <si>
    <t>REMUNERACIÓN POR PAGAR AL PERSONAL DE CARÁCTER PERMANENTE A CP</t>
  </si>
  <si>
    <t>2 1 1 1 1 12</t>
  </si>
  <si>
    <t>2 1 1 1 1 12 31111</t>
  </si>
  <si>
    <t>2 1 1 1 1 12 31111 6</t>
  </si>
  <si>
    <t>2 1 1 1 1 12 31111 6 M78</t>
  </si>
  <si>
    <t>2 1 1 1 1 12 31111 6 M78 00003</t>
  </si>
  <si>
    <t>FONDO PARA EL FORTALECIMIENTO DE LOS MUNICIPIOS</t>
  </si>
  <si>
    <t>2 1 1 1 1 12 31111 6 M78 00003 002</t>
  </si>
  <si>
    <t>COMISARIOS MUNICIPALES</t>
  </si>
  <si>
    <t>2 1 1 1 1 12 31111 6 M78 00003 006</t>
  </si>
  <si>
    <t>SUELDOS POR PAGAR</t>
  </si>
  <si>
    <t>2 1 1 2</t>
  </si>
  <si>
    <t>PROVEEDORES POR PAGAR A CORTO PLAZO</t>
  </si>
  <si>
    <t>2 1 1 2 1</t>
  </si>
  <si>
    <t>DEUDAS POR ADQUISICIÓN DE BIENES Y CONTRATACIÓN DE SERVICIOS POR PAGAR A CP</t>
  </si>
  <si>
    <t>2 1 1 2 1 12</t>
  </si>
  <si>
    <t>2 1 1 2 1 12 31111</t>
  </si>
  <si>
    <t>2 1 1 2 1 12 31111 6</t>
  </si>
  <si>
    <t>2 1 1 2 1 12 31111 6 M78</t>
  </si>
  <si>
    <t>2 1 1 2 1 12 31111 6 M78 00003</t>
  </si>
  <si>
    <t>2 1 1 2 1 12 31111 6 M78 00003 001</t>
  </si>
  <si>
    <t>2 1 1 2 1 12 31111 6 M78 00003 002</t>
  </si>
  <si>
    <t>C.F.E SUMINISTRADOR DE SERVICOS BASICOS.</t>
  </si>
  <si>
    <t>2 1 1 2 1 12 31111 6 M78 00003 003</t>
  </si>
  <si>
    <t>SERVICIOS MONTAÑAS DEL SUR S.A. DE C.V.</t>
  </si>
  <si>
    <t>2 1 1 2 1 12 31111 6 M78 00003 038</t>
  </si>
  <si>
    <t>JUAN CARLOS MORALES MENESES</t>
  </si>
  <si>
    <t>2 1 1 2 1 12 31111 6 M78 00003 048</t>
  </si>
  <si>
    <t>JOSE CARLOS BELLO SILVA</t>
  </si>
  <si>
    <t>2 1 1 2 1 12 31111 6 M78 00003 053</t>
  </si>
  <si>
    <t>JOSE ALBERTO SANCHEZ CRESPO</t>
  </si>
  <si>
    <t>2 1 1 2 1 12 31111 6 M78 00003 054</t>
  </si>
  <si>
    <t>JESUS SAIDT HERNANDEZ RIVERA</t>
  </si>
  <si>
    <t>2 1 1 2 1 12 31111 6 M78 00003 056</t>
  </si>
  <si>
    <t>COMERCIALIZADORA BEROM, S.A. DE C.V.</t>
  </si>
  <si>
    <t>2 1 1 2 1 12 31111 6 M78 00003 066</t>
  </si>
  <si>
    <t>CHRISTIAN GREGORIO ADAME TEOFILO</t>
  </si>
  <si>
    <t>2 1 1 2 1 12 31111 6 M78 00003 073</t>
  </si>
  <si>
    <t>ULISES HERNÁNDEZ TEPEC</t>
  </si>
  <si>
    <t>2 1 1 2 1 12 31111 6 M78 00003 074</t>
  </si>
  <si>
    <t>GRUPO EMPRESARIAL LA LOMA DE GUERRERO</t>
  </si>
  <si>
    <t>2 1 1 2 1 12 31111 6 M78 00003 075</t>
  </si>
  <si>
    <t>SANDRA IVETTEVILLALVA BARCA</t>
  </si>
  <si>
    <t>2 1 1 7</t>
  </si>
  <si>
    <t>RETENCIONES Y CONTRIBUCIONES POR PAGAR A CORTO PLAZO</t>
  </si>
  <si>
    <t>2 1 1 7 1</t>
  </si>
  <si>
    <t>RETENCIONES DE IMPUESTOS POR PAGAR A CP</t>
  </si>
  <si>
    <t>2 1 1 7 1 12</t>
  </si>
  <si>
    <t>2 1 1 7 1 12 31111</t>
  </si>
  <si>
    <t>2 1 1 7 1 12 31111 6</t>
  </si>
  <si>
    <t>2 1 1 7 1 12 31111 6 M78</t>
  </si>
  <si>
    <t>2 1 1 7 1 12 31111 6 M78 00003</t>
  </si>
  <si>
    <t>2 1 1 7 1 12 31111 6 M78 00003 003</t>
  </si>
  <si>
    <t>ISR 2020</t>
  </si>
  <si>
    <t>2 1 1 7 1 12 31111 6 M78 00003 004</t>
  </si>
  <si>
    <t>ISR 2021</t>
  </si>
  <si>
    <t>2 1 1 7 1 12 31111 6 M78 00003 005</t>
  </si>
  <si>
    <t>ISR 2022</t>
  </si>
  <si>
    <t>2 1 1 7 1 12 31111 6 M78 00003 006</t>
  </si>
  <si>
    <t>ISR 2023</t>
  </si>
  <si>
    <t>2 1 1 7 1 12 31111 6 M78 00003 007</t>
  </si>
  <si>
    <t>ISR 2024</t>
  </si>
  <si>
    <t>2 1 1 9</t>
  </si>
  <si>
    <t>OTRAS CUENTAS POR PAGAR A CORTO PLAZO</t>
  </si>
  <si>
    <t>2 1 1 9 9</t>
  </si>
  <si>
    <t>OTRAS CUENTAS POR PAGAR A CP</t>
  </si>
  <si>
    <t>2 1 1 9 9 12</t>
  </si>
  <si>
    <t>2 1 1 9 9 12 31111</t>
  </si>
  <si>
    <t>2 1 1 9 9 12 31111 6</t>
  </si>
  <si>
    <t>2 1 1 9 9 12 31111 6 M78</t>
  </si>
  <si>
    <t>2 1 1 9 9 12 31111 6 M78 00003</t>
  </si>
  <si>
    <t>FORTAMUN</t>
  </si>
  <si>
    <t>2 1 1 9 9 12 31111 6 M78 00003 001</t>
  </si>
  <si>
    <t>2 1 1 9 9 12 31111 6 M78 00003 001 002</t>
  </si>
  <si>
    <t>GASTO CORRIENTRE 2022</t>
  </si>
  <si>
    <t>2 1 1 9 9 12 31111 6 M78 00003 001 004</t>
  </si>
  <si>
    <t xml:space="preserve">GASTO CORRIENTRE 2024
</t>
  </si>
  <si>
    <t>3</t>
  </si>
  <si>
    <t>HACIENDA PÚBLICA/ PATRIMONIO</t>
  </si>
  <si>
    <t>3 1</t>
  </si>
  <si>
    <t>HACIENDA PÚBLICA/PATRIMONIO CONTRIBUIDO</t>
  </si>
  <si>
    <t>3 1 1</t>
  </si>
  <si>
    <t>APORTACIONES</t>
  </si>
  <si>
    <t>3 1 1 1</t>
  </si>
  <si>
    <t>3 1 1 1 1</t>
  </si>
  <si>
    <t>3 1 1 1 1 12</t>
  </si>
  <si>
    <t>3 1 1 1 1 12 31111</t>
  </si>
  <si>
    <t>3 1 1 1 1 12 31111 6</t>
  </si>
  <si>
    <t>3 1 1 1 1 12 31111 6 M78</t>
  </si>
  <si>
    <t>3 1 1 1 1 12 31111 6 M78 00003</t>
  </si>
  <si>
    <t>3 2</t>
  </si>
  <si>
    <t>HACIENDA PÚBLICA /PATRIMONIO GENERADO</t>
  </si>
  <si>
    <t>3 2 2</t>
  </si>
  <si>
    <t>RESULTADOS DE EJERCICIOS ANTERIORES</t>
  </si>
  <si>
    <t>3 2 2 1</t>
  </si>
  <si>
    <t>3 2 2 1 1</t>
  </si>
  <si>
    <t>RESULTADOS DEL EJERCICIO ANTERIOR</t>
  </si>
  <si>
    <t>3 2 2 1 1 12</t>
  </si>
  <si>
    <t>3 2 2 1 1 12 31111</t>
  </si>
  <si>
    <t>3 2 2 1 1 12 31111 6</t>
  </si>
  <si>
    <t>3 2 2 1 1 12 31111 6 M78</t>
  </si>
  <si>
    <t>3 2 2 1 1 12 31111 6 M78 00003</t>
  </si>
  <si>
    <t>4</t>
  </si>
  <si>
    <t>INGRESOS Y OTROS BENEFICIOS</t>
  </si>
  <si>
    <t>4 1</t>
  </si>
  <si>
    <t>INGRESOS DE GESTIÓN</t>
  </si>
  <si>
    <t>4 1 5</t>
  </si>
  <si>
    <t>4 1 5 1</t>
  </si>
  <si>
    <t>4 1 5 1 1</t>
  </si>
  <si>
    <t>PRODUCTOS DERIVADOS DEL USO Y APROVACHAMIENTO DE BIENES NO SUJETOS A REGIMEN DE DOMINIO PUBLICO</t>
  </si>
  <si>
    <t>4 1 5 1 1 12</t>
  </si>
  <si>
    <t>4 1 5 1 1 12 31111</t>
  </si>
  <si>
    <t>4 1 5 1 1 12 31111 6</t>
  </si>
  <si>
    <t>4 1 5 1 1 12 31111 6 M78</t>
  </si>
  <si>
    <t>4 1 5 1 1 12 31111 6 M78 15000</t>
  </si>
  <si>
    <t>4 1 5 1 1 12 31111 6 M78 15000 171</t>
  </si>
  <si>
    <t>4 1 5 1 1 12 31111 6 M78 15000 171 00I</t>
  </si>
  <si>
    <t>4 1 5 1 1 12 31111 6 M78 15000 171 00I 001</t>
  </si>
  <si>
    <t>GASTO CORRIENTE</t>
  </si>
  <si>
    <t>4 1 5 1 1 12 31111 6 M78 15000 171 00I 001 00051</t>
  </si>
  <si>
    <t>4 1 5 1 1 12 31111 6 M78 15000 171 00I 001 00051 025</t>
  </si>
  <si>
    <t>4 1 5 1 1 12 31111 6 M78 15000 171 00I 001 00051 025 1151100</t>
  </si>
  <si>
    <t>INTERNOS</t>
  </si>
  <si>
    <t>4 1 5 1 1 12 31111 6 M78 15000 171 00I 001 00051 025 1151100 2024</t>
  </si>
  <si>
    <t>4 1 5 1 1 12 31111 6 M78 15000 171 00I 001 00051 025 1151100 2024 00000000</t>
  </si>
  <si>
    <t>XXX ACTIVIDAD INSTITUCIONAL XXX</t>
  </si>
  <si>
    <t>4 1 5 1 1 12 31111 6 M78 15000 171 00I 001 00051 025 1151100 2024 00000000 003</t>
  </si>
  <si>
    <t>4 1 5 1 1 12 31111 6 M78 15000 171 00I 001 00051 025 1151100 2024 00000000 003 001</t>
  </si>
  <si>
    <t>INTERESES POR PRODUCTOS FINANCIEROS</t>
  </si>
  <si>
    <t>4 2</t>
  </si>
  <si>
    <t>PARTICIPACIONES, APORTACIONES, CONVENIOS, INCENTIVOS DERIVADOS DE LA COLABORACIÓN FISCAL, FONDOS DISTINTOS DE APORTACIONES, TRANSFERENCIAS, ASIGNACIONES, SUBSIDIOS Y SUBVENCIONES, Y PENSIONES Y JUBILACIONES</t>
  </si>
  <si>
    <t>4 2 1</t>
  </si>
  <si>
    <t>PARTICIPACIONES, APORTACIONES, CONVENIOS, INCENTIVOS DERIVADOS DE LA COLABORACIÓN FISCAL Y FONDOS DISTINTOS DE APORTACIONES</t>
  </si>
  <si>
    <t>4 2 1 2</t>
  </si>
  <si>
    <t>4 2 1 2 1</t>
  </si>
  <si>
    <t>4 2 1 2 1 12</t>
  </si>
  <si>
    <t>4 2 1 2 1 12 31111</t>
  </si>
  <si>
    <t>4 2 1 2 1 12 31111 6</t>
  </si>
  <si>
    <t>4 2 1 2 1 12 31111 6 M78</t>
  </si>
  <si>
    <t>4 2 1 2 1 12 31111 6 M78 15000</t>
  </si>
  <si>
    <t>4 2 1 2 1 12 31111 6 M78 15000 171</t>
  </si>
  <si>
    <t>4 2 1 2 1 12 31111 6 M78 15000 171 00I</t>
  </si>
  <si>
    <t>4 2 1 2 1 12 31111 6 M78 15000 171 00I 001</t>
  </si>
  <si>
    <t>4 2 1 2 1 12 31111 6 M78 15000 171 00I 001 00082</t>
  </si>
  <si>
    <t>4 2 1 2 1 12 31111 6 M78 15000 171 00I 001 00082 025</t>
  </si>
  <si>
    <t>4 2 1 2 1 12 31111 6 M78 15000 171 00I 001 00082 025 1182200</t>
  </si>
  <si>
    <t>DE ENTIDADES FEDERATIVAS</t>
  </si>
  <si>
    <t>4 2 1 2 1 12 31111 6 M78 15000 171 00I 001 00082 025 1182200 2024</t>
  </si>
  <si>
    <t>4 2 1 2 1 12 31111 6 M78 15000 171 00I 001 00082 025 1182200 2024 00000000</t>
  </si>
  <si>
    <t>4 2 1 2 1 12 31111 6 M78 15000 171 00I 001 00082 025 1182200 2024 00000000 003</t>
  </si>
  <si>
    <t>4 2 1 2 1 12 31111 6 M78 15000 171 00I 001 00082 025 1182200 2024 00000000 003 001</t>
  </si>
  <si>
    <t>APORTACIONES P/FORT DE LOS MPIOS</t>
  </si>
  <si>
    <t>5</t>
  </si>
  <si>
    <t>GASTOS Y OTRAS PÉRDIDAS</t>
  </si>
  <si>
    <t>5 1</t>
  </si>
  <si>
    <t>GASTOS DE FUNCIONAMIENTO</t>
  </si>
  <si>
    <t>5 1 1</t>
  </si>
  <si>
    <t>SERVICIOS PERSONALES</t>
  </si>
  <si>
    <t>5 1 1 1</t>
  </si>
  <si>
    <t>REMUNERACIONES AL PERSONAL DE CARÁCTER PERMANENTE</t>
  </si>
  <si>
    <t>5 1 1 1 3</t>
  </si>
  <si>
    <t>SUELDOS BASE AL PERSONAL PERMANENTE</t>
  </si>
  <si>
    <t>5 1 1 1 3 12</t>
  </si>
  <si>
    <t>5 1 1 1 3 12 31111</t>
  </si>
  <si>
    <t>5 1 1 1 3 12 31111 6</t>
  </si>
  <si>
    <t>5 1 1 1 3 12 31111 6 M78</t>
  </si>
  <si>
    <t>XXX CAMBIO DE ETIQUETA PRESUPUESTAL XXX</t>
  </si>
  <si>
    <t>5 1 1 1 3 12 31111 6 M78 03000</t>
  </si>
  <si>
    <t>DIRECCION JURIDICA</t>
  </si>
  <si>
    <t>5 1 1 1 3 12 31111 6 M78 03000 135</t>
  </si>
  <si>
    <t>ASUNTOS JURÍDICOS</t>
  </si>
  <si>
    <t>5 1 1 1 3 12 31111 6 M78 03000 135 00I</t>
  </si>
  <si>
    <t>5 1 1 1 3 12 31111 6 M78 03000 135 00I 001</t>
  </si>
  <si>
    <t>5 1 1 1 3 12 31111 6 M78 03000 135 00I 001 11301</t>
  </si>
  <si>
    <t>SUELDOS BASE.</t>
  </si>
  <si>
    <t>5 1 1 1 3 12 31111 6 M78 03000 135 00I 001 11301 025</t>
  </si>
  <si>
    <t>5 1 1 1 3 12 31111 6 M78 03000 135 00I 001 11301 025 2111100</t>
  </si>
  <si>
    <t>SUELDOS Y SALARIOS</t>
  </si>
  <si>
    <t>5 1 1 1 3 12 31111 6 M78 03000 135 00I 001 11301 025 2111100 2024</t>
  </si>
  <si>
    <t>5 1 1 1 3 12 31111 6 M78 03000 135 00I 001 11301 025 2111100 2024 00000000</t>
  </si>
  <si>
    <t>5 1 1 1 3 12 31111 6 M78 03000 135 00I 001 11301 025 2111100 2024 00000000 003</t>
  </si>
  <si>
    <t>5 1 1 1 3 12 31111 6 M78 03000 135 00I 001 11301 025 2111100 2024 00000000 003 001</t>
  </si>
  <si>
    <t>EMPLEADOS DE COORDINACION JURIDICA</t>
  </si>
  <si>
    <t>5 1 1 1 3 12 31111 6 M78 03000 135 00I 001 11301 025 2111100 2024 00000000 003 001 003</t>
  </si>
  <si>
    <t>SUELDO BASE</t>
  </si>
  <si>
    <t>5 1 1 1 3 12 31111 6 M78 04000</t>
  </si>
  <si>
    <t>COORDINACION DE GOBERNACION, REGLAMENTOS Y ESPETACULOS</t>
  </si>
  <si>
    <t>5 1 1 1 3 12 31111 6 M78 04000 152</t>
  </si>
  <si>
    <t>ASUNTOS HACENDARIOS</t>
  </si>
  <si>
    <t>5 1 1 1 3 12 31111 6 M78 04000 152 00I</t>
  </si>
  <si>
    <t>5 1 1 1 3 12 31111 6 M78 04000 152 00I 001</t>
  </si>
  <si>
    <t>5 1 1 1 3 12 31111 6 M78 04000 152 00I 001 11301</t>
  </si>
  <si>
    <t>5 1 1 1 3 12 31111 6 M78 04000 152 00I 001 11301 025</t>
  </si>
  <si>
    <t>5 1 1 1 3 12 31111 6 M78 04000 152 00I 001 11301 025 2111100</t>
  </si>
  <si>
    <t>5 1 1 1 3 12 31111 6 M78 04000 152 00I 001 11301 025 2111100 2024</t>
  </si>
  <si>
    <t>5 1 1 1 3 12 31111 6 M78 04000 152 00I 001 11301 025 2111100 2024 00000000</t>
  </si>
  <si>
    <t>5 1 1 1 3 12 31111 6 M78 04000 152 00I 001 11301 025 2111100 2024 00000000 003</t>
  </si>
  <si>
    <t>5 1 1 1 3 12 31111 6 M78 04000 152 00I 001 11301 025 2111100 2024 00000000 003 001</t>
  </si>
  <si>
    <t>EMPLEADOS DE GOBERNACION, REGLAMENTOS Y ESPETACULOS</t>
  </si>
  <si>
    <t>5 1 1 1 3 12 31111 6 M78 04000 152 00I 001 11301 025 2111100 2024 00000000 003 001 004</t>
  </si>
  <si>
    <t>SUELDOS BASE</t>
  </si>
  <si>
    <t>5 1 1 1 3 12 31111 6 M78 15000</t>
  </si>
  <si>
    <t>5 1 1 1 3 12 31111 6 M78 15000 171</t>
  </si>
  <si>
    <t>5 1 1 1 3 12 31111 6 M78 15000 171 00I</t>
  </si>
  <si>
    <t>5 1 1 1 3 12 31111 6 M78 15000 171 00I 001</t>
  </si>
  <si>
    <t>5 1 1 1 3 12 31111 6 M78 15000 171 00I 001 11301</t>
  </si>
  <si>
    <t>5 1 1 1 3 12 31111 6 M78 15000 171 00I 001 11301 025</t>
  </si>
  <si>
    <t>5 1 1 1 3 12 31111 6 M78 15000 171 00I 001 11301 025 2111100</t>
  </si>
  <si>
    <t>5 1 1 1 3 12 31111 6 M78 15000 171 00I 001 11301 025 2111100 2024</t>
  </si>
  <si>
    <t>5 1 1 1 3 12 31111 6 M78 15000 171 00I 001 11301 025 2111100 2024 00000000</t>
  </si>
  <si>
    <t>5 1 1 1 3 12 31111 6 M78 15000 171 00I 001 11301 025 2111100 2024 00000000 003</t>
  </si>
  <si>
    <t>5 1 1 1 3 12 31111 6 M78 15000 171 00I 001 11301 025 2111100 2024 00000000 003 001</t>
  </si>
  <si>
    <t>EMPLEADOS DE SEGURIDAD PUBLICA</t>
  </si>
  <si>
    <t>5 1 1 1 3 12 31111 6 M78 15000 171 00I 001 11301 025 2111100 2024 00000000 003 001 015</t>
  </si>
  <si>
    <t>5 1 1 1 3 12 31111 6 M78 16000</t>
  </si>
  <si>
    <t>DIRECCION DE TRANSITO MUNICIPAL</t>
  </si>
  <si>
    <t>5 1 1 1 3 12 31111 6 M78 16000 173</t>
  </si>
  <si>
    <t>OTROS ASUNTOS DE ORDEN PÚBLICO Y SEGURIDAD</t>
  </si>
  <si>
    <t>5 1 1 1 3 12 31111 6 M78 16000 173 00I</t>
  </si>
  <si>
    <t>5 1 1 1 3 12 31111 6 M78 16000 173 00I 001</t>
  </si>
  <si>
    <t>5 1 1 1 3 12 31111 6 M78 16000 173 00I 001 11301</t>
  </si>
  <si>
    <t>5 1 1 1 3 12 31111 6 M78 16000 173 00I 001 11301 025</t>
  </si>
  <si>
    <t>5 1 1 1 3 12 31111 6 M78 16000 173 00I 001 11301 025 2111100</t>
  </si>
  <si>
    <t>5 1 1 1 3 12 31111 6 M78 16000 173 00I 001 11301 025 2111100 2024</t>
  </si>
  <si>
    <t>5 1 1 1 3 12 31111 6 M78 16000 173 00I 001 11301 025 2111100 2024 00000000</t>
  </si>
  <si>
    <t>5 1 1 1 3 12 31111 6 M78 16000 173 00I 001 11301 025 2111100 2024 00000000 003</t>
  </si>
  <si>
    <t>5 1 1 1 3 12 31111 6 M78 16000 173 00I 001 11301 025 2111100 2024 00000000 003 001</t>
  </si>
  <si>
    <t>EMPLEADOS DE TRANSITO MUNICIPAL</t>
  </si>
  <si>
    <t>5 1 1 1 3 12 31111 6 M78 16000 173 00I 001 11301 025 2111100 2024 00000000 003 001 016</t>
  </si>
  <si>
    <t>5 1 1 1 3 12 31111 6 M78 17000</t>
  </si>
  <si>
    <t>DIRECCION DE PROTECCION CIVIL</t>
  </si>
  <si>
    <t>5 1 1 1 3 12 31111 6 M78 17000 172</t>
  </si>
  <si>
    <t>PROTECCIÓN CIVIL</t>
  </si>
  <si>
    <t>5 1 1 1 3 12 31111 6 M78 17000 172 00I</t>
  </si>
  <si>
    <t>5 1 1 1 3 12 31111 6 M78 17000 172 00I 001</t>
  </si>
  <si>
    <t>5 1 1 1 3 12 31111 6 M78 17000 172 00I 001 11301</t>
  </si>
  <si>
    <t>5 1 1 1 3 12 31111 6 M78 17000 172 00I 001 11301 025</t>
  </si>
  <si>
    <t>5 1 1 1 3 12 31111 6 M78 17000 172 00I 001 11301 025 2111100</t>
  </si>
  <si>
    <t>5 1 1 1 3 12 31111 6 M78 17000 172 00I 001 11301 025 2111100 2024</t>
  </si>
  <si>
    <t>5 1 1 1 3 12 31111 6 M78 17000 172 00I 001 11301 025 2111100 2024 00000000</t>
  </si>
  <si>
    <t>5 1 1 1 3 12 31111 6 M78 17000 172 00I 001 11301 025 2111100 2024 00000000 003</t>
  </si>
  <si>
    <t>5 1 1 1 3 12 31111 6 M78 17000 172 00I 001 11301 025 2111100 2024 00000000 003 001</t>
  </si>
  <si>
    <t>EMPLEADOS DE PROTECCIÓN CIVIL</t>
  </si>
  <si>
    <t>5 1 1 1 3 12 31111 6 M78 17000 172 00I 001 11301 025 2111100 2024 00000000 003 001 017</t>
  </si>
  <si>
    <t>5 1 1 3</t>
  </si>
  <si>
    <t>REMUNERACIONES ADICIONALES Y ESPECIALES</t>
  </si>
  <si>
    <t>5 1 1 3 4</t>
  </si>
  <si>
    <t>COMPENSACIONES</t>
  </si>
  <si>
    <t>5 1 1 3 4 12</t>
  </si>
  <si>
    <t>5 1 1 3 4 12 31111</t>
  </si>
  <si>
    <t>5 1 1 3 4 12 31111 6</t>
  </si>
  <si>
    <t>5 1 1 3 4 12 31111 6 M78</t>
  </si>
  <si>
    <t>5 1 1 3 4 12 31111 6 M78 03000</t>
  </si>
  <si>
    <t>5 1 1 3 4 12 31111 6 M78 03000 135</t>
  </si>
  <si>
    <t>5 1 1 3 4 12 31111 6 M78 03000 135 00I</t>
  </si>
  <si>
    <t>5 1 1 3 4 12 31111 6 M78 03000 135 00I 001</t>
  </si>
  <si>
    <t>5 1 1 3 4 12 31111 6 M78 03000 135 00I 001 13406</t>
  </si>
  <si>
    <t>COMPENSACIONES DE SERVICIOS.</t>
  </si>
  <si>
    <t>5 1 1 3 4 12 31111 6 M78 03000 135 00I 001 13406 025</t>
  </si>
  <si>
    <t>5 1 1 3 4 12 31111 6 M78 03000 135 00I 001 13406 025 2111100</t>
  </si>
  <si>
    <t>5 1 1 3 4 12 31111 6 M78 03000 135 00I 001 13406 025 2111100 2024</t>
  </si>
  <si>
    <t>5 1 1 3 4 12 31111 6 M78 03000 135 00I 001 13406 025 2111100 2024 00000000</t>
  </si>
  <si>
    <t>5 1 1 3 4 12 31111 6 M78 03000 135 00I 001 13406 025 2111100 2024 00000000 003</t>
  </si>
  <si>
    <t>5 1 1 3 4 12 31111 6 M78 03000 135 00I 001 13406 025 2111100 2024 00000000 003 001</t>
  </si>
  <si>
    <t>5 1 1 3 4 12 31111 6 M78 03000 135 00I 001 13406 025 2111100 2024 00000000 003 001 003</t>
  </si>
  <si>
    <t>COMPENSACION DE SERVICIOS</t>
  </si>
  <si>
    <t>5 1 1 3 4 12 31111 6 M78 04000</t>
  </si>
  <si>
    <t>5 1 1 3 4 12 31111 6 M78 04000 152</t>
  </si>
  <si>
    <t>5 1 1 3 4 12 31111 6 M78 04000 152 00I</t>
  </si>
  <si>
    <t>5 1 1 3 4 12 31111 6 M78 04000 152 00I 001</t>
  </si>
  <si>
    <t>5 1 1 3 4 12 31111 6 M78 04000 152 00I 001 13406</t>
  </si>
  <si>
    <t>5 1 1 3 4 12 31111 6 M78 04000 152 00I 001 13406 025</t>
  </si>
  <si>
    <t>5 1 1 3 4 12 31111 6 M78 04000 152 00I 001 13406 025 2111100</t>
  </si>
  <si>
    <t>5 1 1 3 4 12 31111 6 M78 04000 152 00I 001 13406 025 2111100 2024</t>
  </si>
  <si>
    <t>5 1 1 3 4 12 31111 6 M78 04000 152 00I 001 13406 025 2111100 2024 00000000</t>
  </si>
  <si>
    <t>5 1 1 3 4 12 31111 6 M78 04000 152 00I 001 13406 025 2111100 2024 00000000 003</t>
  </si>
  <si>
    <t>5 1 1 3 4 12 31111 6 M78 04000 152 00I 001 13406 025 2111100 2024 00000000 003 001</t>
  </si>
  <si>
    <t>5 1 1 3 4 12 31111 6 M78 04000 152 00I 001 13406 025 2111100 2024 00000000 003 001 004</t>
  </si>
  <si>
    <t>COMPENSACIONES DE SERVICIOS</t>
  </si>
  <si>
    <t>5 1 1 3 4 12 31111 6 M78 15000</t>
  </si>
  <si>
    <t>5 1 1 3 4 12 31111 6 M78 15000 171</t>
  </si>
  <si>
    <t>5 1 1 3 4 12 31111 6 M78 15000 171 00I</t>
  </si>
  <si>
    <t>5 1 1 3 4 12 31111 6 M78 15000 171 00I 001</t>
  </si>
  <si>
    <t>5 1 1 3 4 12 31111 6 M78 15000 171 00I 001 13406</t>
  </si>
  <si>
    <t>5 1 1 3 4 12 31111 6 M78 15000 171 00I 001 13406 025</t>
  </si>
  <si>
    <t>5 1 1 3 4 12 31111 6 M78 15000 171 00I 001 13406 025 2111100</t>
  </si>
  <si>
    <t>5 1 1 3 4 12 31111 6 M78 15000 171 00I 001 13406 025 2111100 2024</t>
  </si>
  <si>
    <t>5 1 1 3 4 12 31111 6 M78 15000 171 00I 001 13406 025 2111100 2024 00000000</t>
  </si>
  <si>
    <t>5 1 1 3 4 12 31111 6 M78 15000 171 00I 001 13406 025 2111100 2024 00000000 003</t>
  </si>
  <si>
    <t>5 1 1 3 4 12 31111 6 M78 15000 171 00I 001 13406 025 2111100 2024 00000000 003 001</t>
  </si>
  <si>
    <t>5 1 1 3 4 12 31111 6 M78 15000 171 00I 001 13406 025 2111100 2024 00000000 003 001 015</t>
  </si>
  <si>
    <t>5 1 1 3 4 12 31111 6 M78 16000</t>
  </si>
  <si>
    <t>5 1 1 3 4 12 31111 6 M78 16000 173</t>
  </si>
  <si>
    <t>5 1 1 3 4 12 31111 6 M78 16000 173 00I</t>
  </si>
  <si>
    <t>5 1 1 3 4 12 31111 6 M78 16000 173 00I 001</t>
  </si>
  <si>
    <t>5 1 1 3 4 12 31111 6 M78 16000 173 00I 001 13406</t>
  </si>
  <si>
    <t>5 1 1 3 4 12 31111 6 M78 16000 173 00I 001 13406 025</t>
  </si>
  <si>
    <t>5 1 1 3 4 12 31111 6 M78 16000 173 00I 001 13406 025 2111100</t>
  </si>
  <si>
    <t>5 1 1 3 4 12 31111 6 M78 16000 173 00I 001 13406 025 2111100 2024</t>
  </si>
  <si>
    <t>5 1 1 3 4 12 31111 6 M78 16000 173 00I 001 13406 025 2111100 2024 00000000</t>
  </si>
  <si>
    <t>5 1 1 3 4 12 31111 6 M78 16000 173 00I 001 13406 025 2111100 2024 00000000 003</t>
  </si>
  <si>
    <t>5 1 1 3 4 12 31111 6 M78 16000 173 00I 001 13406 025 2111100 2024 00000000 003 001</t>
  </si>
  <si>
    <t>5 1 1 3 4 12 31111 6 M78 16000 173 00I 001 13406 025 2111100 2024 00000000 003 001 016</t>
  </si>
  <si>
    <t>5 1 1 3 4 12 31111 6 M78 17000</t>
  </si>
  <si>
    <t>5 1 1 3 4 12 31111 6 M78 17000 172</t>
  </si>
  <si>
    <t>5 1 1 3 4 12 31111 6 M78 17000 172 00I</t>
  </si>
  <si>
    <t>5 1 1 3 4 12 31111 6 M78 17000 172 00I 001</t>
  </si>
  <si>
    <t>5 1 1 3 4 12 31111 6 M78 17000 172 00I 001 13406</t>
  </si>
  <si>
    <t>5 1 1 3 4 12 31111 6 M78 17000 172 00I 001 13406 025</t>
  </si>
  <si>
    <t>5 1 1 3 4 12 31111 6 M78 17000 172 00I 001 13406 025 2111100</t>
  </si>
  <si>
    <t>5 1 1 3 4 12 31111 6 M78 17000 172 00I 001 13406 025 2111100 2024</t>
  </si>
  <si>
    <t>5 1 1 3 4 12 31111 6 M78 17000 172 00I 001 13406 025 2111100 2024 00000000</t>
  </si>
  <si>
    <t>5 1 1 3 4 12 31111 6 M78 17000 172 00I 001 13406 025 2111100 2024 00000000 003</t>
  </si>
  <si>
    <t>5 1 1 3 4 12 31111 6 M78 17000 172 00I 001 13406 025 2111100 2024 00000000 003 001</t>
  </si>
  <si>
    <t>5 1 1 3 4 12 31111 6 M78 17000 172 00I 001 13406 025 2111100 2024 00000000 003 001 017</t>
  </si>
  <si>
    <t>5 1 1 6</t>
  </si>
  <si>
    <t>PAGO DE ESTÍMULOS A SERVIDORES PÚBLICOS</t>
  </si>
  <si>
    <t>5 1 1 6 1</t>
  </si>
  <si>
    <t>PREVISIONES DE CARÁCTER LABORAL, ECONÓMICA Y DE SEGURIDAD SOCIAL</t>
  </si>
  <si>
    <t>5 1 1 6 1 12</t>
  </si>
  <si>
    <t>5 1 1 6 1 12 31111</t>
  </si>
  <si>
    <t>5 1 1 6 1 12 31111 6</t>
  </si>
  <si>
    <t>5 1 1 6 1 12 31111 6 M78</t>
  </si>
  <si>
    <t>5 1 1 6 1 12 31111 6 M78 15000</t>
  </si>
  <si>
    <t>5 1 1 6 1 12 31111 6 M78 15000 171</t>
  </si>
  <si>
    <t>5 1 1 6 1 12 31111 6 M78 15000 171 00I</t>
  </si>
  <si>
    <t>5 1 1 6 1 12 31111 6 M78 15000 171 00I 001</t>
  </si>
  <si>
    <t>5 1 1 6 1 12 31111 6 M78 15000 171 00I 001 17102</t>
  </si>
  <si>
    <t>ESTIMULOS AL PERSONAL OPERATIVO.</t>
  </si>
  <si>
    <t>5 1 1 6 1 12 31111 6 M78 15000 171 00I 001 17102 025</t>
  </si>
  <si>
    <t>5 1 1 6 1 12 31111 6 M78 15000 171 00I 001 17102 025 2111100</t>
  </si>
  <si>
    <t>5 1 1 6 1 12 31111 6 M78 15000 171 00I 001 17102 025 2111100 2024</t>
  </si>
  <si>
    <t>5 1 1 6 1 12 31111 6 M78 15000 171 00I 001 17102 025 2111100 2024 00000000</t>
  </si>
  <si>
    <t>5 1 1 6 1 12 31111 6 M78 15000 171 00I 001 17102 025 2111100 2024 00000000 003</t>
  </si>
  <si>
    <t>5 1 1 6 1 12 31111 6 M78 15000 171 00I 001 17102 025 2111100 2024 00000000 003 002</t>
  </si>
  <si>
    <t>GRATIFICACIONES A COMISARIOS Y DELEGADOS DEL MUNICIPIO</t>
  </si>
  <si>
    <t>5 1 2</t>
  </si>
  <si>
    <t>MATERIALES Y SUMINISTROS</t>
  </si>
  <si>
    <t>5 1 2 1</t>
  </si>
  <si>
    <t>MATERIALES DE ADMINISTRACIÓN, EMISIÓN DE DOCUMENTOS Y ARTÍCULOS OFICIALES</t>
  </si>
  <si>
    <t>5 1 2 1 1</t>
  </si>
  <si>
    <t>MATERIALES, ÚTILES Y EQUIPOS MENORES DE OFICINA</t>
  </si>
  <si>
    <t>5 1 2 1 1 12</t>
  </si>
  <si>
    <t>5 1 2 1 1 12 31111</t>
  </si>
  <si>
    <t>5 1 2 1 1 12 31111 6</t>
  </si>
  <si>
    <t>5 1 2 1 1 12 31111 6 M78</t>
  </si>
  <si>
    <t>5 1 2 1 1 12 31111 6 M78 15000</t>
  </si>
  <si>
    <t>5 1 2 1 1 12 31111 6 M78 15000 171</t>
  </si>
  <si>
    <t>5 1 2 1 1 12 31111 6 M78 15000 171 00I</t>
  </si>
  <si>
    <t>5 1 2 1 1 12 31111 6 M78 15000 171 00I 001</t>
  </si>
  <si>
    <t>5 1 2 1 1 12 31111 6 M78 15000 171 00I 001 21101</t>
  </si>
  <si>
    <t>MATERIALES Y UTILES DE OFICINA.</t>
  </si>
  <si>
    <t>5 1 2 1 1 12 31111 6 M78 15000 171 00I 001 21101 025</t>
  </si>
  <si>
    <t>5 1 2 1 1 12 31111 6 M78 15000 171 00I 001 21101 025 2112000</t>
  </si>
  <si>
    <t>5 1 2 1 1 12 31111 6 M78 15000 171 00I 001 21101 025 2112000 2024</t>
  </si>
  <si>
    <t>5 1 2 1 1 12 31111 6 M78 15000 171 00I 001 21101 025 2112000 2024 00000000</t>
  </si>
  <si>
    <t>5 1 2 1 1 12 31111 6 M78 15000 171 00I 001 21101 025 2112000 2024 00000000 003</t>
  </si>
  <si>
    <t>5 1 2 1 1 12 31111 6 M78 15000 171 00I 001 21101 025 2112000 2024 00000000 003 001</t>
  </si>
  <si>
    <t>MATERIALES Y UTILES DE OFICINA</t>
  </si>
  <si>
    <t>5 1 2 1 2</t>
  </si>
  <si>
    <t>MATERIALES Y ÚTILES DE IMPRESIÓN Y REPRODUCCIÓN</t>
  </si>
  <si>
    <t>5 1 2 1 2 12</t>
  </si>
  <si>
    <t>5 1 2 1 2 12 31111</t>
  </si>
  <si>
    <t>5 1 2 1 2 12 31111 6</t>
  </si>
  <si>
    <t>5 1 2 1 2 12 31111 6 M78</t>
  </si>
  <si>
    <t>5 1 2 1 2 12 31111 6 M78 15000</t>
  </si>
  <si>
    <t>5 1 2 1 2 12 31111 6 M78 15000 171</t>
  </si>
  <si>
    <t>5 1 2 1 2 12 31111 6 M78 15000 171 00I</t>
  </si>
  <si>
    <t>5 1 2 1 2 12 31111 6 M78 15000 171 00I 001</t>
  </si>
  <si>
    <t>5 1 2 1 2 12 31111 6 M78 15000 171 00I 001 21201</t>
  </si>
  <si>
    <t>MATERIALES Y UTILES DE IMPRESION Y REPRODUCCION.</t>
  </si>
  <si>
    <t>5 1 2 1 2 12 31111 6 M78 15000 171 00I 001 21201 025</t>
  </si>
  <si>
    <t>5 1 2 1 2 12 31111 6 M78 15000 171 00I 001 21201 025 2112000</t>
  </si>
  <si>
    <t>5 1 2 1 2 12 31111 6 M78 15000 171 00I 001 21201 025 2112000 2024</t>
  </si>
  <si>
    <t>5 1 2 1 2 12 31111 6 M78 15000 171 00I 001 21201 025 2112000 2024 00000000</t>
  </si>
  <si>
    <t>5 1 2 1 2 12 31111 6 M78 15000 171 00I 001 21201 025 2112000 2024 00000000 003</t>
  </si>
  <si>
    <t>5 1 2 1 2 12 31111 6 M78 15000 171 00I 001 21201 025 2112000 2024 00000000 003 001</t>
  </si>
  <si>
    <t>MATERIALES Y UTILES DE IMPRESION Y REPRODUCCION</t>
  </si>
  <si>
    <t>5 1 2 1 4</t>
  </si>
  <si>
    <t>MATERIALES, ÚTILES Y EQUIPOS MENORES DE TECNOLOGÍAS DE LA INFORMACIÓN Y COMUNICACIONES</t>
  </si>
  <si>
    <t>5 1 2 1 4 12</t>
  </si>
  <si>
    <t>5 1 2 1 4 12 31111</t>
  </si>
  <si>
    <t>5 1 2 1 4 12 31111 6</t>
  </si>
  <si>
    <t>5 1 2 1 4 12 31111 6 M78</t>
  </si>
  <si>
    <t>5 1 2 1 4 12 31111 6 M78 15000</t>
  </si>
  <si>
    <t>5 1 2 1 4 12 31111 6 M78 15000 171</t>
  </si>
  <si>
    <t>5 1 2 1 4 12 31111 6 M78 15000 171 00I</t>
  </si>
  <si>
    <t>5 1 2 1 4 12 31111 6 M78 15000 171 00I 001</t>
  </si>
  <si>
    <t>5 1 2 1 4 12 31111 6 M78 15000 171 00I 001 21401</t>
  </si>
  <si>
    <t>MATERIALES Y UTILES PARA EL PROCESAMIENTO EN EQUIPOS Y BIENES INFORMATICOS.</t>
  </si>
  <si>
    <t>5 1 2 1 4 12 31111 6 M78 15000 171 00I 001 21401 025</t>
  </si>
  <si>
    <t>5 1 2 1 4 12 31111 6 M78 15000 171 00I 001 21401 025 2112000</t>
  </si>
  <si>
    <t>5 1 2 1 4 12 31111 6 M78 15000 171 00I 001 21401 025 2112000 2024</t>
  </si>
  <si>
    <t>5 1 2 1 4 12 31111 6 M78 15000 171 00I 001 21401 025 2112000 2024 00000000</t>
  </si>
  <si>
    <t>5 1 2 1 4 12 31111 6 M78 15000 171 00I 001 21401 025 2112000 2024 00000000 003</t>
  </si>
  <si>
    <t>5 1 2 1 4 12 31111 6 M78 15000 171 00I 001 21401 025 2112000 2024 00000000 003 001</t>
  </si>
  <si>
    <t>MATERIALES Y ÚTILES PARA EL PROCESAMIENTO EN EQUIPOS Y BIENES INFORMÁTICOS</t>
  </si>
  <si>
    <t>5 1 2 1 6</t>
  </si>
  <si>
    <t>MATERIAL DE LIMPIEZA</t>
  </si>
  <si>
    <t>5 1 2 1 6 12</t>
  </si>
  <si>
    <t>5 1 2 1 6 12 31111</t>
  </si>
  <si>
    <t>5 1 2 1 6 12 31111 6</t>
  </si>
  <si>
    <t>5 1 2 1 6 12 31111 6 M78</t>
  </si>
  <si>
    <t>5 1 2 1 6 12 31111 6 M78 15000</t>
  </si>
  <si>
    <t>5 1 2 1 6 12 31111 6 M78 15000 171</t>
  </si>
  <si>
    <t>5 1 2 1 6 12 31111 6 M78 15000 171 00I</t>
  </si>
  <si>
    <t>5 1 2 1 6 12 31111 6 M78 15000 171 00I 001</t>
  </si>
  <si>
    <t>5 1 2 1 6 12 31111 6 M78 15000 171 00I 001 21601</t>
  </si>
  <si>
    <t>MATERIAL DE LIMPIEZA.</t>
  </si>
  <si>
    <t>5 1 2 1 6 12 31111 6 M78 15000 171 00I 001 21601 025</t>
  </si>
  <si>
    <t>5 1 2 1 6 12 31111 6 M78 15000 171 00I 001 21601 025 2112000</t>
  </si>
  <si>
    <t>5 1 2 1 6 12 31111 6 M78 15000 171 00I 001 21601 025 2112000 2024</t>
  </si>
  <si>
    <t>5 1 2 1 6 12 31111 6 M78 15000 171 00I 001 21601 025 2112000 2024 00000000</t>
  </si>
  <si>
    <t>5 1 2 1 6 12 31111 6 M78 15000 171 00I 001 21601 025 2112000 2024 00000000 003</t>
  </si>
  <si>
    <t>5 1 2 1 6 12 31111 6 M78 15000 171 00I 001 21601 025 2112000 2024 00000000 003 001</t>
  </si>
  <si>
    <t>DE ASEO Y LIMPIEZA.</t>
  </si>
  <si>
    <t>5 1 2 2</t>
  </si>
  <si>
    <t>ALIMENTOS Y UTENSILIOS</t>
  </si>
  <si>
    <t>5 1 2 2 1</t>
  </si>
  <si>
    <t>PRODUCTOS ALIMENTICIOS PARA PERSONAS</t>
  </si>
  <si>
    <t>5 1 2 2 1 12</t>
  </si>
  <si>
    <t>5 1 2 2 1 12 31111</t>
  </si>
  <si>
    <t>5 1 2 2 1 12 31111 6</t>
  </si>
  <si>
    <t>5 1 2 2 1 12 31111 6 M78</t>
  </si>
  <si>
    <t>5 1 2 2 1 12 31111 6 M78 15000</t>
  </si>
  <si>
    <t>5 1 2 2 1 12 31111 6 M78 15000 171</t>
  </si>
  <si>
    <t>5 1 2 2 1 12 31111 6 M78 15000 171 00I</t>
  </si>
  <si>
    <t>5 1 2 2 1 12 31111 6 M78 15000 171 00I 001</t>
  </si>
  <si>
    <t>5 1 2 2 1 12 31111 6 M78 15000 171 00I 001 22104</t>
  </si>
  <si>
    <t>PRODUCTOS ALIMENTICIOS PARA EL PERSONAL EN LAS INSTALACIONES DE LAS DEPENDENCIAS Y ENTIDADES.</t>
  </si>
  <si>
    <t>5 1 2 2 1 12 31111 6 M78 15000 171 00I 001 22104 025</t>
  </si>
  <si>
    <t>5 1 2 2 1 12 31111 6 M78 15000 171 00I 001 22104 025 2112000</t>
  </si>
  <si>
    <t>5 1 2 2 1 12 31111 6 M78 15000 171 00I 001 22104 025 2112000 2024</t>
  </si>
  <si>
    <t>5 1 2 2 1 12 31111 6 M78 15000 171 00I 001 22104 025 2112000 2024 00000000</t>
  </si>
  <si>
    <t>5 1 2 2 1 12 31111 6 M78 15000 171 00I 001 22104 025 2112000 2024 00000000 003</t>
  </si>
  <si>
    <t>5 1 2 2 1 12 31111 6 M78 15000 171 00I 001 22104 025 2112000 2024 00000000 003 001</t>
  </si>
  <si>
    <t>PRODUCTOS ALIMENTICIOS PARA EL PERSONAL EN LAS INSTALACIONES DE LAS DEPENDENCIAS Y ENTIDADES</t>
  </si>
  <si>
    <t>5 1 2 4</t>
  </si>
  <si>
    <t>MATERIALES Y ARTÍCULOS DE CONSTRUCCIÓN Y DE REPARACIÓN</t>
  </si>
  <si>
    <t>5 1 2 4 6</t>
  </si>
  <si>
    <t>MATERIAL ELÉCTRICO Y ELECTRÓNICO</t>
  </si>
  <si>
    <t>5 1 2 4 6 12</t>
  </si>
  <si>
    <t>5 1 2 4 6 12 31111</t>
  </si>
  <si>
    <t>5 1 2 4 6 12 31111 6</t>
  </si>
  <si>
    <t>5 1 2 4 6 12 31111 6 M78</t>
  </si>
  <si>
    <t>5 1 2 4 6 12 31111 6 M78 15000</t>
  </si>
  <si>
    <t>5 1 2 4 6 12 31111 6 M78 15000 171</t>
  </si>
  <si>
    <t>5 1 2 4 6 12 31111 6 M78 15000 171 00I</t>
  </si>
  <si>
    <t>5 1 2 4 6 12 31111 6 M78 15000 171 00I 001</t>
  </si>
  <si>
    <t>5 1 2 4 6 12 31111 6 M78 15000 171 00I 001 24601</t>
  </si>
  <si>
    <t>MATERIAL ELECTRICO Y ELECTRONICO.</t>
  </si>
  <si>
    <t>5 1 2 4 6 12 31111 6 M78 15000 171 00I 001 24601 025</t>
  </si>
  <si>
    <t>5 1 2 4 6 12 31111 6 M78 15000 171 00I 001 24601 025 2112000</t>
  </si>
  <si>
    <t>5 1 2 4 6 12 31111 6 M78 15000 171 00I 001 24601 025 2112000 2024</t>
  </si>
  <si>
    <t>5 1 2 4 6 12 31111 6 M78 15000 171 00I 001 24601 025 2112000 2024 00000000</t>
  </si>
  <si>
    <t>5 1 2 4 6 12 31111 6 M78 15000 171 00I 001 24601 025 2112000 2024 00000000 003</t>
  </si>
  <si>
    <t>5 1 2 4 6 12 31111 6 M78 15000 171 00I 001 24601 025 2112000 2024 00000000 003 001</t>
  </si>
  <si>
    <t>MATERIALES ELECTRICOS</t>
  </si>
  <si>
    <t>5 1 2 4 9</t>
  </si>
  <si>
    <t>OTROS MATERIALES Y ARTÍCULOS DE CONSTRUCCIÓN Y REPARACIÓN</t>
  </si>
  <si>
    <t>5 1 2 4 9 12</t>
  </si>
  <si>
    <t>5 1 2 4 9 12 31111</t>
  </si>
  <si>
    <t>5 1 2 4 9 12 31111 6</t>
  </si>
  <si>
    <t>5 1 2 4 9 12 31111 6 M78</t>
  </si>
  <si>
    <t>5 1 2 4 9 12 31111 6 M78 15000</t>
  </si>
  <si>
    <t>5 1 2 4 9 12 31111 6 M78 15000 171</t>
  </si>
  <si>
    <t>5 1 2 4 9 12 31111 6 M78 15000 171 00I</t>
  </si>
  <si>
    <t>5 1 2 4 9 12 31111 6 M78 15000 171 00I 001</t>
  </si>
  <si>
    <t>5 1 2 4 9 12 31111 6 M78 15000 171 00I 001 24901</t>
  </si>
  <si>
    <t>OTROS MATERIALES Y ARTICULOS DE CONSTRUCCION Y REPARACION.</t>
  </si>
  <si>
    <t>5 1 2 4 9 12 31111 6 M78 15000 171 00I 001 24901 025</t>
  </si>
  <si>
    <t>5 1 2 4 9 12 31111 6 M78 15000 171 00I 001 24901 025 2112000</t>
  </si>
  <si>
    <t>5 1 2 4 9 12 31111 6 M78 15000 171 00I 001 24901 025 2112000 2024</t>
  </si>
  <si>
    <t>5 1 2 4 9 12 31111 6 M78 15000 171 00I 001 24901 025 2112000 2024 00000000</t>
  </si>
  <si>
    <t>5 1 2 4 9 12 31111 6 M78 15000 171 00I 001 24901 025 2112000 2024 00000000 003</t>
  </si>
  <si>
    <t>5 1 2 4 9 12 31111 6 M78 15000 171 00I 001 24901 025 2112000 2024 00000000 003 001</t>
  </si>
  <si>
    <t>OTROS MATERIALES Y ARTICULOS DE CONSTRUCCIÓN Y REPARACIÓN</t>
  </si>
  <si>
    <t>5 1 2 6</t>
  </si>
  <si>
    <t>COMBUSTIBLES, LUBRICANTES Y ADITIVOS</t>
  </si>
  <si>
    <t>5 1 2 6 1</t>
  </si>
  <si>
    <t>5 1 2 6 1 12</t>
  </si>
  <si>
    <t>5 1 2 6 1 12 31111</t>
  </si>
  <si>
    <t>5 1 2 6 1 12 31111 6</t>
  </si>
  <si>
    <t>5 1 2 6 1 12 31111 6 M78</t>
  </si>
  <si>
    <t>5 1 2 6 1 12 31111 6 M78 15000</t>
  </si>
  <si>
    <t>5 1 2 6 1 12 31111 6 M78 15000 171</t>
  </si>
  <si>
    <t>5 1 2 6 1 12 31111 6 M78 15000 171 00I</t>
  </si>
  <si>
    <t>5 1 2 6 1 12 31111 6 M78 15000 171 00I 001</t>
  </si>
  <si>
    <t>5 1 2 6 1 12 31111 6 M78 15000 171 00I 001 26101</t>
  </si>
  <si>
    <t>COMBUSTIBLES, LUBRICANTES Y ADITIVOS PARA VEHICULOS TERRESTRES, AEREOS, MARITIMOS, LACUSTRES Y FLUVIALES DESTINADOS A LA EJECUCION DE PROGRAMAS DE SEGURIDAD PUBLICA Y NACIONAL.</t>
  </si>
  <si>
    <t>5 1 2 6 1 12 31111 6 M78 15000 171 00I 001 26101 025</t>
  </si>
  <si>
    <t>5 1 2 6 1 12 31111 6 M78 15000 171 00I 001 26101 025 2112000</t>
  </si>
  <si>
    <t>5 1 2 6 1 12 31111 6 M78 15000 171 00I 001 26101 025 2112000 2024</t>
  </si>
  <si>
    <t>5 1 2 6 1 12 31111 6 M78 15000 171 00I 001 26101 025 2112000 2024 00000000</t>
  </si>
  <si>
    <t>5 1 2 6 1 12 31111 6 M78 15000 171 00I 001 26101 025 2112000 2024 00000000 003</t>
  </si>
  <si>
    <t>5 1 2 6 1 12 31111 6 M78 15000 171 00I 001 26101 025 2112000 2024 00000000 003 001</t>
  </si>
  <si>
    <t>COMBUSTIBLE,  LUBRICANTES Y ADITIVOS DESTINADOS A PROGRAMAS DE SEGURIDAD PÚBLICA</t>
  </si>
  <si>
    <t>5 1 2 7</t>
  </si>
  <si>
    <t>VESTUARIO, BLANCOS, PRENDAS DE PROTECCIÓN Y ARTÍCULOS DEPORTIVOS</t>
  </si>
  <si>
    <t>5 1 2 7 2</t>
  </si>
  <si>
    <t>PRENDAS DE SEGURIDAD Y PROTECCIÓN PERSONAL</t>
  </si>
  <si>
    <t>5 1 2 7 2 12</t>
  </si>
  <si>
    <t>5 1 2 7 2 12 31111</t>
  </si>
  <si>
    <t>5 1 2 7 2 12 31111 6</t>
  </si>
  <si>
    <t>5 1 2 7 2 12 31111 6 M78</t>
  </si>
  <si>
    <t>5 1 2 7 2 12 31111 6 M78 15000</t>
  </si>
  <si>
    <t>5 1 2 7 2 12 31111 6 M78 15000 171</t>
  </si>
  <si>
    <t>5 1 2 7 2 12 31111 6 M78 15000 171 00I</t>
  </si>
  <si>
    <t>5 1 2 7 2 12 31111 6 M78 15000 171 00I 001</t>
  </si>
  <si>
    <t>5 1 2 7 2 12 31111 6 M78 15000 171 00I 001 27201</t>
  </si>
  <si>
    <t>PRENDAS DE PROTECCION PERSONAL.</t>
  </si>
  <si>
    <t>5 1 2 7 2 12 31111 6 M78 15000 171 00I 001 27201 025</t>
  </si>
  <si>
    <t>5 1 2 7 2 12 31111 6 M78 15000 171 00I 001 27201 025 2112000</t>
  </si>
  <si>
    <t>5 1 2 7 2 12 31111 6 M78 15000 171 00I 001 27201 025 2112000 2024</t>
  </si>
  <si>
    <t>5 1 2 7 2 12 31111 6 M78 15000 171 00I 001 27201 025 2112000 2024 00000000</t>
  </si>
  <si>
    <t>5 1 2 7 2 12 31111 6 M78 15000 171 00I 001 27201 025 2112000 2024 00000000 003</t>
  </si>
  <si>
    <t>5 1 2 7 2 12 31111 6 M78 15000 171 00I 001 27201 025 2112000 2024 00000000 003 001</t>
  </si>
  <si>
    <t>PRENDAS DE SEGURIDAD Y PROTECCION PERSONAL</t>
  </si>
  <si>
    <t>5 1 3</t>
  </si>
  <si>
    <t>SERVICIOS GENERALES</t>
  </si>
  <si>
    <t>5 1 3 1</t>
  </si>
  <si>
    <t>SERVICIOS BÁSICOS</t>
  </si>
  <si>
    <t>5 1 3 1 1</t>
  </si>
  <si>
    <t>ENERGÍA ELÉCTRICA</t>
  </si>
  <si>
    <t>5 1 3 1 1 12</t>
  </si>
  <si>
    <t>5 1 3 1 1 12 31111</t>
  </si>
  <si>
    <t>5 1 3 1 1 12 31111 6</t>
  </si>
  <si>
    <t>5 1 3 1 1 12 31111 6 M78</t>
  </si>
  <si>
    <t>5 1 3 1 1 12 31111 6 M78 15000</t>
  </si>
  <si>
    <t>5 1 3 1 1 12 31111 6 M78 15000 171</t>
  </si>
  <si>
    <t>5 1 3 1 1 12 31111 6 M78 15000 171 00I</t>
  </si>
  <si>
    <t>5 1 3 1 1 12 31111 6 M78 15000 171 00I 001</t>
  </si>
  <si>
    <t>5 1 3 1 1 12 31111 6 M78 15000 171 00I 001 31101</t>
  </si>
  <si>
    <t>SERVICIO DE ENERGIA ELECTRICA.</t>
  </si>
  <si>
    <t>5 1 3 1 1 12 31111 6 M78 15000 171 00I 001 31101 025</t>
  </si>
  <si>
    <t>5 1 3 1 1 12 31111 6 M78 15000 171 00I 001 31101 025 2112000</t>
  </si>
  <si>
    <t>5 1 3 1 1 12 31111 6 M78 15000 171 00I 001 31101 025 2112000 2024</t>
  </si>
  <si>
    <t>5 1 3 1 1 12 31111 6 M78 15000 171 00I 001 31101 025 2112000 2024 00000000</t>
  </si>
  <si>
    <t>5 1 3 1 1 12 31111 6 M78 15000 171 00I 001 31101 025 2112000 2024 00000000 003</t>
  </si>
  <si>
    <t>5 1 3 1 1 12 31111 6 M78 15000 171 00I 001 31101 025 2112000 2024 00000000 003 001</t>
  </si>
  <si>
    <t>ENERGIA ELECTRICA</t>
  </si>
  <si>
    <t>5 1 3 1 1 12 31111 6 M78 15000 171 00I 001 31101 025 2112000 2024 00000000 003 002</t>
  </si>
  <si>
    <t>ALUMBRADO PUBLICO</t>
  </si>
  <si>
    <t>5 1 3 1 7</t>
  </si>
  <si>
    <t>SERVICIOS DE ACCESO DE INTERNET, REDES Y PROCESAMIENTO DE INFORMACIÓN</t>
  </si>
  <si>
    <t>5 1 3 1 7 12</t>
  </si>
  <si>
    <t>5 1 3 1 7 12 31111</t>
  </si>
  <si>
    <t>5 1 3 1 7 12 31111 6</t>
  </si>
  <si>
    <t>5 1 3 1 7 12 31111 6 M78</t>
  </si>
  <si>
    <t>5 1 3 1 7 12 31111 6 M78 15000</t>
  </si>
  <si>
    <t>5 1 3 1 7 12 31111 6 M78 15000 171</t>
  </si>
  <si>
    <t>5 1 3 1 7 12 31111 6 M78 15000 171 00I</t>
  </si>
  <si>
    <t>5 1 3 1 7 12 31111 6 M78 15000 171 00I 001</t>
  </si>
  <si>
    <t>5 1 3 1 7 12 31111 6 M78 15000 171 00I 001 31701</t>
  </si>
  <si>
    <t>SERVICIOS DE CONDUCCION DE SEÑALES ANALOGICAS Y DIGITALES.</t>
  </si>
  <si>
    <t>5 1 3 1 7 12 31111 6 M78 15000 171 00I 001 31701 025</t>
  </si>
  <si>
    <t>5 1 3 1 7 12 31111 6 M78 15000 171 00I 001 31701 025 2112000</t>
  </si>
  <si>
    <t>5 1 3 1 7 12 31111 6 M78 15000 171 00I 001 31701 025 2112000 2024</t>
  </si>
  <si>
    <t>5 1 3 1 7 12 31111 6 M78 15000 171 00I 001 31701 025 2112000 2024 00000000</t>
  </si>
  <si>
    <t>5 1 3 1 7 12 31111 6 M78 15000 171 00I 001 31701 025 2112000 2024 00000000 003</t>
  </si>
  <si>
    <t>5 1 3 1 7 12 31111 6 M78 15000 171 00I 001 31701 025 2112000 2024 00000000 003 001</t>
  </si>
  <si>
    <t>SERVICIO DE ACCESO A INTERNET REDES Y PROCESAMIENTO DE INFORMACION</t>
  </si>
  <si>
    <t>5 1 3 3</t>
  </si>
  <si>
    <t>SERVICIOS PROFESIONALES, CIENTÍFICOS Y TÉCNICOS Y OTROS SERVICIOS</t>
  </si>
  <si>
    <t>5 1 3 3 6</t>
  </si>
  <si>
    <t>SERVICIOS DE APOYO ADMINISTRATIVO, TRADUCCIÓN, FOTOCOPIADO E IMPRESIÓN</t>
  </si>
  <si>
    <t>5 1 3 3 6 12</t>
  </si>
  <si>
    <t>5 1 3 3 6 12 31111</t>
  </si>
  <si>
    <t>5 1 3 3 6 12 31111 6</t>
  </si>
  <si>
    <t>5 1 3 3 6 12 31111 6 M78</t>
  </si>
  <si>
    <t>5 1 3 3 6 12 31111 6 M78 15000</t>
  </si>
  <si>
    <t>5 1 3 3 6 12 31111 6 M78 15000 171</t>
  </si>
  <si>
    <t>5 1 3 3 6 12 31111 6 M78 15000 171 00I</t>
  </si>
  <si>
    <t>5 1 3 3 6 12 31111 6 M78 15000 171 00I 001</t>
  </si>
  <si>
    <t>5 1 3 3 6 12 31111 6 M78 15000 171 00I 001 33604</t>
  </si>
  <si>
    <t>IMPRESION Y ELABORACION DE MATERIAL INFORMATIVO DERIVADO DE LA OPERACION Y ADMINISTRACION DE LAS DEPENDENCIAS Y ENTIDADES.</t>
  </si>
  <si>
    <t>5 1 3 3 6 12 31111 6 M78 15000 171 00I 001 33604 025</t>
  </si>
  <si>
    <t>5 1 3 3 6 12 31111 6 M78 15000 171 00I 001 33604 025 2112000</t>
  </si>
  <si>
    <t>5 1 3 3 6 12 31111 6 M78 15000 171 00I 001 33604 025 2112000 2024</t>
  </si>
  <si>
    <t>5 1 3 3 6 12 31111 6 M78 15000 171 00I 001 33604 025 2112000 2024 00000000</t>
  </si>
  <si>
    <t>5 1 3 3 6 12 31111 6 M78 15000 171 00I 001 33604 025 2112000 2024 00000000 003</t>
  </si>
  <si>
    <t>5 1 3 3 6 12 31111 6 M78 15000 171 00I 001 33604 025 2112000 2024 00000000 003 001</t>
  </si>
  <si>
    <t>IMPRESION Y ELABORACION DE MATERIAL INFORMATIVO DERIVADO DE LA OPERACION Y ADMINISTRACION DE LAS DEPENDENCIAS Y ENTIDADES</t>
  </si>
  <si>
    <t>5 1 3 4</t>
  </si>
  <si>
    <t>SERVICIOS FINANCIEROS, BANCARIOS Y COMERCIALES</t>
  </si>
  <si>
    <t>5 1 3 4 1</t>
  </si>
  <si>
    <t>SERVICIOS FINANCIEROS Y BANCARIOS</t>
  </si>
  <si>
    <t>5 1 3 4 1 12</t>
  </si>
  <si>
    <t>5 1 3 4 1 12 31111</t>
  </si>
  <si>
    <t>5 1 3 4 1 12 31111 6</t>
  </si>
  <si>
    <t>5 1 3 4 1 12 31111 6 M78</t>
  </si>
  <si>
    <t>5 1 3 4 1 12 31111 6 M78 15000</t>
  </si>
  <si>
    <t>5 1 3 4 1 12 31111 6 M78 15000 171</t>
  </si>
  <si>
    <t>5 1 3 4 1 12 31111 6 M78 15000 171 00I</t>
  </si>
  <si>
    <t>5 1 3 4 1 12 31111 6 M78 15000 171 00I 001</t>
  </si>
  <si>
    <t>5 1 3 4 1 12 31111 6 M78 15000 171 00I 001 34101</t>
  </si>
  <si>
    <t>SERVICIOS BANCARIOS Y FINANCIEROS.</t>
  </si>
  <si>
    <t>5 1 3 4 1 12 31111 6 M78 15000 171 00I 001 34101 025</t>
  </si>
  <si>
    <t>5 1 3 4 1 12 31111 6 M78 15000 171 00I 001 34101 025 2112000</t>
  </si>
  <si>
    <t>5 1 3 4 1 12 31111 6 M78 15000 171 00I 001 34101 025 2112000 2024</t>
  </si>
  <si>
    <t>5 1 3 4 1 12 31111 6 M78 15000 171 00I 001 34101 025 2112000 2024 00000000</t>
  </si>
  <si>
    <t>5 1 3 4 1 12 31111 6 M78 15000 171 00I 001 34101 025 2112000 2024 00000000 003</t>
  </si>
  <si>
    <t>5 1 3 4 1 12 31111 6 M78 15000 171 00I 001 34101 025 2112000 2024 00000000 003 001</t>
  </si>
  <si>
    <t>SERVICIOS BANCARIOS Y FINANCIEROS</t>
  </si>
  <si>
    <t>5 1 3 5</t>
  </si>
  <si>
    <t>SERVICIOS DE INSTALACIÓN, REPARACIÓN, MANTENIMIENTO Y CONSERVACIÓN</t>
  </si>
  <si>
    <t>5 1 3 5 3</t>
  </si>
  <si>
    <t>INSTALACIÓN, REPARACIÓN Y MANTENIMIENTO DE EQUIPO DE CÓMPUTO Y TECNOLOGÍA DE LA INFORMACIÓN</t>
  </si>
  <si>
    <t>5 1 3 5 3 12</t>
  </si>
  <si>
    <t>5 1 3 5 3 12 31111</t>
  </si>
  <si>
    <t>5 1 3 5 3 12 31111 6</t>
  </si>
  <si>
    <t>5 1 3 5 3 12 31111 6 M78</t>
  </si>
  <si>
    <t>5 1 3 5 3 12 31111 6 M78 15000</t>
  </si>
  <si>
    <t>5 1 3 5 3 12 31111 6 M78 15000 171</t>
  </si>
  <si>
    <t>5 1 3 5 3 12 31111 6 M78 15000 171 00I</t>
  </si>
  <si>
    <t>5 1 3 5 3 12 31111 6 M78 15000 171 00I 001</t>
  </si>
  <si>
    <t>5 1 3 5 3 12 31111 6 M78 15000 171 00I 001 35301</t>
  </si>
  <si>
    <t>MANTENIMIENTO Y CONSERVACION DE BIENES INFORMATICOS.</t>
  </si>
  <si>
    <t>5 1 3 5 3 12 31111 6 M78 15000 171 00I 001 35301 025</t>
  </si>
  <si>
    <t>5 1 3 5 3 12 31111 6 M78 15000 171 00I 001 35301 025 2112000</t>
  </si>
  <si>
    <t>5 1 3 5 3 12 31111 6 M78 15000 171 00I 001 35301 025 2112000 2024</t>
  </si>
  <si>
    <t>5 1 3 5 3 12 31111 6 M78 15000 171 00I 001 35301 025 2112000 2024 00000000</t>
  </si>
  <si>
    <t>5 1 3 5 3 12 31111 6 M78 15000 171 00I 001 35301 025 2112000 2024 00000000 003</t>
  </si>
  <si>
    <t>5 1 3 5 3 12 31111 6 M78 15000 171 00I 001 35301 025 2112000 2024 00000000 003 001</t>
  </si>
  <si>
    <t>DE EQUIPO DE COMPUTO Y ACCESORIOS.</t>
  </si>
  <si>
    <t>5 1 3 5 3 12 31111 6 M78 15000 171 00I 001 35301 025 2112000 2024 00000000 003 002</t>
  </si>
  <si>
    <t>DE EQUIPO DE RADIO Y COMUNICACION</t>
  </si>
  <si>
    <t>5 1 3 5 5</t>
  </si>
  <si>
    <t>REPARACIÓN Y MANTENIMIENTO DE EQUIPO DE TRANSPORTE</t>
  </si>
  <si>
    <t>5 1 3 5 5 12</t>
  </si>
  <si>
    <t>5 1 3 5 5 12 31111</t>
  </si>
  <si>
    <t>5 1 3 5 5 12 31111 6</t>
  </si>
  <si>
    <t>5 1 3 5 5 12 31111 6 M78</t>
  </si>
  <si>
    <t>5 1 3 5 5 12 31111 6 M78 15000</t>
  </si>
  <si>
    <t>5 1 3 5 5 12 31111 6 M78 15000 171</t>
  </si>
  <si>
    <t>5 1 3 5 5 12 31111 6 M78 15000 171 00I</t>
  </si>
  <si>
    <t>5 1 3 5 5 12 31111 6 M78 15000 171 00I 001</t>
  </si>
  <si>
    <t>5 1 3 5 5 12 31111 6 M78 15000 171 00I 001 35501</t>
  </si>
  <si>
    <t>MANTENIMIENTO Y CONSERVACION DE VEHICULOS TERRESTRES, AEREOS, MARITIMOS, LACUSTRES Y FLUVIALES.</t>
  </si>
  <si>
    <t>5 1 3 5 5 12 31111 6 M78 15000 171 00I 001 35501 025</t>
  </si>
  <si>
    <t>5 1 3 5 5 12 31111 6 M78 15000 171 00I 001 35501 025 2112000</t>
  </si>
  <si>
    <t>5 1 3 5 5 12 31111 6 M78 15000 171 00I 001 35501 025 2112000 2024</t>
  </si>
  <si>
    <t>5 1 3 5 5 12 31111 6 M78 15000 171 00I 001 35501 025 2112000 2024 00000000</t>
  </si>
  <si>
    <t>5 1 3 5 5 12 31111 6 M78 15000 171 00I 001 35501 025 2112000 2024 00000000 003</t>
  </si>
  <si>
    <t>5 1 3 5 5 12 31111 6 M78 15000 171 00I 001 35501 025 2112000 2024 00000000 003 001</t>
  </si>
  <si>
    <t>MANTENIMIENTO Y CONSERVACION DE VEHICULOS</t>
  </si>
  <si>
    <t>8</t>
  </si>
  <si>
    <t>CUENTAS DE ORDEN PRESUPUESTARIAS</t>
  </si>
  <si>
    <t>8 1</t>
  </si>
  <si>
    <t>LEY DE INGRESOS</t>
  </si>
  <si>
    <t>8 1 1</t>
  </si>
  <si>
    <t>LEY DE INGRESOS ESTIMADA</t>
  </si>
  <si>
    <t>8 1 2</t>
  </si>
  <si>
    <t>LEY DE INGRESOS POR EJECUTAR</t>
  </si>
  <si>
    <t>8 1 3</t>
  </si>
  <si>
    <t>MODIFICACIONES A LA LEY DE INGRESOS ESTIMADA</t>
  </si>
  <si>
    <t>8 1 4</t>
  </si>
  <si>
    <t>LEY DE INGRESOS DEVENGADA</t>
  </si>
  <si>
    <t>8 1 5</t>
  </si>
  <si>
    <t>LEY DE INGRESOS RECAUDADA</t>
  </si>
  <si>
    <t>8 2</t>
  </si>
  <si>
    <t>PRESUPUESTO DE EGRESOS</t>
  </si>
  <si>
    <t>8 2 1</t>
  </si>
  <si>
    <t>PRESUPUESTO DE EGRESOS APROBADO</t>
  </si>
  <si>
    <t>8 2 2</t>
  </si>
  <si>
    <t>PRESUPUESTO DE EGRESOS POR EJERCER</t>
  </si>
  <si>
    <t>8 2 3</t>
  </si>
  <si>
    <t>MODIFICACIONES AL PRESUPUESTO DE EGRESOS APROBADO</t>
  </si>
  <si>
    <t>8 2 4</t>
  </si>
  <si>
    <t>PRESUPUESTO DE EGRESOS COMPROMETIDO</t>
  </si>
  <si>
    <t>8 2 5</t>
  </si>
  <si>
    <t>PRESUPUESTO DE EGRESOS DEVENGADO</t>
  </si>
  <si>
    <t>8 2 6</t>
  </si>
  <si>
    <t>PRESUPUESTO DE EGRESOS EJERCIDO</t>
  </si>
  <si>
    <t>8 2 7</t>
  </si>
  <si>
    <t>PRESUPUESTO DE EGRESOS PAGADO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</si>
</sst>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0"/>
      <name val="Arial"/>
    </font>
    <font>
      <sz val="10"/>
      <color indexed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name val="Arial Narrow"/>
      <family val="2"/>
    </font>
    <font>
      <b/>
      <sz val="10"/>
      <color indexed="8"/>
      <name val="Arial Narrow"/>
      <family val="2"/>
    </font>
    <font>
      <sz val="10"/>
      <color indexed="8"/>
      <name val="Arial Narrow"/>
      <family val="2"/>
    </font>
    <font>
      <sz val="9"/>
      <color indexed="8"/>
      <name val="Arial Narrow"/>
      <family val="2"/>
    </font>
    <font>
      <b/>
      <sz val="7"/>
      <color indexed="8"/>
      <name val="Arial Narrow"/>
      <family val="2"/>
    </font>
    <font>
      <b/>
      <sz val="7"/>
      <name val="Arial"/>
      <family val="2"/>
    </font>
    <font>
      <sz val="7"/>
      <name val="Arial"/>
      <family val="2"/>
    </font>
    <font>
      <sz val="6"/>
      <name val="Arial"/>
      <family val="2"/>
    </font>
    <font>
      <sz val="7"/>
      <name val="Arial"/>
      <family val="2"/>
    </font>
    <font>
      <b/>
      <sz val="6"/>
      <name val="Arial"/>
      <family val="2"/>
    </font>
    <font>
      <sz val="6"/>
      <name val="Arial"/>
      <family val="2"/>
    </font>
    <font>
      <b/>
      <sz val="6"/>
      <name val="Arial"/>
      <family val="2"/>
    </font>
    <font>
      <sz val="6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2E2E2"/>
        <bgColor indexed="64"/>
      </patternFill>
    </fill>
    <fill>
      <patternFill patternType="none">
        <fgColor rgb="FFE2E2E2"/>
      </patternFill>
    </fill>
    <fill>
      <patternFill patternType="solid">
        <fgColor rgb="FFE2E2E2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2" fillId="0" borderId="0" xfId="0" applyFont="1" applyAlignment="1">
      <alignment vertical="top"/>
    </xf>
    <xf numFmtId="0" fontId="2" fillId="0" borderId="0" xfId="0" applyFont="1"/>
    <xf numFmtId="4" fontId="2" fillId="0" borderId="0" xfId="0" applyNumberFormat="1" applyFont="1" applyAlignment="1">
      <alignment vertical="top"/>
    </xf>
    <xf numFmtId="0" fontId="2" fillId="0" borderId="0" xfId="0" applyFont="1" applyAlignment="1">
      <alignment vertical="top" wrapText="1"/>
    </xf>
    <xf numFmtId="0" fontId="6" fillId="0" borderId="0" xfId="0" applyFont="1" applyAlignment="1">
      <alignment horizontal="center" vertical="top"/>
    </xf>
    <xf numFmtId="0" fontId="0" fillId="0" borderId="1" xfId="0" applyBorder="1"/>
    <xf numFmtId="0" fontId="0" fillId="0" borderId="4" xfId="0" applyBorder="1"/>
    <xf numFmtId="0" fontId="2" fillId="0" borderId="5" xfId="0" applyFont="1" applyBorder="1" applyAlignment="1">
      <alignment vertical="top"/>
    </xf>
    <xf numFmtId="0" fontId="3" fillId="0" borderId="3" xfId="0" applyFont="1" applyBorder="1"/>
    <xf numFmtId="0" fontId="3" fillId="0" borderId="6" xfId="0" applyFont="1" applyBorder="1" applyAlignment="1">
      <alignment vertical="top"/>
    </xf>
    <xf numFmtId="0" fontId="3" fillId="0" borderId="7" xfId="0" applyFont="1" applyBorder="1"/>
    <xf numFmtId="0" fontId="8" fillId="0" borderId="2" xfId="0" applyFont="1" applyBorder="1" applyAlignment="1">
      <alignment horizontal="center" vertical="top"/>
    </xf>
    <xf numFmtId="0" fontId="9" fillId="0" borderId="0" xfId="0" applyFont="1" applyAlignment="1">
      <alignment vertical="top"/>
    </xf>
    <xf numFmtId="0" fontId="9" fillId="0" borderId="8" xfId="0" applyFont="1" applyBorder="1" applyAlignment="1">
      <alignment vertical="top"/>
    </xf>
    <xf numFmtId="0" fontId="9" fillId="0" borderId="8" xfId="0" applyFont="1" applyBorder="1" applyAlignment="1">
      <alignment vertical="top" wrapText="1"/>
    </xf>
    <xf numFmtId="4" fontId="9" fillId="0" borderId="5" xfId="0" applyNumberFormat="1" applyFont="1" applyBorder="1" applyAlignment="1">
      <alignment horizontal="center"/>
    </xf>
    <xf numFmtId="4" fontId="9" fillId="0" borderId="6" xfId="0" applyNumberFormat="1" applyFont="1" applyBorder="1" applyAlignment="1">
      <alignment horizontal="center"/>
    </xf>
    <xf numFmtId="4" fontId="9" fillId="0" borderId="8" xfId="0" applyNumberFormat="1" applyFont="1" applyBorder="1" applyAlignment="1">
      <alignment horizontal="center"/>
    </xf>
    <xf numFmtId="0" fontId="2" fillId="2" borderId="0" xfId="0" applyFont="1" applyFill="1"/>
    <xf numFmtId="0" fontId="2" fillId="2" borderId="0" xfId="0" applyFont="1" applyFill="1" applyAlignment="1">
      <alignment vertical="top"/>
    </xf>
    <xf numFmtId="0" fontId="2" fillId="2" borderId="0" xfId="0" applyFont="1" applyFill="1" applyAlignment="1">
      <alignment wrapText="1"/>
    </xf>
    <xf numFmtId="4" fontId="2" fillId="2" borderId="0" xfId="0" applyNumberFormat="1" applyFont="1" applyFill="1"/>
    <xf numFmtId="0" fontId="0" fillId="2" borderId="0" xfId="0" applyFill="1"/>
    <xf numFmtId="0" fontId="1" fillId="2" borderId="0" xfId="0" applyFont="1" applyFill="1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left" vertical="center"/>
    </xf>
    <xf numFmtId="0" fontId="3" fillId="3" borderId="0" xfId="0" quotePrefix="1" applyFont="1" applyFill="1" applyAlignment="1">
      <alignment vertical="top"/>
    </xf>
    <xf numFmtId="4" fontId="3" fillId="0" borderId="0" xfId="0" quotePrefix="1" applyNumberFormat="1" applyFont="1" applyAlignment="1">
      <alignment vertical="top"/>
    </xf>
    <xf numFmtId="4" fontId="3" fillId="0" borderId="0" xfId="0" applyNumberFormat="1" applyFont="1" applyAlignment="1">
      <alignment vertical="top"/>
    </xf>
    <xf numFmtId="0" fontId="2" fillId="3" borderId="0" xfId="0" quotePrefix="1" applyFont="1" applyFill="1" applyAlignment="1">
      <alignment vertical="top"/>
    </xf>
    <xf numFmtId="4" fontId="2" fillId="0" borderId="0" xfId="0" quotePrefix="1" applyNumberFormat="1" applyFont="1" applyAlignment="1">
      <alignment vertical="top"/>
    </xf>
    <xf numFmtId="0" fontId="13" fillId="0" borderId="11" xfId="0" applyFont="1" applyBorder="1" applyAlignment="1">
      <alignment horizontal="left" vertical="center" wrapText="1"/>
    </xf>
    <xf numFmtId="4" fontId="15" fillId="0" borderId="11" xfId="0" applyNumberFormat="1" applyFont="1" applyBorder="1" applyAlignment="1">
      <alignment horizontal="right" vertical="center"/>
    </xf>
    <xf numFmtId="0" fontId="0" fillId="0" borderId="11" xfId="0" applyBorder="1"/>
    <xf numFmtId="0" fontId="11" fillId="0" borderId="11" xfId="0" applyFont="1" applyBorder="1" applyAlignment="1">
      <alignment horizontal="left" vertical="center" wrapText="1"/>
    </xf>
    <xf numFmtId="4" fontId="14" fillId="0" borderId="11" xfId="0" applyNumberFormat="1" applyFont="1" applyBorder="1" applyAlignment="1">
      <alignment horizontal="right" vertical="center"/>
    </xf>
    <xf numFmtId="0" fontId="2" fillId="0" borderId="11" xfId="0" applyFont="1" applyBorder="1" applyAlignment="1">
      <alignment vertical="top"/>
    </xf>
    <xf numFmtId="0" fontId="2" fillId="0" borderId="11" xfId="0" applyFont="1" applyBorder="1" applyAlignment="1">
      <alignment vertical="top" wrapText="1"/>
    </xf>
    <xf numFmtId="4" fontId="2" fillId="0" borderId="11" xfId="0" applyNumberFormat="1" applyFont="1" applyBorder="1" applyAlignment="1">
      <alignment vertical="top"/>
    </xf>
    <xf numFmtId="4" fontId="16" fillId="4" borderId="11" xfId="0" applyNumberFormat="1" applyFont="1" applyFill="1" applyBorder="1" applyAlignment="1">
      <alignment horizontal="right" vertical="center"/>
    </xf>
    <xf numFmtId="0" fontId="10" fillId="0" borderId="9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top"/>
    </xf>
    <xf numFmtId="0" fontId="8" fillId="0" borderId="3" xfId="0" applyFont="1" applyBorder="1" applyAlignment="1">
      <alignment horizontal="center" vertical="top"/>
    </xf>
    <xf numFmtId="0" fontId="8" fillId="0" borderId="2" xfId="0" applyFont="1" applyBorder="1" applyAlignment="1">
      <alignment horizontal="center" vertical="top"/>
    </xf>
    <xf numFmtId="0" fontId="6" fillId="2" borderId="0" xfId="0" applyFont="1" applyFill="1" applyAlignment="1">
      <alignment horizontal="center" vertical="top"/>
    </xf>
    <xf numFmtId="0" fontId="4" fillId="2" borderId="0" xfId="0" applyFont="1" applyFill="1" applyAlignment="1">
      <alignment horizontal="center" vertical="top"/>
    </xf>
    <xf numFmtId="0" fontId="5" fillId="2" borderId="0" xfId="0" applyFont="1" applyFill="1" applyAlignment="1">
      <alignment horizontal="center" vertical="top"/>
    </xf>
    <xf numFmtId="0" fontId="7" fillId="2" borderId="0" xfId="0" applyFont="1" applyFill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2E2E2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E2E2E2"/>
      <color rgb="FFEAEA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756</xdr:row>
      <xdr:rowOff>0</xdr:rowOff>
    </xdr:from>
    <xdr:to>
      <xdr:col>2</xdr:col>
      <xdr:colOff>809625</xdr:colOff>
      <xdr:row>762</xdr:row>
      <xdr:rowOff>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21EB133B-66F8-4FA3-9ED0-D5B4456BB419}"/>
            </a:ext>
          </a:extLst>
        </xdr:cNvPr>
        <xdr:cNvSpPr txBox="1">
          <a:spLocks noChangeArrowheads="1"/>
        </xdr:cNvSpPr>
      </xdr:nvSpPr>
      <xdr:spPr bwMode="auto">
        <a:xfrm>
          <a:off x="47625" y="392001375"/>
          <a:ext cx="2105025" cy="8572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Autorizò</a:t>
          </a: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__________________________________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Lic. Orquidia Hernàndez Mendoza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Presidenta Municipal Constitucional</a:t>
          </a:r>
        </a:p>
      </xdr:txBody>
    </xdr:sp>
    <xdr:clientData/>
  </xdr:twoCellAnchor>
  <xdr:twoCellAnchor>
    <xdr:from>
      <xdr:col>2</xdr:col>
      <xdr:colOff>1485900</xdr:colOff>
      <xdr:row>756</xdr:row>
      <xdr:rowOff>28575</xdr:rowOff>
    </xdr:from>
    <xdr:to>
      <xdr:col>3</xdr:col>
      <xdr:colOff>314325</xdr:colOff>
      <xdr:row>761</xdr:row>
      <xdr:rowOff>104775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FC0B24F8-D1A6-4844-8A60-35732393E456}"/>
            </a:ext>
          </a:extLst>
        </xdr:cNvPr>
        <xdr:cNvSpPr txBox="1">
          <a:spLocks noChangeArrowheads="1"/>
        </xdr:cNvSpPr>
      </xdr:nvSpPr>
      <xdr:spPr bwMode="auto">
        <a:xfrm>
          <a:off x="2828925" y="392029950"/>
          <a:ext cx="1495425" cy="7905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Vo.   Bo.</a:t>
          </a: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__________________________________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Ing. Salvador Flores Castillo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Sìndico Procurador Municipal</a:t>
          </a:r>
        </a:p>
      </xdr:txBody>
    </xdr:sp>
    <xdr:clientData/>
  </xdr:twoCellAnchor>
  <xdr:twoCellAnchor>
    <xdr:from>
      <xdr:col>4</xdr:col>
      <xdr:colOff>161925</xdr:colOff>
      <xdr:row>756</xdr:row>
      <xdr:rowOff>38100</xdr:rowOff>
    </xdr:from>
    <xdr:to>
      <xdr:col>6</xdr:col>
      <xdr:colOff>209550</xdr:colOff>
      <xdr:row>762</xdr:row>
      <xdr:rowOff>19050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2AD6A50A-BCC8-4502-B440-3B9F7F5F1585}"/>
            </a:ext>
          </a:extLst>
        </xdr:cNvPr>
        <xdr:cNvSpPr txBox="1">
          <a:spLocks noChangeArrowheads="1"/>
        </xdr:cNvSpPr>
      </xdr:nvSpPr>
      <xdr:spPr bwMode="auto">
        <a:xfrm>
          <a:off x="5057775" y="392039475"/>
          <a:ext cx="1819275" cy="838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Elaborò</a:t>
          </a: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__________________________________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Lic. Alberto Castro Flores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Tesorero Municipal</a:t>
          </a:r>
        </a:p>
      </xdr:txBody>
    </xdr:sp>
    <xdr:clientData/>
  </xdr:twoCellAnchor>
  <xdr:twoCellAnchor>
    <xdr:from>
      <xdr:col>6</xdr:col>
      <xdr:colOff>638176</xdr:colOff>
      <xdr:row>756</xdr:row>
      <xdr:rowOff>28575</xdr:rowOff>
    </xdr:from>
    <xdr:to>
      <xdr:col>8</xdr:col>
      <xdr:colOff>685800</xdr:colOff>
      <xdr:row>762</xdr:row>
      <xdr:rowOff>15875</xdr:rowOff>
    </xdr:to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782C08FE-EC74-430A-9BB2-2843FE9A3D28}"/>
            </a:ext>
          </a:extLst>
        </xdr:cNvPr>
        <xdr:cNvSpPr txBox="1">
          <a:spLocks noChangeArrowheads="1"/>
        </xdr:cNvSpPr>
      </xdr:nvSpPr>
      <xdr:spPr bwMode="auto">
        <a:xfrm>
          <a:off x="7305676" y="392029950"/>
          <a:ext cx="1819274" cy="844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Revisò</a:t>
          </a: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__________________________________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L.C. Erick Josué Riíos García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Titular del Òrgano Interno de Control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763"/>
  <sheetViews>
    <sheetView tabSelected="1" view="pageBreakPreview" zoomScale="60" zoomScaleNormal="100" workbookViewId="0">
      <selection activeCell="I17" sqref="I17"/>
    </sheetView>
  </sheetViews>
  <sheetFormatPr baseColWidth="10" defaultColWidth="9.1640625" defaultRowHeight="11" x14ac:dyDescent="0.15"/>
  <cols>
    <col min="1" max="1" width="0.6640625" style="2" customWidth="1" collapsed="1"/>
    <col min="2" max="2" width="16.5" style="2" customWidth="1" collapsed="1"/>
    <col min="3" max="3" width="43.5" style="5" customWidth="1" collapsed="1"/>
    <col min="4" max="6" width="13.33203125" style="4" customWidth="1" collapsed="1"/>
    <col min="7" max="7" width="13.33203125" style="2" customWidth="1" collapsed="1"/>
    <col min="8" max="8" width="13.33203125" style="5" customWidth="1" collapsed="1"/>
    <col min="9" max="9" width="13.33203125" style="4" customWidth="1" collapsed="1"/>
    <col min="10" max="10" width="0.6640625" style="2" customWidth="1" collapsed="1"/>
    <col min="11" max="11" width="13.6640625" style="2" hidden="1" customWidth="1" collapsed="1"/>
    <col min="12" max="13" width="0" style="2" hidden="1" customWidth="1" collapsed="1"/>
    <col min="14" max="16384" width="9.1640625" style="2" collapsed="1"/>
  </cols>
  <sheetData>
    <row r="1" spans="1:11" s="3" customFormat="1" ht="5.25" customHeight="1" x14ac:dyDescent="0.15">
      <c r="A1" s="20"/>
      <c r="B1" s="21"/>
      <c r="C1" s="22"/>
      <c r="D1" s="23"/>
      <c r="E1" s="23"/>
      <c r="F1" s="23"/>
      <c r="G1" s="21"/>
      <c r="H1" s="22"/>
      <c r="I1" s="23"/>
      <c r="J1" s="20"/>
    </row>
    <row r="2" spans="1:11" customFormat="1" ht="13.5" customHeight="1" x14ac:dyDescent="0.15">
      <c r="A2" s="24"/>
      <c r="B2" s="49" t="s">
        <v>7</v>
      </c>
      <c r="C2" s="49"/>
      <c r="D2" s="49"/>
      <c r="E2" s="49"/>
      <c r="F2" s="49"/>
      <c r="G2" s="49"/>
      <c r="H2" s="49"/>
      <c r="I2" s="49"/>
      <c r="J2" s="24"/>
    </row>
    <row r="3" spans="1:11" s="1" customFormat="1" ht="13.5" customHeight="1" x14ac:dyDescent="0.15">
      <c r="A3" s="25"/>
      <c r="B3" s="50" t="s">
        <v>8</v>
      </c>
      <c r="C3" s="50"/>
      <c r="D3" s="50"/>
      <c r="E3" s="50"/>
      <c r="F3" s="50"/>
      <c r="G3" s="50"/>
      <c r="H3" s="50"/>
      <c r="I3" s="50"/>
      <c r="J3" s="25"/>
    </row>
    <row r="4" spans="1:11" s="1" customFormat="1" ht="13.5" customHeight="1" x14ac:dyDescent="0.15">
      <c r="A4" s="25"/>
      <c r="B4" s="48" t="s">
        <v>9</v>
      </c>
      <c r="C4" s="48"/>
      <c r="D4" s="48"/>
      <c r="E4" s="48"/>
      <c r="F4" s="48"/>
      <c r="G4" s="48"/>
      <c r="H4" s="48"/>
      <c r="I4" s="48"/>
      <c r="J4" s="25"/>
    </row>
    <row r="5" spans="1:11" s="1" customFormat="1" ht="13.5" customHeight="1" x14ac:dyDescent="0.15">
      <c r="A5" s="25"/>
      <c r="B5" s="48" t="s">
        <v>10</v>
      </c>
      <c r="C5" s="48"/>
      <c r="D5" s="48"/>
      <c r="E5" s="48"/>
      <c r="F5" s="48"/>
      <c r="G5" s="48"/>
      <c r="H5" s="48"/>
      <c r="I5" s="48"/>
      <c r="J5" s="25"/>
    </row>
    <row r="6" spans="1:11" customFormat="1" ht="13.5" customHeight="1" x14ac:dyDescent="0.15">
      <c r="A6" s="24"/>
      <c r="B6" s="51" t="s">
        <v>11</v>
      </c>
      <c r="C6" s="51"/>
      <c r="D6" s="51"/>
      <c r="E6" s="51"/>
      <c r="F6" s="51"/>
      <c r="G6" s="51"/>
      <c r="H6" s="51"/>
      <c r="I6" s="51"/>
      <c r="J6" s="24"/>
    </row>
    <row r="7" spans="1:11" customFormat="1" ht="13.5" customHeight="1" x14ac:dyDescent="0.15">
      <c r="A7" s="24"/>
      <c r="B7" s="48"/>
      <c r="C7" s="48"/>
      <c r="D7" s="48"/>
      <c r="E7" s="48"/>
      <c r="F7" s="48"/>
      <c r="G7" s="48"/>
      <c r="H7" s="48"/>
      <c r="I7" s="48"/>
      <c r="J7" s="24"/>
    </row>
    <row r="8" spans="1:11" customFormat="1" ht="8.25" customHeight="1" x14ac:dyDescent="0.15">
      <c r="B8" s="6"/>
      <c r="C8" s="6"/>
      <c r="D8" s="6"/>
      <c r="E8" s="6"/>
      <c r="F8" s="6"/>
      <c r="G8" s="6"/>
      <c r="H8" s="6"/>
      <c r="I8" s="6"/>
    </row>
    <row r="9" spans="1:11" customFormat="1" ht="13" x14ac:dyDescent="0.15">
      <c r="A9" s="7"/>
      <c r="B9" s="13"/>
      <c r="C9" s="13"/>
      <c r="D9" s="45" t="s">
        <v>6</v>
      </c>
      <c r="E9" s="46"/>
      <c r="F9" s="45" t="s">
        <v>5</v>
      </c>
      <c r="G9" s="46"/>
      <c r="H9" s="47" t="s">
        <v>4</v>
      </c>
      <c r="I9" s="47"/>
      <c r="J9" s="10"/>
    </row>
    <row r="10" spans="1:11" customFormat="1" ht="13" x14ac:dyDescent="0.15">
      <c r="A10" s="8"/>
      <c r="B10" s="14" t="s">
        <v>2</v>
      </c>
      <c r="C10" s="26" t="s">
        <v>3</v>
      </c>
      <c r="D10" s="42" t="s">
        <v>12</v>
      </c>
      <c r="E10" s="43"/>
      <c r="F10" s="42" t="s">
        <v>13</v>
      </c>
      <c r="G10" s="43"/>
      <c r="H10" s="44" t="s">
        <v>14</v>
      </c>
      <c r="I10" s="44"/>
      <c r="J10" s="12"/>
    </row>
    <row r="11" spans="1:11" x14ac:dyDescent="0.15">
      <c r="A11" s="9"/>
      <c r="B11" s="15"/>
      <c r="C11" s="16"/>
      <c r="D11" s="17" t="s">
        <v>0</v>
      </c>
      <c r="E11" s="18" t="s">
        <v>1</v>
      </c>
      <c r="F11" s="17" t="s">
        <v>0</v>
      </c>
      <c r="G11" s="18" t="s">
        <v>1</v>
      </c>
      <c r="H11" s="19" t="s">
        <v>0</v>
      </c>
      <c r="I11" s="19" t="s">
        <v>1</v>
      </c>
      <c r="J11" s="11"/>
    </row>
    <row r="12" spans="1:11" ht="13" x14ac:dyDescent="0.15">
      <c r="B12" s="33" t="s">
        <v>15</v>
      </c>
      <c r="C12" s="33" t="s">
        <v>16</v>
      </c>
      <c r="D12" s="34">
        <f>SUMIFS(D13:D747,K13:K747,"0",B13:B747,"1*")-SUMIFS(E13:E747,K13:K747,"0",B13:B747,"1*")</f>
        <v>3192579.13</v>
      </c>
      <c r="E12" s="35"/>
      <c r="F12" s="34">
        <f>SUMIFS(F13:F747,K13:K747,"0",B13:B747,"1*")</f>
        <v>21284455.860000003</v>
      </c>
      <c r="G12" s="34">
        <f>SUMIFS(G13:G747,K13:K747,"0",B13:B747,"1*")</f>
        <v>20581123.819999997</v>
      </c>
      <c r="H12" s="34">
        <f t="shared" ref="H12:H75" si="0">D12 + F12 - G12</f>
        <v>3895911.1700000055</v>
      </c>
      <c r="I12" s="34"/>
      <c r="K12" t="s">
        <v>15</v>
      </c>
    </row>
    <row r="13" spans="1:11" ht="13" x14ac:dyDescent="0.15">
      <c r="B13" s="33" t="s">
        <v>17</v>
      </c>
      <c r="C13" s="33" t="s">
        <v>18</v>
      </c>
      <c r="D13" s="34">
        <f>SUMIFS(D14:D747,K14:K747,"0",B14:B747,"1 1*")-SUMIFS(E14:E747,K14:K747,"0",B14:B747,"1 1*")</f>
        <v>391948.62</v>
      </c>
      <c r="E13" s="35"/>
      <c r="F13" s="34">
        <f>SUMIFS(F14:F747,K14:K747,"0",B14:B747,"1 1*")</f>
        <v>21266855.860000003</v>
      </c>
      <c r="G13" s="34">
        <f>SUMIFS(G14:G747,K14:K747,"0",B14:B747,"1 1*")</f>
        <v>19851866.940000001</v>
      </c>
      <c r="H13" s="34">
        <f t="shared" si="0"/>
        <v>1806937.5400000028</v>
      </c>
      <c r="I13" s="34"/>
      <c r="K13" t="s">
        <v>15</v>
      </c>
    </row>
    <row r="14" spans="1:11" ht="13" x14ac:dyDescent="0.15">
      <c r="B14" s="33" t="s">
        <v>19</v>
      </c>
      <c r="C14" s="33" t="s">
        <v>20</v>
      </c>
      <c r="D14" s="34">
        <f>SUMIFS(D15:D747,K15:K747,"0",B15:B747,"1 1 1*")-SUMIFS(E15:E747,K15:K747,"0",B15:B747,"1 1 1*")</f>
        <v>635.36</v>
      </c>
      <c r="E14" s="35"/>
      <c r="F14" s="34">
        <f>SUMIFS(F15:F747,K15:K747,"0",B15:B747,"1 1 1*")</f>
        <v>12655438.16</v>
      </c>
      <c r="G14" s="34">
        <f>SUMIFS(G15:G747,K15:K747,"0",B15:B747,"1 1 1*")</f>
        <v>11041642.960000001</v>
      </c>
      <c r="H14" s="34">
        <f t="shared" si="0"/>
        <v>1614430.5599999987</v>
      </c>
      <c r="I14" s="34"/>
      <c r="K14" t="s">
        <v>15</v>
      </c>
    </row>
    <row r="15" spans="1:11" ht="13" x14ac:dyDescent="0.15">
      <c r="B15" s="33" t="s">
        <v>21</v>
      </c>
      <c r="C15" s="33" t="s">
        <v>22</v>
      </c>
      <c r="D15" s="34">
        <f>SUMIFS(D16:D747,K16:K747,"0",B16:B747,"1 1 1 2*")-SUMIFS(E16:E747,K16:K747,"0",B16:B747,"1 1 1 2*")</f>
        <v>635.36</v>
      </c>
      <c r="E15" s="35"/>
      <c r="F15" s="34">
        <f>SUMIFS(F16:F747,K16:K747,"0",B16:B747,"1 1 1 2*")</f>
        <v>12655438.16</v>
      </c>
      <c r="G15" s="34">
        <f>SUMIFS(G16:G747,K16:K747,"0",B16:B747,"1 1 1 2*")</f>
        <v>11041642.960000001</v>
      </c>
      <c r="H15" s="34">
        <f t="shared" si="0"/>
        <v>1614430.5599999987</v>
      </c>
      <c r="I15" s="34"/>
      <c r="K15" t="s">
        <v>15</v>
      </c>
    </row>
    <row r="16" spans="1:11" ht="13" x14ac:dyDescent="0.15">
      <c r="B16" s="33" t="s">
        <v>23</v>
      </c>
      <c r="C16" s="33" t="s">
        <v>24</v>
      </c>
      <c r="D16" s="34">
        <f>SUMIFS(D17:D747,K17:K747,"0",B17:B747,"1 1 1 2 1*")-SUMIFS(E17:E747,K17:K747,"0",B17:B747,"1 1 1 2 1*")</f>
        <v>635.36</v>
      </c>
      <c r="E16" s="35"/>
      <c r="F16" s="34">
        <f>SUMIFS(F17:F747,K17:K747,"0",B17:B747,"1 1 1 2 1*")</f>
        <v>12655438.16</v>
      </c>
      <c r="G16" s="34">
        <f>SUMIFS(G17:G747,K17:K747,"0",B17:B747,"1 1 1 2 1*")</f>
        <v>11041642.960000001</v>
      </c>
      <c r="H16" s="34">
        <f t="shared" si="0"/>
        <v>1614430.5599999987</v>
      </c>
      <c r="I16" s="34"/>
      <c r="K16" t="s">
        <v>15</v>
      </c>
    </row>
    <row r="17" spans="2:11" ht="13" x14ac:dyDescent="0.15">
      <c r="B17" s="33" t="s">
        <v>25</v>
      </c>
      <c r="C17" s="33" t="s">
        <v>26</v>
      </c>
      <c r="D17" s="34">
        <f>SUMIFS(D18:D747,K18:K747,"0",B18:B747,"1 1 1 2 1 12*")-SUMIFS(E18:E747,K18:K747,"0",B18:B747,"1 1 1 2 1 12*")</f>
        <v>635.36</v>
      </c>
      <c r="E17" s="35"/>
      <c r="F17" s="34">
        <f>SUMIFS(F18:F747,K18:K747,"0",B18:B747,"1 1 1 2 1 12*")</f>
        <v>12655438.16</v>
      </c>
      <c r="G17" s="34">
        <f>SUMIFS(G18:G747,K18:K747,"0",B18:B747,"1 1 1 2 1 12*")</f>
        <v>11041642.960000001</v>
      </c>
      <c r="H17" s="34">
        <f t="shared" si="0"/>
        <v>1614430.5599999987</v>
      </c>
      <c r="I17" s="34"/>
      <c r="K17" t="s">
        <v>15</v>
      </c>
    </row>
    <row r="18" spans="2:11" ht="13" x14ac:dyDescent="0.15">
      <c r="B18" s="33" t="s">
        <v>27</v>
      </c>
      <c r="C18" s="33" t="s">
        <v>28</v>
      </c>
      <c r="D18" s="34">
        <f>SUMIFS(D19:D747,K19:K747,"0",B19:B747,"1 1 1 2 1 12 31111*")-SUMIFS(E19:E747,K19:K747,"0",B19:B747,"1 1 1 2 1 12 31111*")</f>
        <v>635.36</v>
      </c>
      <c r="E18" s="35"/>
      <c r="F18" s="34">
        <f>SUMIFS(F19:F747,K19:K747,"0",B19:B747,"1 1 1 2 1 12 31111*")</f>
        <v>12655438.16</v>
      </c>
      <c r="G18" s="34">
        <f>SUMIFS(G19:G747,K19:K747,"0",B19:B747,"1 1 1 2 1 12 31111*")</f>
        <v>11041642.960000001</v>
      </c>
      <c r="H18" s="34">
        <f t="shared" si="0"/>
        <v>1614430.5599999987</v>
      </c>
      <c r="I18" s="34"/>
      <c r="K18" t="s">
        <v>15</v>
      </c>
    </row>
    <row r="19" spans="2:11" ht="13" x14ac:dyDescent="0.15">
      <c r="B19" s="33" t="s">
        <v>29</v>
      </c>
      <c r="C19" s="33" t="s">
        <v>30</v>
      </c>
      <c r="D19" s="34">
        <f>SUMIFS(D20:D747,K20:K747,"0",B20:B747,"1 1 1 2 1 12 31111 6*")-SUMIFS(E20:E747,K20:K747,"0",B20:B747,"1 1 1 2 1 12 31111 6*")</f>
        <v>635.36</v>
      </c>
      <c r="E19" s="35"/>
      <c r="F19" s="34">
        <f>SUMIFS(F20:F747,K20:K747,"0",B20:B747,"1 1 1 2 1 12 31111 6*")</f>
        <v>12655438.16</v>
      </c>
      <c r="G19" s="34">
        <f>SUMIFS(G20:G747,K20:K747,"0",B20:B747,"1 1 1 2 1 12 31111 6*")</f>
        <v>11041642.960000001</v>
      </c>
      <c r="H19" s="34">
        <f t="shared" si="0"/>
        <v>1614430.5599999987</v>
      </c>
      <c r="I19" s="34"/>
      <c r="K19" t="s">
        <v>15</v>
      </c>
    </row>
    <row r="20" spans="2:11" ht="13" x14ac:dyDescent="0.15">
      <c r="B20" s="33" t="s">
        <v>31</v>
      </c>
      <c r="C20" s="33" t="s">
        <v>32</v>
      </c>
      <c r="D20" s="34">
        <f>SUMIFS(D21:D747,K21:K747,"0",B21:B747,"1 1 1 2 1 12 31111 6 M78*")-SUMIFS(E21:E747,K21:K747,"0",B21:B747,"1 1 1 2 1 12 31111 6 M78*")</f>
        <v>635.36</v>
      </c>
      <c r="E20" s="35"/>
      <c r="F20" s="34">
        <f>SUMIFS(F21:F747,K21:K747,"0",B21:B747,"1 1 1 2 1 12 31111 6 M78*")</f>
        <v>12655438.16</v>
      </c>
      <c r="G20" s="34">
        <f>SUMIFS(G21:G747,K21:K747,"0",B21:B747,"1 1 1 2 1 12 31111 6 M78*")</f>
        <v>11041642.960000001</v>
      </c>
      <c r="H20" s="34">
        <f t="shared" si="0"/>
        <v>1614430.5599999987</v>
      </c>
      <c r="I20" s="34"/>
      <c r="K20" t="s">
        <v>15</v>
      </c>
    </row>
    <row r="21" spans="2:11" ht="13" x14ac:dyDescent="0.15">
      <c r="B21" s="33" t="s">
        <v>33</v>
      </c>
      <c r="C21" s="33" t="s">
        <v>34</v>
      </c>
      <c r="D21" s="34">
        <f>SUMIFS(D22:D747,K22:K747,"0",B22:B747,"1 1 1 2 1 12 31111 6 M78 00003*")-SUMIFS(E22:E747,K22:K747,"0",B22:B747,"1 1 1 2 1 12 31111 6 M78 00003*")</f>
        <v>635.36</v>
      </c>
      <c r="E21" s="35"/>
      <c r="F21" s="34">
        <f>SUMIFS(F22:F747,K22:K747,"0",B22:B747,"1 1 1 2 1 12 31111 6 M78 00003*")</f>
        <v>12655438.16</v>
      </c>
      <c r="G21" s="34">
        <f>SUMIFS(G22:G747,K22:K747,"0",B22:B747,"1 1 1 2 1 12 31111 6 M78 00003*")</f>
        <v>11041642.960000001</v>
      </c>
      <c r="H21" s="34">
        <f t="shared" si="0"/>
        <v>1614430.5599999987</v>
      </c>
      <c r="I21" s="34"/>
      <c r="K21" t="s">
        <v>15</v>
      </c>
    </row>
    <row r="22" spans="2:11" ht="22" x14ac:dyDescent="0.15">
      <c r="B22" s="33" t="s">
        <v>35</v>
      </c>
      <c r="C22" s="33" t="s">
        <v>36</v>
      </c>
      <c r="D22" s="34">
        <f>SUMIFS(D23:D747,K23:K747,"0",B23:B747,"1 1 1 2 1 12 31111 6 M78 00003 002*")-SUMIFS(E23:E747,K23:K747,"0",B23:B747,"1 1 1 2 1 12 31111 6 M78 00003 002*")</f>
        <v>635.36</v>
      </c>
      <c r="E22" s="35"/>
      <c r="F22" s="34">
        <f>SUMIFS(F23:F747,K23:K747,"0",B23:B747,"1 1 1 2 1 12 31111 6 M78 00003 002*")</f>
        <v>12655438.16</v>
      </c>
      <c r="G22" s="34">
        <f>SUMIFS(G23:G747,K23:K747,"0",B23:B747,"1 1 1 2 1 12 31111 6 M78 00003 002*")</f>
        <v>11041642.960000001</v>
      </c>
      <c r="H22" s="34">
        <f t="shared" si="0"/>
        <v>1614430.5599999987</v>
      </c>
      <c r="I22" s="34"/>
      <c r="K22" t="s">
        <v>15</v>
      </c>
    </row>
    <row r="23" spans="2:11" ht="22" x14ac:dyDescent="0.15">
      <c r="B23" s="36" t="s">
        <v>37</v>
      </c>
      <c r="C23" s="36" t="s">
        <v>38</v>
      </c>
      <c r="D23" s="37">
        <v>0.01</v>
      </c>
      <c r="E23" s="37"/>
      <c r="F23" s="37">
        <v>0</v>
      </c>
      <c r="G23" s="37">
        <v>0</v>
      </c>
      <c r="H23" s="37">
        <f t="shared" si="0"/>
        <v>0.01</v>
      </c>
      <c r="I23" s="37"/>
      <c r="K23" t="s">
        <v>39</v>
      </c>
    </row>
    <row r="24" spans="2:11" ht="22" x14ac:dyDescent="0.15">
      <c r="B24" s="36" t="s">
        <v>40</v>
      </c>
      <c r="C24" s="36" t="s">
        <v>41</v>
      </c>
      <c r="D24" s="37">
        <v>165.08</v>
      </c>
      <c r="E24" s="37"/>
      <c r="F24" s="37">
        <v>0</v>
      </c>
      <c r="G24" s="37">
        <v>0</v>
      </c>
      <c r="H24" s="37">
        <f t="shared" si="0"/>
        <v>165.08</v>
      </c>
      <c r="I24" s="37"/>
      <c r="K24" t="s">
        <v>39</v>
      </c>
    </row>
    <row r="25" spans="2:11" ht="22" x14ac:dyDescent="0.15">
      <c r="B25" s="36" t="s">
        <v>42</v>
      </c>
      <c r="C25" s="36" t="s">
        <v>43</v>
      </c>
      <c r="D25" s="37">
        <v>0</v>
      </c>
      <c r="E25" s="37"/>
      <c r="F25" s="37">
        <v>2007750.66</v>
      </c>
      <c r="G25" s="37">
        <v>1300000</v>
      </c>
      <c r="H25" s="37">
        <f t="shared" si="0"/>
        <v>707750.65999999992</v>
      </c>
      <c r="I25" s="37"/>
      <c r="K25" t="s">
        <v>39</v>
      </c>
    </row>
    <row r="26" spans="2:11" ht="22" x14ac:dyDescent="0.15">
      <c r="B26" s="36" t="s">
        <v>44</v>
      </c>
      <c r="C26" s="36" t="s">
        <v>45</v>
      </c>
      <c r="D26" s="37">
        <v>470.27</v>
      </c>
      <c r="E26" s="37"/>
      <c r="F26" s="37">
        <v>352454.83</v>
      </c>
      <c r="G26" s="37">
        <v>334238.05</v>
      </c>
      <c r="H26" s="37">
        <f t="shared" si="0"/>
        <v>18687.050000000047</v>
      </c>
      <c r="I26" s="37"/>
      <c r="K26" t="s">
        <v>39</v>
      </c>
    </row>
    <row r="27" spans="2:11" ht="22" x14ac:dyDescent="0.15">
      <c r="B27" s="36" t="s">
        <v>46</v>
      </c>
      <c r="C27" s="36" t="s">
        <v>47</v>
      </c>
      <c r="D27" s="37">
        <v>0</v>
      </c>
      <c r="E27" s="37"/>
      <c r="F27" s="37">
        <v>10295232.67</v>
      </c>
      <c r="G27" s="37">
        <v>9407404.9100000001</v>
      </c>
      <c r="H27" s="37">
        <f t="shared" si="0"/>
        <v>887827.75999999978</v>
      </c>
      <c r="I27" s="37"/>
      <c r="K27" t="s">
        <v>39</v>
      </c>
    </row>
    <row r="28" spans="2:11" ht="13" x14ac:dyDescent="0.15">
      <c r="B28" s="33" t="s">
        <v>48</v>
      </c>
      <c r="C28" s="33" t="s">
        <v>49</v>
      </c>
      <c r="D28" s="34">
        <f>SUMIFS(D29:D747,K29:K747,"0",B29:B747,"1 1 2*")-SUMIFS(E29:E747,K29:K747,"0",B29:B747,"1 1 2*")</f>
        <v>198287.9</v>
      </c>
      <c r="E28" s="35"/>
      <c r="F28" s="34">
        <f>SUMIFS(F29:F747,K29:K747,"0",B29:B747,"1 1 2*")</f>
        <v>8611417.7000000011</v>
      </c>
      <c r="G28" s="34">
        <f>SUMIFS(G29:G747,K29:K747,"0",B29:B747,"1 1 2*")</f>
        <v>8810223.9800000004</v>
      </c>
      <c r="H28" s="34">
        <f t="shared" si="0"/>
        <v>-518.37999999895692</v>
      </c>
      <c r="I28" s="34"/>
      <c r="K28" t="s">
        <v>15</v>
      </c>
    </row>
    <row r="29" spans="2:11" ht="13" x14ac:dyDescent="0.15">
      <c r="B29" s="33" t="s">
        <v>50</v>
      </c>
      <c r="C29" s="33" t="s">
        <v>51</v>
      </c>
      <c r="D29" s="34">
        <f>SUMIFS(D30:D747,K30:K747,"0",B30:B747,"1 1 2 2*")-SUMIFS(E30:E747,K30:K747,"0",B30:B747,"1 1 2 2*")</f>
        <v>181.96000000000004</v>
      </c>
      <c r="E29" s="35"/>
      <c r="F29" s="34">
        <f>SUMIFS(F30:F747,K30:K747,"0",B30:B747,"1 1 2 2*")</f>
        <v>8371968.6900000004</v>
      </c>
      <c r="G29" s="34">
        <f>SUMIFS(G30:G747,K30:K747,"0",B30:B747,"1 1 2 2*")</f>
        <v>8372353.6499999994</v>
      </c>
      <c r="H29" s="34">
        <f t="shared" si="0"/>
        <v>-202.99999999906868</v>
      </c>
      <c r="I29" s="34"/>
      <c r="K29" t="s">
        <v>15</v>
      </c>
    </row>
    <row r="30" spans="2:11" ht="13" x14ac:dyDescent="0.15">
      <c r="B30" s="33" t="s">
        <v>52</v>
      </c>
      <c r="C30" s="33" t="s">
        <v>53</v>
      </c>
      <c r="D30" s="34">
        <f>SUMIFS(D31:D747,K31:K747,"0",B31:B747,"1 1 2 2 5*")-SUMIFS(E31:E747,K31:K747,"0",B31:B747,"1 1 2 2 5*")</f>
        <v>181.96000000000004</v>
      </c>
      <c r="E30" s="35"/>
      <c r="F30" s="34">
        <f>SUMIFS(F31:F747,K31:K747,"0",B31:B747,"1 1 2 2 5*")</f>
        <v>8371968.6900000004</v>
      </c>
      <c r="G30" s="34">
        <f>SUMIFS(G31:G747,K31:K747,"0",B31:B747,"1 1 2 2 5*")</f>
        <v>8372353.6499999994</v>
      </c>
      <c r="H30" s="34">
        <f t="shared" si="0"/>
        <v>-202.99999999906868</v>
      </c>
      <c r="I30" s="34"/>
      <c r="K30" t="s">
        <v>15</v>
      </c>
    </row>
    <row r="31" spans="2:11" ht="13" x14ac:dyDescent="0.15">
      <c r="B31" s="33" t="s">
        <v>54</v>
      </c>
      <c r="C31" s="33" t="s">
        <v>26</v>
      </c>
      <c r="D31" s="34">
        <f>SUMIFS(D32:D747,K32:K747,"0",B32:B747,"1 1 2 2 5 12*")-SUMIFS(E32:E747,K32:K747,"0",B32:B747,"1 1 2 2 5 12*")</f>
        <v>181.96000000000004</v>
      </c>
      <c r="E31" s="35"/>
      <c r="F31" s="34">
        <f>SUMIFS(F32:F747,K32:K747,"0",B32:B747,"1 1 2 2 5 12*")</f>
        <v>8371968.6900000004</v>
      </c>
      <c r="G31" s="34">
        <f>SUMIFS(G32:G747,K32:K747,"0",B32:B747,"1 1 2 2 5 12*")</f>
        <v>8372353.6499999994</v>
      </c>
      <c r="H31" s="34">
        <f t="shared" si="0"/>
        <v>-202.99999999906868</v>
      </c>
      <c r="I31" s="34"/>
      <c r="K31" t="s">
        <v>15</v>
      </c>
    </row>
    <row r="32" spans="2:11" ht="13" x14ac:dyDescent="0.15">
      <c r="B32" s="33" t="s">
        <v>55</v>
      </c>
      <c r="C32" s="33" t="s">
        <v>28</v>
      </c>
      <c r="D32" s="34">
        <f>SUMIFS(D33:D747,K33:K747,"0",B33:B747,"1 1 2 2 5 12 31111*")-SUMIFS(E33:E747,K33:K747,"0",B33:B747,"1 1 2 2 5 12 31111*")</f>
        <v>181.96000000000004</v>
      </c>
      <c r="E32" s="35"/>
      <c r="F32" s="34">
        <f>SUMIFS(F33:F747,K33:K747,"0",B33:B747,"1 1 2 2 5 12 31111*")</f>
        <v>8371968.6900000004</v>
      </c>
      <c r="G32" s="34">
        <f>SUMIFS(G33:G747,K33:K747,"0",B33:B747,"1 1 2 2 5 12 31111*")</f>
        <v>8372353.6499999994</v>
      </c>
      <c r="H32" s="34">
        <f t="shared" si="0"/>
        <v>-202.99999999906868</v>
      </c>
      <c r="I32" s="34"/>
      <c r="K32" t="s">
        <v>15</v>
      </c>
    </row>
    <row r="33" spans="2:11" ht="13" x14ac:dyDescent="0.15">
      <c r="B33" s="33" t="s">
        <v>56</v>
      </c>
      <c r="C33" s="33" t="s">
        <v>30</v>
      </c>
      <c r="D33" s="34">
        <f>SUMIFS(D34:D747,K34:K747,"0",B34:B747,"1 1 2 2 5 12 31111 6*")-SUMIFS(E34:E747,K34:K747,"0",B34:B747,"1 1 2 2 5 12 31111 6*")</f>
        <v>181.96000000000004</v>
      </c>
      <c r="E33" s="35"/>
      <c r="F33" s="34">
        <f>SUMIFS(F34:F747,K34:K747,"0",B34:B747,"1 1 2 2 5 12 31111 6*")</f>
        <v>8371968.6900000004</v>
      </c>
      <c r="G33" s="34">
        <f>SUMIFS(G34:G747,K34:K747,"0",B34:B747,"1 1 2 2 5 12 31111 6*")</f>
        <v>8372353.6499999994</v>
      </c>
      <c r="H33" s="34">
        <f t="shared" si="0"/>
        <v>-202.99999999906868</v>
      </c>
      <c r="I33" s="34"/>
      <c r="K33" t="s">
        <v>15</v>
      </c>
    </row>
    <row r="34" spans="2:11" ht="13" x14ac:dyDescent="0.15">
      <c r="B34" s="33" t="s">
        <v>57</v>
      </c>
      <c r="C34" s="33" t="s">
        <v>32</v>
      </c>
      <c r="D34" s="34">
        <f>SUMIFS(D35:D747,K35:K747,"0",B35:B747,"1 1 2 2 5 12 31111 6 M78*")-SUMIFS(E35:E747,K35:K747,"0",B35:B747,"1 1 2 2 5 12 31111 6 M78*")</f>
        <v>181.96000000000004</v>
      </c>
      <c r="E34" s="35"/>
      <c r="F34" s="34">
        <f>SUMIFS(F35:F747,K35:K747,"0",B35:B747,"1 1 2 2 5 12 31111 6 M78*")</f>
        <v>8371968.6900000004</v>
      </c>
      <c r="G34" s="34">
        <f>SUMIFS(G35:G747,K35:K747,"0",B35:B747,"1 1 2 2 5 12 31111 6 M78*")</f>
        <v>8372353.6499999994</v>
      </c>
      <c r="H34" s="34">
        <f t="shared" si="0"/>
        <v>-202.99999999906868</v>
      </c>
      <c r="I34" s="34"/>
      <c r="K34" t="s">
        <v>15</v>
      </c>
    </row>
    <row r="35" spans="2:11" ht="13" x14ac:dyDescent="0.15">
      <c r="B35" s="33" t="s">
        <v>58</v>
      </c>
      <c r="C35" s="33" t="s">
        <v>34</v>
      </c>
      <c r="D35" s="34">
        <f>SUMIFS(D36:D747,K36:K747,"0",B36:B747,"1 1 2 2 5 12 31111 6 M78 00003*")-SUMIFS(E36:E747,K36:K747,"0",B36:B747,"1 1 2 2 5 12 31111 6 M78 00003*")</f>
        <v>181.96000000000004</v>
      </c>
      <c r="E35" s="35"/>
      <c r="F35" s="34">
        <f>SUMIFS(F36:F747,K36:K747,"0",B36:B747,"1 1 2 2 5 12 31111 6 M78 00003*")</f>
        <v>8371968.6900000004</v>
      </c>
      <c r="G35" s="34">
        <f>SUMIFS(G36:G747,K36:K747,"0",B36:B747,"1 1 2 2 5 12 31111 6 M78 00003*")</f>
        <v>8372353.6499999994</v>
      </c>
      <c r="H35" s="34">
        <f t="shared" si="0"/>
        <v>-202.99999999906868</v>
      </c>
      <c r="I35" s="34"/>
      <c r="K35" t="s">
        <v>15</v>
      </c>
    </row>
    <row r="36" spans="2:11" ht="22" x14ac:dyDescent="0.15">
      <c r="B36" s="33" t="s">
        <v>59</v>
      </c>
      <c r="C36" s="33" t="s">
        <v>36</v>
      </c>
      <c r="D36" s="34">
        <f>SUMIFS(D37:D747,K37:K747,"0",B37:B747,"1 1 2 2 5 12 31111 6 M78 00003 002*")-SUMIFS(E37:E747,K37:K747,"0",B37:B747,"1 1 2 2 5 12 31111 6 M78 00003 002*")</f>
        <v>181.96000000000004</v>
      </c>
      <c r="E36" s="35"/>
      <c r="F36" s="34">
        <f>SUMIFS(F37:F747,K37:K747,"0",B37:B747,"1 1 2 2 5 12 31111 6 M78 00003 002*")</f>
        <v>8371968.6900000004</v>
      </c>
      <c r="G36" s="34">
        <f>SUMIFS(G37:G747,K37:K747,"0",B37:B747,"1 1 2 2 5 12 31111 6 M78 00003 002*")</f>
        <v>8372353.6499999994</v>
      </c>
      <c r="H36" s="34">
        <f t="shared" si="0"/>
        <v>-202.99999999906868</v>
      </c>
      <c r="I36" s="34"/>
      <c r="K36" t="s">
        <v>15</v>
      </c>
    </row>
    <row r="37" spans="2:11" ht="22" x14ac:dyDescent="0.15">
      <c r="B37" s="36" t="s">
        <v>60</v>
      </c>
      <c r="C37" s="36" t="s">
        <v>34</v>
      </c>
      <c r="D37" s="37">
        <v>0</v>
      </c>
      <c r="E37" s="37"/>
      <c r="F37" s="37">
        <v>8369679.7800000003</v>
      </c>
      <c r="G37" s="37">
        <v>8369679.7800000003</v>
      </c>
      <c r="H37" s="37">
        <f t="shared" si="0"/>
        <v>0</v>
      </c>
      <c r="I37" s="37"/>
      <c r="K37" t="s">
        <v>39</v>
      </c>
    </row>
    <row r="38" spans="2:11" ht="22" x14ac:dyDescent="0.15">
      <c r="B38" s="36" t="s">
        <v>61</v>
      </c>
      <c r="C38" s="36" t="s">
        <v>62</v>
      </c>
      <c r="D38" s="37">
        <v>850.27</v>
      </c>
      <c r="E38" s="37"/>
      <c r="F38" s="37">
        <v>0</v>
      </c>
      <c r="G38" s="37">
        <v>0</v>
      </c>
      <c r="H38" s="37">
        <f t="shared" si="0"/>
        <v>850.27</v>
      </c>
      <c r="I38" s="37"/>
      <c r="K38" t="s">
        <v>39</v>
      </c>
    </row>
    <row r="39" spans="2:11" ht="22" x14ac:dyDescent="0.15">
      <c r="B39" s="36" t="s">
        <v>63</v>
      </c>
      <c r="C39" s="36" t="s">
        <v>64</v>
      </c>
      <c r="D39" s="37">
        <v>-668.31</v>
      </c>
      <c r="E39" s="37"/>
      <c r="F39" s="37">
        <v>0</v>
      </c>
      <c r="G39" s="37">
        <v>625.80999999999995</v>
      </c>
      <c r="H39" s="37">
        <f t="shared" si="0"/>
        <v>-1294.1199999999999</v>
      </c>
      <c r="I39" s="37"/>
      <c r="K39" t="s">
        <v>39</v>
      </c>
    </row>
    <row r="40" spans="2:11" ht="22" x14ac:dyDescent="0.15">
      <c r="B40" s="36" t="s">
        <v>65</v>
      </c>
      <c r="C40" s="36" t="s">
        <v>66</v>
      </c>
      <c r="D40" s="37">
        <v>0</v>
      </c>
      <c r="E40" s="37"/>
      <c r="F40" s="37">
        <v>2288.91</v>
      </c>
      <c r="G40" s="37">
        <v>2048.06</v>
      </c>
      <c r="H40" s="37">
        <f t="shared" si="0"/>
        <v>240.84999999999991</v>
      </c>
      <c r="I40" s="37"/>
      <c r="K40" t="s">
        <v>39</v>
      </c>
    </row>
    <row r="41" spans="2:11" ht="13" x14ac:dyDescent="0.15">
      <c r="B41" s="33" t="s">
        <v>67</v>
      </c>
      <c r="C41" s="33" t="s">
        <v>68</v>
      </c>
      <c r="D41" s="34">
        <f>SUMIFS(D42:D747,K42:K747,"0",B42:B747,"1 1 2 3*")-SUMIFS(E42:E747,K42:K747,"0",B42:B747,"1 1 2 3*")</f>
        <v>198105.94</v>
      </c>
      <c r="E41" s="35"/>
      <c r="F41" s="34">
        <f>SUMIFS(F42:F747,K42:K747,"0",B42:B747,"1 1 2 3*")</f>
        <v>230745.46</v>
      </c>
      <c r="G41" s="34">
        <f>SUMIFS(G42:G747,K42:K747,"0",B42:B747,"1 1 2 3*")</f>
        <v>429166.78</v>
      </c>
      <c r="H41" s="34">
        <f t="shared" si="0"/>
        <v>-315.38000000000466</v>
      </c>
      <c r="I41" s="34"/>
      <c r="K41" t="s">
        <v>15</v>
      </c>
    </row>
    <row r="42" spans="2:11" ht="13" x14ac:dyDescent="0.15">
      <c r="B42" s="33" t="s">
        <v>69</v>
      </c>
      <c r="C42" s="33" t="s">
        <v>70</v>
      </c>
      <c r="D42" s="34">
        <f>SUMIFS(D43:D747,K43:K747,"0",B43:B747,"1 1 2 3 1*")-SUMIFS(E43:E747,K43:K747,"0",B43:B747,"1 1 2 3 1*")</f>
        <v>198105.94</v>
      </c>
      <c r="E42" s="35"/>
      <c r="F42" s="34">
        <f>SUMIFS(F43:F747,K43:K747,"0",B43:B747,"1 1 2 3 1*")</f>
        <v>230745.46</v>
      </c>
      <c r="G42" s="34">
        <f>SUMIFS(G43:G747,K43:K747,"0",B43:B747,"1 1 2 3 1*")</f>
        <v>429166.78</v>
      </c>
      <c r="H42" s="34">
        <f t="shared" si="0"/>
        <v>-315.38000000000466</v>
      </c>
      <c r="I42" s="34"/>
      <c r="K42" t="s">
        <v>15</v>
      </c>
    </row>
    <row r="43" spans="2:11" ht="13" x14ac:dyDescent="0.15">
      <c r="B43" s="33" t="s">
        <v>71</v>
      </c>
      <c r="C43" s="33" t="s">
        <v>26</v>
      </c>
      <c r="D43" s="34">
        <f>SUMIFS(D44:D747,K44:K747,"0",B44:B747,"1 1 2 3 1 12*")-SUMIFS(E44:E747,K44:K747,"0",B44:B747,"1 1 2 3 1 12*")</f>
        <v>198105.94</v>
      </c>
      <c r="E43" s="35"/>
      <c r="F43" s="34">
        <f>SUMIFS(F44:F747,K44:K747,"0",B44:B747,"1 1 2 3 1 12*")</f>
        <v>230745.46</v>
      </c>
      <c r="G43" s="34">
        <f>SUMIFS(G44:G747,K44:K747,"0",B44:B747,"1 1 2 3 1 12*")</f>
        <v>429166.78</v>
      </c>
      <c r="H43" s="34">
        <f t="shared" si="0"/>
        <v>-315.38000000000466</v>
      </c>
      <c r="I43" s="34"/>
      <c r="K43" t="s">
        <v>15</v>
      </c>
    </row>
    <row r="44" spans="2:11" ht="13" x14ac:dyDescent="0.15">
      <c r="B44" s="33" t="s">
        <v>72</v>
      </c>
      <c r="C44" s="33" t="s">
        <v>28</v>
      </c>
      <c r="D44" s="34">
        <f>SUMIFS(D45:D747,K45:K747,"0",B45:B747,"1 1 2 3 1 12 31111*")-SUMIFS(E45:E747,K45:K747,"0",B45:B747,"1 1 2 3 1 12 31111*")</f>
        <v>198105.94</v>
      </c>
      <c r="E44" s="35"/>
      <c r="F44" s="34">
        <f>SUMIFS(F45:F747,K45:K747,"0",B45:B747,"1 1 2 3 1 12 31111*")</f>
        <v>230745.46</v>
      </c>
      <c r="G44" s="34">
        <f>SUMIFS(G45:G747,K45:K747,"0",B45:B747,"1 1 2 3 1 12 31111*")</f>
        <v>429166.78</v>
      </c>
      <c r="H44" s="34">
        <f t="shared" si="0"/>
        <v>-315.38000000000466</v>
      </c>
      <c r="I44" s="34"/>
      <c r="K44" t="s">
        <v>15</v>
      </c>
    </row>
    <row r="45" spans="2:11" ht="13" x14ac:dyDescent="0.15">
      <c r="B45" s="33" t="s">
        <v>73</v>
      </c>
      <c r="C45" s="33" t="s">
        <v>30</v>
      </c>
      <c r="D45" s="34">
        <f>SUMIFS(D46:D747,K46:K747,"0",B46:B747,"1 1 2 3 1 12 31111 6*")-SUMIFS(E46:E747,K46:K747,"0",B46:B747,"1 1 2 3 1 12 31111 6*")</f>
        <v>198105.94</v>
      </c>
      <c r="E45" s="35"/>
      <c r="F45" s="34">
        <f>SUMIFS(F46:F747,K46:K747,"0",B46:B747,"1 1 2 3 1 12 31111 6*")</f>
        <v>230745.46</v>
      </c>
      <c r="G45" s="34">
        <f>SUMIFS(G46:G747,K46:K747,"0",B46:B747,"1 1 2 3 1 12 31111 6*")</f>
        <v>429166.78</v>
      </c>
      <c r="H45" s="34">
        <f t="shared" si="0"/>
        <v>-315.38000000000466</v>
      </c>
      <c r="I45" s="34"/>
      <c r="K45" t="s">
        <v>15</v>
      </c>
    </row>
    <row r="46" spans="2:11" ht="13" x14ac:dyDescent="0.15">
      <c r="B46" s="33" t="s">
        <v>74</v>
      </c>
      <c r="C46" s="33" t="s">
        <v>32</v>
      </c>
      <c r="D46" s="34">
        <f>SUMIFS(D47:D747,K47:K747,"0",B47:B747,"1 1 2 3 1 12 31111 6 M78*")-SUMIFS(E47:E747,K47:K747,"0",B47:B747,"1 1 2 3 1 12 31111 6 M78*")</f>
        <v>198105.94</v>
      </c>
      <c r="E46" s="35"/>
      <c r="F46" s="34">
        <f>SUMIFS(F47:F747,K47:K747,"0",B47:B747,"1 1 2 3 1 12 31111 6 M78*")</f>
        <v>230745.46</v>
      </c>
      <c r="G46" s="34">
        <f>SUMIFS(G47:G747,K47:K747,"0",B47:B747,"1 1 2 3 1 12 31111 6 M78*")</f>
        <v>429166.78</v>
      </c>
      <c r="H46" s="34">
        <f t="shared" si="0"/>
        <v>-315.38000000000466</v>
      </c>
      <c r="I46" s="34"/>
      <c r="K46" t="s">
        <v>15</v>
      </c>
    </row>
    <row r="47" spans="2:11" ht="13" x14ac:dyDescent="0.15">
      <c r="B47" s="33" t="s">
        <v>75</v>
      </c>
      <c r="C47" s="33" t="s">
        <v>34</v>
      </c>
      <c r="D47" s="34">
        <f>SUMIFS(D48:D747,K48:K747,"0",B48:B747,"1 1 2 3 1 12 31111 6 M78 00003*")-SUMIFS(E48:E747,K48:K747,"0",B48:B747,"1 1 2 3 1 12 31111 6 M78 00003*")</f>
        <v>198105.94</v>
      </c>
      <c r="E47" s="35"/>
      <c r="F47" s="34">
        <f>SUMIFS(F48:F747,K48:K747,"0",B48:B747,"1 1 2 3 1 12 31111 6 M78 00003*")</f>
        <v>230745.46</v>
      </c>
      <c r="G47" s="34">
        <f>SUMIFS(G48:G747,K48:K747,"0",B48:B747,"1 1 2 3 1 12 31111 6 M78 00003*")</f>
        <v>429166.78</v>
      </c>
      <c r="H47" s="34">
        <f t="shared" si="0"/>
        <v>-315.38000000000466</v>
      </c>
      <c r="I47" s="34"/>
      <c r="K47" t="s">
        <v>15</v>
      </c>
    </row>
    <row r="48" spans="2:11" ht="22" x14ac:dyDescent="0.15">
      <c r="B48" s="33" t="s">
        <v>76</v>
      </c>
      <c r="C48" s="33" t="s">
        <v>77</v>
      </c>
      <c r="D48" s="34">
        <f>SUMIFS(D49:D747,K49:K747,"0",B49:B747,"1 1 2 3 1 12 31111 6 M78 00003 002*")-SUMIFS(E49:E747,K49:K747,"0",B49:B747,"1 1 2 3 1 12 31111 6 M78 00003 002*")</f>
        <v>198105.94</v>
      </c>
      <c r="E48" s="35"/>
      <c r="F48" s="34">
        <f>SUMIFS(F49:F747,K49:K747,"0",B49:B747,"1 1 2 3 1 12 31111 6 M78 00003 002*")</f>
        <v>230745.46</v>
      </c>
      <c r="G48" s="34">
        <f>SUMIFS(G49:G747,K49:K747,"0",B49:B747,"1 1 2 3 1 12 31111 6 M78 00003 002*")</f>
        <v>429166.78</v>
      </c>
      <c r="H48" s="34">
        <f t="shared" si="0"/>
        <v>-315.38000000000466</v>
      </c>
      <c r="I48" s="34"/>
      <c r="K48" t="s">
        <v>15</v>
      </c>
    </row>
    <row r="49" spans="2:11" ht="22" x14ac:dyDescent="0.15">
      <c r="B49" s="36" t="s">
        <v>78</v>
      </c>
      <c r="C49" s="36" t="s">
        <v>79</v>
      </c>
      <c r="D49" s="37">
        <v>-1894.06</v>
      </c>
      <c r="E49" s="37"/>
      <c r="F49" s="37">
        <v>10745.46</v>
      </c>
      <c r="G49" s="37">
        <v>9166.7800000000007</v>
      </c>
      <c r="H49" s="37">
        <f t="shared" si="0"/>
        <v>-315.38000000000102</v>
      </c>
      <c r="I49" s="37"/>
      <c r="K49" t="s">
        <v>39</v>
      </c>
    </row>
    <row r="50" spans="2:11" ht="22" x14ac:dyDescent="0.15">
      <c r="B50" s="36" t="s">
        <v>80</v>
      </c>
      <c r="C50" s="36" t="s">
        <v>81</v>
      </c>
      <c r="D50" s="37">
        <v>5000</v>
      </c>
      <c r="E50" s="37"/>
      <c r="F50" s="37">
        <v>0</v>
      </c>
      <c r="G50" s="37">
        <v>5000</v>
      </c>
      <c r="H50" s="37">
        <f t="shared" si="0"/>
        <v>0</v>
      </c>
      <c r="I50" s="37"/>
      <c r="K50" t="s">
        <v>39</v>
      </c>
    </row>
    <row r="51" spans="2:11" ht="22" x14ac:dyDescent="0.15">
      <c r="B51" s="36" t="s">
        <v>82</v>
      </c>
      <c r="C51" s="36" t="s">
        <v>83</v>
      </c>
      <c r="D51" s="37">
        <v>175000</v>
      </c>
      <c r="E51" s="37"/>
      <c r="F51" s="37">
        <v>0</v>
      </c>
      <c r="G51" s="37">
        <v>175000</v>
      </c>
      <c r="H51" s="37">
        <f t="shared" si="0"/>
        <v>0</v>
      </c>
      <c r="I51" s="37"/>
      <c r="K51" t="s">
        <v>39</v>
      </c>
    </row>
    <row r="52" spans="2:11" ht="22" x14ac:dyDescent="0.15">
      <c r="B52" s="36" t="s">
        <v>84</v>
      </c>
      <c r="C52" s="36" t="s">
        <v>85</v>
      </c>
      <c r="D52" s="37">
        <v>20000</v>
      </c>
      <c r="E52" s="37"/>
      <c r="F52" s="37">
        <v>0</v>
      </c>
      <c r="G52" s="37">
        <v>20000</v>
      </c>
      <c r="H52" s="37">
        <f t="shared" si="0"/>
        <v>0</v>
      </c>
      <c r="I52" s="37"/>
      <c r="K52" t="s">
        <v>39</v>
      </c>
    </row>
    <row r="53" spans="2:11" ht="22" x14ac:dyDescent="0.15">
      <c r="B53" s="36" t="s">
        <v>86</v>
      </c>
      <c r="C53" s="36" t="s">
        <v>87</v>
      </c>
      <c r="D53" s="37">
        <v>0</v>
      </c>
      <c r="E53" s="37"/>
      <c r="F53" s="37">
        <v>220000</v>
      </c>
      <c r="G53" s="37">
        <v>220000</v>
      </c>
      <c r="H53" s="37">
        <f t="shared" si="0"/>
        <v>0</v>
      </c>
      <c r="I53" s="37"/>
      <c r="K53" t="s">
        <v>39</v>
      </c>
    </row>
    <row r="54" spans="2:11" ht="13" x14ac:dyDescent="0.15">
      <c r="B54" s="33" t="s">
        <v>88</v>
      </c>
      <c r="C54" s="33" t="s">
        <v>89</v>
      </c>
      <c r="D54" s="34">
        <f>SUMIFS(D55:D747,K55:K747,"0",B55:B747,"1 1 2 4*")-SUMIFS(E55:E747,K55:K747,"0",B55:B747,"1 1 2 4*")</f>
        <v>0</v>
      </c>
      <c r="E54" s="35"/>
      <c r="F54" s="34">
        <f>SUMIFS(F55:F747,K55:K747,"0",B55:B747,"1 1 2 4*")</f>
        <v>8703.5499999999993</v>
      </c>
      <c r="G54" s="34">
        <f>SUMIFS(G55:G747,K55:K747,"0",B55:B747,"1 1 2 4*")</f>
        <v>8703.5499999999993</v>
      </c>
      <c r="H54" s="34">
        <f t="shared" si="0"/>
        <v>0</v>
      </c>
      <c r="I54" s="34"/>
      <c r="K54" t="s">
        <v>15</v>
      </c>
    </row>
    <row r="55" spans="2:11" ht="13" x14ac:dyDescent="0.15">
      <c r="B55" s="33" t="s">
        <v>90</v>
      </c>
      <c r="C55" s="33" t="s">
        <v>91</v>
      </c>
      <c r="D55" s="34">
        <f>SUMIFS(D56:D747,K56:K747,"0",B56:B747,"1 1 2 4 4*")-SUMIFS(E56:E747,K56:K747,"0",B56:B747,"1 1 2 4 4*")</f>
        <v>0</v>
      </c>
      <c r="E55" s="35"/>
      <c r="F55" s="34">
        <f>SUMIFS(F56:F747,K56:K747,"0",B56:B747,"1 1 2 4 4*")</f>
        <v>8703.5499999999993</v>
      </c>
      <c r="G55" s="34">
        <f>SUMIFS(G56:G747,K56:K747,"0",B56:B747,"1 1 2 4 4*")</f>
        <v>8703.5499999999993</v>
      </c>
      <c r="H55" s="34">
        <f t="shared" si="0"/>
        <v>0</v>
      </c>
      <c r="I55" s="34"/>
      <c r="K55" t="s">
        <v>15</v>
      </c>
    </row>
    <row r="56" spans="2:11" ht="13" x14ac:dyDescent="0.15">
      <c r="B56" s="33" t="s">
        <v>92</v>
      </c>
      <c r="C56" s="33" t="s">
        <v>26</v>
      </c>
      <c r="D56" s="34">
        <f>SUMIFS(D57:D747,K57:K747,"0",B57:B747,"1 1 2 4 4 12*")-SUMIFS(E57:E747,K57:K747,"0",B57:B747,"1 1 2 4 4 12*")</f>
        <v>0</v>
      </c>
      <c r="E56" s="35"/>
      <c r="F56" s="34">
        <f>SUMIFS(F57:F747,K57:K747,"0",B57:B747,"1 1 2 4 4 12*")</f>
        <v>8703.5499999999993</v>
      </c>
      <c r="G56" s="34">
        <f>SUMIFS(G57:G747,K57:K747,"0",B57:B747,"1 1 2 4 4 12*")</f>
        <v>8703.5499999999993</v>
      </c>
      <c r="H56" s="34">
        <f t="shared" si="0"/>
        <v>0</v>
      </c>
      <c r="I56" s="34"/>
      <c r="K56" t="s">
        <v>15</v>
      </c>
    </row>
    <row r="57" spans="2:11" ht="13" x14ac:dyDescent="0.15">
      <c r="B57" s="33" t="s">
        <v>93</v>
      </c>
      <c r="C57" s="33" t="s">
        <v>28</v>
      </c>
      <c r="D57" s="34">
        <f>SUMIFS(D58:D747,K58:K747,"0",B58:B747,"1 1 2 4 4 12 31111*")-SUMIFS(E58:E747,K58:K747,"0",B58:B747,"1 1 2 4 4 12 31111*")</f>
        <v>0</v>
      </c>
      <c r="E57" s="35"/>
      <c r="F57" s="34">
        <f>SUMIFS(F58:F747,K58:K747,"0",B58:B747,"1 1 2 4 4 12 31111*")</f>
        <v>8703.5499999999993</v>
      </c>
      <c r="G57" s="34">
        <f>SUMIFS(G58:G747,K58:K747,"0",B58:B747,"1 1 2 4 4 12 31111*")</f>
        <v>8703.5499999999993</v>
      </c>
      <c r="H57" s="34">
        <f t="shared" si="0"/>
        <v>0</v>
      </c>
      <c r="I57" s="34"/>
      <c r="K57" t="s">
        <v>15</v>
      </c>
    </row>
    <row r="58" spans="2:11" ht="13" x14ac:dyDescent="0.15">
      <c r="B58" s="33" t="s">
        <v>94</v>
      </c>
      <c r="C58" s="33" t="s">
        <v>30</v>
      </c>
      <c r="D58" s="34">
        <f>SUMIFS(D59:D747,K59:K747,"0",B59:B747,"1 1 2 4 4 12 31111 6*")-SUMIFS(E59:E747,K59:K747,"0",B59:B747,"1 1 2 4 4 12 31111 6*")</f>
        <v>0</v>
      </c>
      <c r="E58" s="35"/>
      <c r="F58" s="34">
        <f>SUMIFS(F59:F747,K59:K747,"0",B59:B747,"1 1 2 4 4 12 31111 6*")</f>
        <v>8703.5499999999993</v>
      </c>
      <c r="G58" s="34">
        <f>SUMIFS(G59:G747,K59:K747,"0",B59:B747,"1 1 2 4 4 12 31111 6*")</f>
        <v>8703.5499999999993</v>
      </c>
      <c r="H58" s="34">
        <f t="shared" si="0"/>
        <v>0</v>
      </c>
      <c r="I58" s="34"/>
      <c r="K58" t="s">
        <v>15</v>
      </c>
    </row>
    <row r="59" spans="2:11" ht="13" x14ac:dyDescent="0.15">
      <c r="B59" s="33" t="s">
        <v>95</v>
      </c>
      <c r="C59" s="33" t="s">
        <v>32</v>
      </c>
      <c r="D59" s="34">
        <f>SUMIFS(D60:D747,K60:K747,"0",B60:B747,"1 1 2 4 4 12 31111 6 M78*")-SUMIFS(E60:E747,K60:K747,"0",B60:B747,"1 1 2 4 4 12 31111 6 M78*")</f>
        <v>0</v>
      </c>
      <c r="E59" s="35"/>
      <c r="F59" s="34">
        <f>SUMIFS(F60:F747,K60:K747,"0",B60:B747,"1 1 2 4 4 12 31111 6 M78*")</f>
        <v>8703.5499999999993</v>
      </c>
      <c r="G59" s="34">
        <f>SUMIFS(G60:G747,K60:K747,"0",B60:B747,"1 1 2 4 4 12 31111 6 M78*")</f>
        <v>8703.5499999999993</v>
      </c>
      <c r="H59" s="34">
        <f t="shared" si="0"/>
        <v>0</v>
      </c>
      <c r="I59" s="34"/>
      <c r="K59" t="s">
        <v>15</v>
      </c>
    </row>
    <row r="60" spans="2:11" ht="13" x14ac:dyDescent="0.15">
      <c r="B60" s="33" t="s">
        <v>96</v>
      </c>
      <c r="C60" s="33" t="s">
        <v>34</v>
      </c>
      <c r="D60" s="34">
        <f>SUMIFS(D61:D747,K61:K747,"0",B61:B747,"1 1 2 4 4 12 31111 6 M78 00003*")-SUMIFS(E61:E747,K61:K747,"0",B61:B747,"1 1 2 4 4 12 31111 6 M78 00003*")</f>
        <v>0</v>
      </c>
      <c r="E60" s="35"/>
      <c r="F60" s="34">
        <f>SUMIFS(F61:F747,K61:K747,"0",B61:B747,"1 1 2 4 4 12 31111 6 M78 00003*")</f>
        <v>8703.5499999999993</v>
      </c>
      <c r="G60" s="34">
        <f>SUMIFS(G61:G747,K61:K747,"0",B61:B747,"1 1 2 4 4 12 31111 6 M78 00003*")</f>
        <v>8703.5499999999993</v>
      </c>
      <c r="H60" s="34">
        <f t="shared" si="0"/>
        <v>0</v>
      </c>
      <c r="I60" s="34"/>
      <c r="K60" t="s">
        <v>15</v>
      </c>
    </row>
    <row r="61" spans="2:11" ht="22" x14ac:dyDescent="0.15">
      <c r="B61" s="33" t="s">
        <v>97</v>
      </c>
      <c r="C61" s="33" t="s">
        <v>77</v>
      </c>
      <c r="D61" s="34">
        <f>SUMIFS(D62:D747,K62:K747,"0",B62:B747,"1 1 2 4 4 12 31111 6 M78 00003 002*")-SUMIFS(E62:E747,K62:K747,"0",B62:B747,"1 1 2 4 4 12 31111 6 M78 00003 002*")</f>
        <v>0</v>
      </c>
      <c r="E61" s="35"/>
      <c r="F61" s="34">
        <f>SUMIFS(F62:F747,K62:K747,"0",B62:B747,"1 1 2 4 4 12 31111 6 M78 00003 002*")</f>
        <v>8703.5499999999993</v>
      </c>
      <c r="G61" s="34">
        <f>SUMIFS(G62:G747,K62:K747,"0",B62:B747,"1 1 2 4 4 12 31111 6 M78 00003 002*")</f>
        <v>8703.5499999999993</v>
      </c>
      <c r="H61" s="34">
        <f t="shared" si="0"/>
        <v>0</v>
      </c>
      <c r="I61" s="34"/>
      <c r="K61" t="s">
        <v>15</v>
      </c>
    </row>
    <row r="62" spans="2:11" ht="22" x14ac:dyDescent="0.15">
      <c r="B62" s="36" t="s">
        <v>98</v>
      </c>
      <c r="C62" s="36" t="s">
        <v>99</v>
      </c>
      <c r="D62" s="37">
        <v>0</v>
      </c>
      <c r="E62" s="37"/>
      <c r="F62" s="37">
        <v>8703.5499999999993</v>
      </c>
      <c r="G62" s="37">
        <v>8703.5499999999993</v>
      </c>
      <c r="H62" s="37">
        <f t="shared" si="0"/>
        <v>0</v>
      </c>
      <c r="I62" s="37"/>
      <c r="K62" t="s">
        <v>39</v>
      </c>
    </row>
    <row r="63" spans="2:11" ht="13" x14ac:dyDescent="0.15">
      <c r="B63" s="33" t="s">
        <v>100</v>
      </c>
      <c r="C63" s="33" t="s">
        <v>101</v>
      </c>
      <c r="D63" s="34">
        <f>SUMIFS(D64:D747,K64:K747,"0",B64:B747,"1 1 3*")-SUMIFS(E64:E747,K64:K747,"0",B64:B747,"1 1 3*")</f>
        <v>193025.36</v>
      </c>
      <c r="E63" s="35"/>
      <c r="F63" s="34">
        <f>SUMIFS(F64:F747,K64:K747,"0",B64:B747,"1 1 3*")</f>
        <v>0</v>
      </c>
      <c r="G63" s="34">
        <f>SUMIFS(G64:G747,K64:K747,"0",B64:B747,"1 1 3*")</f>
        <v>0</v>
      </c>
      <c r="H63" s="34">
        <f t="shared" si="0"/>
        <v>193025.36</v>
      </c>
      <c r="I63" s="34"/>
      <c r="K63" t="s">
        <v>15</v>
      </c>
    </row>
    <row r="64" spans="2:11" ht="22" x14ac:dyDescent="0.15">
      <c r="B64" s="33" t="s">
        <v>102</v>
      </c>
      <c r="C64" s="33" t="s">
        <v>103</v>
      </c>
      <c r="D64" s="34">
        <f>SUMIFS(D65:D747,K65:K747,"0",B65:B747,"1 1 3 1*")-SUMIFS(E65:E747,K65:K747,"0",B65:B747,"1 1 3 1*")</f>
        <v>193025.36</v>
      </c>
      <c r="E64" s="35"/>
      <c r="F64" s="34">
        <f>SUMIFS(F65:F747,K65:K747,"0",B65:B747,"1 1 3 1*")</f>
        <v>0</v>
      </c>
      <c r="G64" s="34">
        <f>SUMIFS(G65:G747,K65:K747,"0",B65:B747,"1 1 3 1*")</f>
        <v>0</v>
      </c>
      <c r="H64" s="34">
        <f t="shared" si="0"/>
        <v>193025.36</v>
      </c>
      <c r="I64" s="34"/>
      <c r="K64" t="s">
        <v>15</v>
      </c>
    </row>
    <row r="65" spans="2:11" ht="22" x14ac:dyDescent="0.15">
      <c r="B65" s="33" t="s">
        <v>104</v>
      </c>
      <c r="C65" s="33" t="s">
        <v>103</v>
      </c>
      <c r="D65" s="34">
        <f>SUMIFS(D66:D747,K66:K747,"0",B66:B747,"1 1 3 1 1*")-SUMIFS(E66:E747,K66:K747,"0",B66:B747,"1 1 3 1 1*")</f>
        <v>193025.36</v>
      </c>
      <c r="E65" s="35"/>
      <c r="F65" s="34">
        <f>SUMIFS(F66:F747,K66:K747,"0",B66:B747,"1 1 3 1 1*")</f>
        <v>0</v>
      </c>
      <c r="G65" s="34">
        <f>SUMIFS(G66:G747,K66:K747,"0",B66:B747,"1 1 3 1 1*")</f>
        <v>0</v>
      </c>
      <c r="H65" s="34">
        <f t="shared" si="0"/>
        <v>193025.36</v>
      </c>
      <c r="I65" s="34"/>
      <c r="K65" t="s">
        <v>15</v>
      </c>
    </row>
    <row r="66" spans="2:11" ht="13" x14ac:dyDescent="0.15">
      <c r="B66" s="33" t="s">
        <v>105</v>
      </c>
      <c r="C66" s="33" t="s">
        <v>26</v>
      </c>
      <c r="D66" s="34">
        <f>SUMIFS(D67:D747,K67:K747,"0",B67:B747,"1 1 3 1 1 12*")-SUMIFS(E67:E747,K67:K747,"0",B67:B747,"1 1 3 1 1 12*")</f>
        <v>193025.36</v>
      </c>
      <c r="E66" s="35"/>
      <c r="F66" s="34">
        <f>SUMIFS(F67:F747,K67:K747,"0",B67:B747,"1 1 3 1 1 12*")</f>
        <v>0</v>
      </c>
      <c r="G66" s="34">
        <f>SUMIFS(G67:G747,K67:K747,"0",B67:B747,"1 1 3 1 1 12*")</f>
        <v>0</v>
      </c>
      <c r="H66" s="34">
        <f t="shared" si="0"/>
        <v>193025.36</v>
      </c>
      <c r="I66" s="34"/>
      <c r="K66" t="s">
        <v>15</v>
      </c>
    </row>
    <row r="67" spans="2:11" ht="13" x14ac:dyDescent="0.15">
      <c r="B67" s="33" t="s">
        <v>106</v>
      </c>
      <c r="C67" s="33" t="s">
        <v>28</v>
      </c>
      <c r="D67" s="34">
        <f>SUMIFS(D68:D747,K68:K747,"0",B68:B747,"1 1 3 1 1 12 31111*")-SUMIFS(E68:E747,K68:K747,"0",B68:B747,"1 1 3 1 1 12 31111*")</f>
        <v>193025.36</v>
      </c>
      <c r="E67" s="35"/>
      <c r="F67" s="34">
        <f>SUMIFS(F68:F747,K68:K747,"0",B68:B747,"1 1 3 1 1 12 31111*")</f>
        <v>0</v>
      </c>
      <c r="G67" s="34">
        <f>SUMIFS(G68:G747,K68:K747,"0",B68:B747,"1 1 3 1 1 12 31111*")</f>
        <v>0</v>
      </c>
      <c r="H67" s="34">
        <f t="shared" si="0"/>
        <v>193025.36</v>
      </c>
      <c r="I67" s="34"/>
      <c r="K67" t="s">
        <v>15</v>
      </c>
    </row>
    <row r="68" spans="2:11" ht="13" x14ac:dyDescent="0.15">
      <c r="B68" s="33" t="s">
        <v>107</v>
      </c>
      <c r="C68" s="33" t="s">
        <v>30</v>
      </c>
      <c r="D68" s="34">
        <f>SUMIFS(D69:D747,K69:K747,"0",B69:B747,"1 1 3 1 1 12 31111 6*")-SUMIFS(E69:E747,K69:K747,"0",B69:B747,"1 1 3 1 1 12 31111 6*")</f>
        <v>193025.36</v>
      </c>
      <c r="E68" s="35"/>
      <c r="F68" s="34">
        <f>SUMIFS(F69:F747,K69:K747,"0",B69:B747,"1 1 3 1 1 12 31111 6*")</f>
        <v>0</v>
      </c>
      <c r="G68" s="34">
        <f>SUMIFS(G69:G747,K69:K747,"0",B69:B747,"1 1 3 1 1 12 31111 6*")</f>
        <v>0</v>
      </c>
      <c r="H68" s="34">
        <f t="shared" si="0"/>
        <v>193025.36</v>
      </c>
      <c r="I68" s="34"/>
      <c r="K68" t="s">
        <v>15</v>
      </c>
    </row>
    <row r="69" spans="2:11" ht="13" x14ac:dyDescent="0.15">
      <c r="B69" s="33" t="s">
        <v>108</v>
      </c>
      <c r="C69" s="33" t="s">
        <v>109</v>
      </c>
      <c r="D69" s="34">
        <f>SUMIFS(D70:D747,K70:K747,"0",B70:B747,"1 1 3 1 1 12 31111 6 M78*")-SUMIFS(E70:E747,K70:K747,"0",B70:B747,"1 1 3 1 1 12 31111 6 M78*")</f>
        <v>193025.36</v>
      </c>
      <c r="E69" s="35"/>
      <c r="F69" s="34">
        <f>SUMIFS(F70:F747,K70:K747,"0",B70:B747,"1 1 3 1 1 12 31111 6 M78*")</f>
        <v>0</v>
      </c>
      <c r="G69" s="34">
        <f>SUMIFS(G70:G747,K70:K747,"0",B70:B747,"1 1 3 1 1 12 31111 6 M78*")</f>
        <v>0</v>
      </c>
      <c r="H69" s="34">
        <f t="shared" si="0"/>
        <v>193025.36</v>
      </c>
      <c r="I69" s="34"/>
      <c r="K69" t="s">
        <v>15</v>
      </c>
    </row>
    <row r="70" spans="2:11" ht="13" x14ac:dyDescent="0.15">
      <c r="B70" s="33" t="s">
        <v>110</v>
      </c>
      <c r="C70" s="33" t="s">
        <v>111</v>
      </c>
      <c r="D70" s="34">
        <f>SUMIFS(D71:D747,K71:K747,"0",B71:B747,"1 1 3 1 1 12 31111 6 M78 00003*")-SUMIFS(E71:E747,K71:K747,"0",B71:B747,"1 1 3 1 1 12 31111 6 M78 00003*")</f>
        <v>193025.36</v>
      </c>
      <c r="E70" s="35"/>
      <c r="F70" s="34">
        <f>SUMIFS(F71:F747,K71:K747,"0",B71:B747,"1 1 3 1 1 12 31111 6 M78 00003*")</f>
        <v>0</v>
      </c>
      <c r="G70" s="34">
        <f>SUMIFS(G71:G747,K71:K747,"0",B71:B747,"1 1 3 1 1 12 31111 6 M78 00003*")</f>
        <v>0</v>
      </c>
      <c r="H70" s="34">
        <f t="shared" si="0"/>
        <v>193025.36</v>
      </c>
      <c r="I70" s="34"/>
      <c r="K70" t="s">
        <v>15</v>
      </c>
    </row>
    <row r="71" spans="2:11" ht="22" x14ac:dyDescent="0.15">
      <c r="B71" s="33" t="s">
        <v>112</v>
      </c>
      <c r="C71" s="33" t="s">
        <v>113</v>
      </c>
      <c r="D71" s="34">
        <f>SUMIFS(D72:D747,K72:K747,"0",B72:B747,"1 1 3 1 1 12 31111 6 M78 00003 002*")-SUMIFS(E72:E747,K72:K747,"0",B72:B747,"1 1 3 1 1 12 31111 6 M78 00003 002*")</f>
        <v>193025.36</v>
      </c>
      <c r="E71" s="35"/>
      <c r="F71" s="34">
        <f>SUMIFS(F72:F747,K72:K747,"0",B72:B747,"1 1 3 1 1 12 31111 6 M78 00003 002*")</f>
        <v>0</v>
      </c>
      <c r="G71" s="34">
        <f>SUMIFS(G72:G747,K72:K747,"0",B72:B747,"1 1 3 1 1 12 31111 6 M78 00003 002*")</f>
        <v>0</v>
      </c>
      <c r="H71" s="34">
        <f t="shared" si="0"/>
        <v>193025.36</v>
      </c>
      <c r="I71" s="34"/>
      <c r="K71" t="s">
        <v>15</v>
      </c>
    </row>
    <row r="72" spans="2:11" ht="22" x14ac:dyDescent="0.15">
      <c r="B72" s="36" t="s">
        <v>114</v>
      </c>
      <c r="C72" s="36" t="s">
        <v>115</v>
      </c>
      <c r="D72" s="37">
        <v>193025.36</v>
      </c>
      <c r="E72" s="37"/>
      <c r="F72" s="37">
        <v>0</v>
      </c>
      <c r="G72" s="37">
        <v>0</v>
      </c>
      <c r="H72" s="37">
        <f t="shared" si="0"/>
        <v>193025.36</v>
      </c>
      <c r="I72" s="37"/>
      <c r="K72" t="s">
        <v>39</v>
      </c>
    </row>
    <row r="73" spans="2:11" ht="13" x14ac:dyDescent="0.15">
      <c r="B73" s="33" t="s">
        <v>116</v>
      </c>
      <c r="C73" s="33" t="s">
        <v>117</v>
      </c>
      <c r="D73" s="34">
        <f>SUMIFS(D74:D747,K74:K747,"0",B74:B747,"1 2*")-SUMIFS(E74:E747,K74:K747,"0",B74:B747,"1 2*")</f>
        <v>2800630.51</v>
      </c>
      <c r="E73" s="35"/>
      <c r="F73" s="34">
        <f>SUMIFS(F74:F747,K74:K747,"0",B74:B747,"1 2*")</f>
        <v>17600</v>
      </c>
      <c r="G73" s="34">
        <f>SUMIFS(G74:G747,K74:K747,"0",B74:B747,"1 2*")</f>
        <v>729256.88</v>
      </c>
      <c r="H73" s="34">
        <f t="shared" si="0"/>
        <v>2088973.63</v>
      </c>
      <c r="I73" s="34"/>
      <c r="K73" t="s">
        <v>15</v>
      </c>
    </row>
    <row r="74" spans="2:11" ht="13" x14ac:dyDescent="0.15">
      <c r="B74" s="33" t="s">
        <v>118</v>
      </c>
      <c r="C74" s="33" t="s">
        <v>119</v>
      </c>
      <c r="D74" s="34">
        <f>SUMIFS(D75:D747,K75:K747,"0",B75:B747,"1 2 4*")-SUMIFS(E75:E747,K75:K747,"0",B75:B747,"1 2 4*")</f>
        <v>2800630.51</v>
      </c>
      <c r="E74" s="35"/>
      <c r="F74" s="34">
        <f>SUMIFS(F75:F747,K75:K747,"0",B75:B747,"1 2 4*")</f>
        <v>17600</v>
      </c>
      <c r="G74" s="34">
        <f>SUMIFS(G75:G747,K75:K747,"0",B75:B747,"1 2 4*")</f>
        <v>729256.88</v>
      </c>
      <c r="H74" s="34">
        <f t="shared" si="0"/>
        <v>2088973.63</v>
      </c>
      <c r="I74" s="34"/>
      <c r="K74" t="s">
        <v>15</v>
      </c>
    </row>
    <row r="75" spans="2:11" ht="13" x14ac:dyDescent="0.15">
      <c r="B75" s="33" t="s">
        <v>120</v>
      </c>
      <c r="C75" s="33" t="s">
        <v>121</v>
      </c>
      <c r="D75" s="34">
        <f>SUMIFS(D76:D747,K76:K747,"0",B76:B747,"1 2 4 1*")-SUMIFS(E76:E747,K76:K747,"0",B76:B747,"1 2 4 1*")</f>
        <v>131152.28000000003</v>
      </c>
      <c r="E75" s="35"/>
      <c r="F75" s="34">
        <f>SUMIFS(F76:F747,K76:K747,"0",B76:B747,"1 2 4 1*")</f>
        <v>0</v>
      </c>
      <c r="G75" s="34">
        <f>SUMIFS(G76:G747,K76:K747,"0",B76:B747,"1 2 4 1*")</f>
        <v>0</v>
      </c>
      <c r="H75" s="34">
        <f t="shared" si="0"/>
        <v>131152.28000000003</v>
      </c>
      <c r="I75" s="34"/>
      <c r="K75" t="s">
        <v>15</v>
      </c>
    </row>
    <row r="76" spans="2:11" ht="13" x14ac:dyDescent="0.15">
      <c r="B76" s="33" t="s">
        <v>122</v>
      </c>
      <c r="C76" s="33" t="s">
        <v>123</v>
      </c>
      <c r="D76" s="34">
        <f>SUMIFS(D77:D747,K77:K747,"0",B77:B747,"1 2 4 1 1*")-SUMIFS(E77:E747,K77:K747,"0",B77:B747,"1 2 4 1 1*")</f>
        <v>11970.5</v>
      </c>
      <c r="E76" s="35"/>
      <c r="F76" s="34">
        <f>SUMIFS(F77:F747,K77:K747,"0",B77:B747,"1 2 4 1 1*")</f>
        <v>0</v>
      </c>
      <c r="G76" s="34">
        <f>SUMIFS(G77:G747,K77:K747,"0",B77:B747,"1 2 4 1 1*")</f>
        <v>0</v>
      </c>
      <c r="H76" s="34">
        <f t="shared" ref="H76:H139" si="1">D76 + F76 - G76</f>
        <v>11970.5</v>
      </c>
      <c r="I76" s="34"/>
      <c r="K76" t="s">
        <v>15</v>
      </c>
    </row>
    <row r="77" spans="2:11" ht="13" x14ac:dyDescent="0.15">
      <c r="B77" s="33" t="s">
        <v>124</v>
      </c>
      <c r="C77" s="33" t="s">
        <v>26</v>
      </c>
      <c r="D77" s="34">
        <f>SUMIFS(D78:D747,K78:K747,"0",B78:B747,"1 2 4 1 1 12*")-SUMIFS(E78:E747,K78:K747,"0",B78:B747,"1 2 4 1 1 12*")</f>
        <v>11970.5</v>
      </c>
      <c r="E77" s="35"/>
      <c r="F77" s="34">
        <f>SUMIFS(F78:F747,K78:K747,"0",B78:B747,"1 2 4 1 1 12*")</f>
        <v>0</v>
      </c>
      <c r="G77" s="34">
        <f>SUMIFS(G78:G747,K78:K747,"0",B78:B747,"1 2 4 1 1 12*")</f>
        <v>0</v>
      </c>
      <c r="H77" s="34">
        <f t="shared" si="1"/>
        <v>11970.5</v>
      </c>
      <c r="I77" s="34"/>
      <c r="K77" t="s">
        <v>15</v>
      </c>
    </row>
    <row r="78" spans="2:11" ht="13" x14ac:dyDescent="0.15">
      <c r="B78" s="33" t="s">
        <v>125</v>
      </c>
      <c r="C78" s="33" t="s">
        <v>28</v>
      </c>
      <c r="D78" s="34">
        <f>SUMIFS(D79:D747,K79:K747,"0",B79:B747,"1 2 4 1 1 12 31111*")-SUMIFS(E79:E747,K79:K747,"0",B79:B747,"1 2 4 1 1 12 31111*")</f>
        <v>11970.5</v>
      </c>
      <c r="E78" s="35"/>
      <c r="F78" s="34">
        <f>SUMIFS(F79:F747,K79:K747,"0",B79:B747,"1 2 4 1 1 12 31111*")</f>
        <v>0</v>
      </c>
      <c r="G78" s="34">
        <f>SUMIFS(G79:G747,K79:K747,"0",B79:B747,"1 2 4 1 1 12 31111*")</f>
        <v>0</v>
      </c>
      <c r="H78" s="34">
        <f t="shared" si="1"/>
        <v>11970.5</v>
      </c>
      <c r="I78" s="34"/>
      <c r="K78" t="s">
        <v>15</v>
      </c>
    </row>
    <row r="79" spans="2:11" ht="13" x14ac:dyDescent="0.15">
      <c r="B79" s="33" t="s">
        <v>126</v>
      </c>
      <c r="C79" s="33" t="s">
        <v>30</v>
      </c>
      <c r="D79" s="34">
        <f>SUMIFS(D80:D747,K80:K747,"0",B80:B747,"1 2 4 1 1 12 31111 6*")-SUMIFS(E80:E747,K80:K747,"0",B80:B747,"1 2 4 1 1 12 31111 6*")</f>
        <v>11970.5</v>
      </c>
      <c r="E79" s="35"/>
      <c r="F79" s="34">
        <f>SUMIFS(F80:F747,K80:K747,"0",B80:B747,"1 2 4 1 1 12 31111 6*")</f>
        <v>0</v>
      </c>
      <c r="G79" s="34">
        <f>SUMIFS(G80:G747,K80:K747,"0",B80:B747,"1 2 4 1 1 12 31111 6*")</f>
        <v>0</v>
      </c>
      <c r="H79" s="34">
        <f t="shared" si="1"/>
        <v>11970.5</v>
      </c>
      <c r="I79" s="34"/>
      <c r="K79" t="s">
        <v>15</v>
      </c>
    </row>
    <row r="80" spans="2:11" ht="13" x14ac:dyDescent="0.15">
      <c r="B80" s="33" t="s">
        <v>127</v>
      </c>
      <c r="C80" s="33" t="s">
        <v>32</v>
      </c>
      <c r="D80" s="34">
        <f>SUMIFS(D81:D747,K81:K747,"0",B81:B747,"1 2 4 1 1 12 31111 6 M78*")-SUMIFS(E81:E747,K81:K747,"0",B81:B747,"1 2 4 1 1 12 31111 6 M78*")</f>
        <v>11970.5</v>
      </c>
      <c r="E80" s="35"/>
      <c r="F80" s="34">
        <f>SUMIFS(F81:F747,K81:K747,"0",B81:B747,"1 2 4 1 1 12 31111 6 M78*")</f>
        <v>0</v>
      </c>
      <c r="G80" s="34">
        <f>SUMIFS(G81:G747,K81:K747,"0",B81:B747,"1 2 4 1 1 12 31111 6 M78*")</f>
        <v>0</v>
      </c>
      <c r="H80" s="34">
        <f t="shared" si="1"/>
        <v>11970.5</v>
      </c>
      <c r="I80" s="34"/>
      <c r="K80" t="s">
        <v>15</v>
      </c>
    </row>
    <row r="81" spans="2:11" ht="13" x14ac:dyDescent="0.15">
      <c r="B81" s="33" t="s">
        <v>128</v>
      </c>
      <c r="C81" s="33" t="s">
        <v>129</v>
      </c>
      <c r="D81" s="34">
        <f>SUMIFS(D82:D747,K82:K747,"0",B82:B747,"1 2 4 1 1 12 31111 6 M78 00000*")-SUMIFS(E82:E747,K82:K747,"0",B82:B747,"1 2 4 1 1 12 31111 6 M78 00000*")</f>
        <v>11970.5</v>
      </c>
      <c r="E81" s="35"/>
      <c r="F81" s="34">
        <f>SUMIFS(F82:F747,K82:K747,"0",B82:B747,"1 2 4 1 1 12 31111 6 M78 00000*")</f>
        <v>0</v>
      </c>
      <c r="G81" s="34">
        <f>SUMIFS(G82:G747,K82:K747,"0",B82:B747,"1 2 4 1 1 12 31111 6 M78 00000*")</f>
        <v>0</v>
      </c>
      <c r="H81" s="34">
        <f t="shared" si="1"/>
        <v>11970.5</v>
      </c>
      <c r="I81" s="34"/>
      <c r="K81" t="s">
        <v>15</v>
      </c>
    </row>
    <row r="82" spans="2:11" ht="22" x14ac:dyDescent="0.15">
      <c r="B82" s="33" t="s">
        <v>130</v>
      </c>
      <c r="C82" s="33" t="s">
        <v>111</v>
      </c>
      <c r="D82" s="34">
        <f>SUMIFS(D83:D747,K83:K747,"0",B83:B747,"1 2 4 1 1 12 31111 6 M78 00000 003*")-SUMIFS(E83:E747,K83:K747,"0",B83:B747,"1 2 4 1 1 12 31111 6 M78 00000 003*")</f>
        <v>11970.5</v>
      </c>
      <c r="E82" s="35"/>
      <c r="F82" s="34">
        <f>SUMIFS(F83:F747,K83:K747,"0",B83:B747,"1 2 4 1 1 12 31111 6 M78 00000 003*")</f>
        <v>0</v>
      </c>
      <c r="G82" s="34">
        <f>SUMIFS(G83:G747,K83:K747,"0",B83:B747,"1 2 4 1 1 12 31111 6 M78 00000 003*")</f>
        <v>0</v>
      </c>
      <c r="H82" s="34">
        <f t="shared" si="1"/>
        <v>11970.5</v>
      </c>
      <c r="I82" s="34"/>
      <c r="K82" t="s">
        <v>15</v>
      </c>
    </row>
    <row r="83" spans="2:11" ht="22" x14ac:dyDescent="0.15">
      <c r="B83" s="33" t="s">
        <v>131</v>
      </c>
      <c r="C83" s="33" t="s">
        <v>132</v>
      </c>
      <c r="D83" s="34">
        <f>SUMIFS(D84:D747,K84:K747,"0",B84:B747,"1 2 4 1 1 12 31111 6 M78 00000 003 001*")-SUMIFS(E84:E747,K84:K747,"0",B84:B747,"1 2 4 1 1 12 31111 6 M78 00000 003 001*")</f>
        <v>11970.5</v>
      </c>
      <c r="E83" s="35"/>
      <c r="F83" s="34">
        <f>SUMIFS(F84:F747,K84:K747,"0",B84:B747,"1 2 4 1 1 12 31111 6 M78 00000 003 001*")</f>
        <v>0</v>
      </c>
      <c r="G83" s="34">
        <f>SUMIFS(G84:G747,K84:K747,"0",B84:B747,"1 2 4 1 1 12 31111 6 M78 00000 003 001*")</f>
        <v>0</v>
      </c>
      <c r="H83" s="34">
        <f t="shared" si="1"/>
        <v>11970.5</v>
      </c>
      <c r="I83" s="34"/>
      <c r="K83" t="s">
        <v>15</v>
      </c>
    </row>
    <row r="84" spans="2:11" ht="22" x14ac:dyDescent="0.15">
      <c r="B84" s="33" t="s">
        <v>133</v>
      </c>
      <c r="C84" s="33" t="s">
        <v>9</v>
      </c>
      <c r="D84" s="34">
        <f>SUMIFS(D85:D747,K85:K747,"0",B85:B747,"1 2 4 1 1 12 31111 6 M78 00000 003 001 001*")-SUMIFS(E85:E747,K85:K747,"0",B85:B747,"1 2 4 1 1 12 31111 6 M78 00000 003 001 001*")</f>
        <v>11970.5</v>
      </c>
      <c r="E84" s="35"/>
      <c r="F84" s="34">
        <f>SUMIFS(F85:F747,K85:K747,"0",B85:B747,"1 2 4 1 1 12 31111 6 M78 00000 003 001 001*")</f>
        <v>0</v>
      </c>
      <c r="G84" s="34">
        <f>SUMIFS(G85:G747,K85:K747,"0",B85:B747,"1 2 4 1 1 12 31111 6 M78 00000 003 001 001*")</f>
        <v>0</v>
      </c>
      <c r="H84" s="34">
        <f t="shared" si="1"/>
        <v>11970.5</v>
      </c>
      <c r="I84" s="34"/>
      <c r="K84" t="s">
        <v>15</v>
      </c>
    </row>
    <row r="85" spans="2:11" ht="22" x14ac:dyDescent="0.15">
      <c r="B85" s="36" t="s">
        <v>134</v>
      </c>
      <c r="C85" s="36" t="s">
        <v>135</v>
      </c>
      <c r="D85" s="37">
        <v>2802</v>
      </c>
      <c r="E85" s="37"/>
      <c r="F85" s="37">
        <v>0</v>
      </c>
      <c r="G85" s="37">
        <v>0</v>
      </c>
      <c r="H85" s="37">
        <f t="shared" si="1"/>
        <v>2802</v>
      </c>
      <c r="I85" s="37"/>
      <c r="K85" t="s">
        <v>39</v>
      </c>
    </row>
    <row r="86" spans="2:11" ht="22" x14ac:dyDescent="0.15">
      <c r="B86" s="36" t="s">
        <v>136</v>
      </c>
      <c r="C86" s="36" t="s">
        <v>137</v>
      </c>
      <c r="D86" s="37">
        <v>9168.5</v>
      </c>
      <c r="E86" s="37"/>
      <c r="F86" s="37">
        <v>0</v>
      </c>
      <c r="G86" s="37">
        <v>0</v>
      </c>
      <c r="H86" s="37">
        <f t="shared" si="1"/>
        <v>9168.5</v>
      </c>
      <c r="I86" s="37"/>
      <c r="K86" t="s">
        <v>39</v>
      </c>
    </row>
    <row r="87" spans="2:11" ht="13" x14ac:dyDescent="0.15">
      <c r="B87" s="33" t="s">
        <v>138</v>
      </c>
      <c r="C87" s="33" t="s">
        <v>139</v>
      </c>
      <c r="D87" s="34">
        <f>SUMIFS(D88:D747,K88:K747,"0",B88:B747,"1 2 4 1 3*")-SUMIFS(E88:E747,K88:K747,"0",B88:B747,"1 2 4 1 3*")</f>
        <v>115531.78000000001</v>
      </c>
      <c r="E87" s="35"/>
      <c r="F87" s="34">
        <f>SUMIFS(F88:F747,K88:K747,"0",B88:B747,"1 2 4 1 3*")</f>
        <v>0</v>
      </c>
      <c r="G87" s="34">
        <f>SUMIFS(G88:G747,K88:K747,"0",B88:B747,"1 2 4 1 3*")</f>
        <v>0</v>
      </c>
      <c r="H87" s="34">
        <f t="shared" si="1"/>
        <v>115531.78000000001</v>
      </c>
      <c r="I87" s="34"/>
      <c r="K87" t="s">
        <v>15</v>
      </c>
    </row>
    <row r="88" spans="2:11" ht="13" x14ac:dyDescent="0.15">
      <c r="B88" s="33" t="s">
        <v>140</v>
      </c>
      <c r="C88" s="33" t="s">
        <v>26</v>
      </c>
      <c r="D88" s="34">
        <f>SUMIFS(D89:D747,K89:K747,"0",B89:B747,"1 2 4 1 3 12*")-SUMIFS(E89:E747,K89:K747,"0",B89:B747,"1 2 4 1 3 12*")</f>
        <v>115531.78000000001</v>
      </c>
      <c r="E88" s="35"/>
      <c r="F88" s="34">
        <f>SUMIFS(F89:F747,K89:K747,"0",B89:B747,"1 2 4 1 3 12*")</f>
        <v>0</v>
      </c>
      <c r="G88" s="34">
        <f>SUMIFS(G89:G747,K89:K747,"0",B89:B747,"1 2 4 1 3 12*")</f>
        <v>0</v>
      </c>
      <c r="H88" s="34">
        <f t="shared" si="1"/>
        <v>115531.78000000001</v>
      </c>
      <c r="I88" s="34"/>
      <c r="K88" t="s">
        <v>15</v>
      </c>
    </row>
    <row r="89" spans="2:11" ht="13" x14ac:dyDescent="0.15">
      <c r="B89" s="33" t="s">
        <v>141</v>
      </c>
      <c r="C89" s="33" t="s">
        <v>28</v>
      </c>
      <c r="D89" s="34">
        <f>SUMIFS(D90:D747,K90:K747,"0",B90:B747,"1 2 4 1 3 12 31111*")-SUMIFS(E90:E747,K90:K747,"0",B90:B747,"1 2 4 1 3 12 31111*")</f>
        <v>115531.78000000001</v>
      </c>
      <c r="E89" s="35"/>
      <c r="F89" s="34">
        <f>SUMIFS(F90:F747,K90:K747,"0",B90:B747,"1 2 4 1 3 12 31111*")</f>
        <v>0</v>
      </c>
      <c r="G89" s="34">
        <f>SUMIFS(G90:G747,K90:K747,"0",B90:B747,"1 2 4 1 3 12 31111*")</f>
        <v>0</v>
      </c>
      <c r="H89" s="34">
        <f t="shared" si="1"/>
        <v>115531.78000000001</v>
      </c>
      <c r="I89" s="34"/>
      <c r="K89" t="s">
        <v>15</v>
      </c>
    </row>
    <row r="90" spans="2:11" ht="13" x14ac:dyDescent="0.15">
      <c r="B90" s="33" t="s">
        <v>142</v>
      </c>
      <c r="C90" s="33" t="s">
        <v>30</v>
      </c>
      <c r="D90" s="34">
        <f>SUMIFS(D91:D747,K91:K747,"0",B91:B747,"1 2 4 1 3 12 31111 6*")-SUMIFS(E91:E747,K91:K747,"0",B91:B747,"1 2 4 1 3 12 31111 6*")</f>
        <v>115531.78000000001</v>
      </c>
      <c r="E90" s="35"/>
      <c r="F90" s="34">
        <f>SUMIFS(F91:F747,K91:K747,"0",B91:B747,"1 2 4 1 3 12 31111 6*")</f>
        <v>0</v>
      </c>
      <c r="G90" s="34">
        <f>SUMIFS(G91:G747,K91:K747,"0",B91:B747,"1 2 4 1 3 12 31111 6*")</f>
        <v>0</v>
      </c>
      <c r="H90" s="34">
        <f t="shared" si="1"/>
        <v>115531.78000000001</v>
      </c>
      <c r="I90" s="34"/>
      <c r="K90" t="s">
        <v>15</v>
      </c>
    </row>
    <row r="91" spans="2:11" ht="13" x14ac:dyDescent="0.15">
      <c r="B91" s="33" t="s">
        <v>143</v>
      </c>
      <c r="C91" s="33" t="s">
        <v>32</v>
      </c>
      <c r="D91" s="34">
        <f>SUMIFS(D92:D747,K92:K747,"0",B92:B747,"1 2 4 1 3 12 31111 6 M78*")-SUMIFS(E92:E747,K92:K747,"0",B92:B747,"1 2 4 1 3 12 31111 6 M78*")</f>
        <v>115531.78000000001</v>
      </c>
      <c r="E91" s="35"/>
      <c r="F91" s="34">
        <f>SUMIFS(F92:F747,K92:K747,"0",B92:B747,"1 2 4 1 3 12 31111 6 M78*")</f>
        <v>0</v>
      </c>
      <c r="G91" s="34">
        <f>SUMIFS(G92:G747,K92:K747,"0",B92:B747,"1 2 4 1 3 12 31111 6 M78*")</f>
        <v>0</v>
      </c>
      <c r="H91" s="34">
        <f t="shared" si="1"/>
        <v>115531.78000000001</v>
      </c>
      <c r="I91" s="34"/>
      <c r="K91" t="s">
        <v>15</v>
      </c>
    </row>
    <row r="92" spans="2:11" ht="13" x14ac:dyDescent="0.15">
      <c r="B92" s="33" t="s">
        <v>144</v>
      </c>
      <c r="C92" s="33" t="s">
        <v>129</v>
      </c>
      <c r="D92" s="34">
        <f>SUMIFS(D93:D747,K93:K747,"0",B93:B747,"1 2 4 1 3 12 31111 6 M78 00000*")-SUMIFS(E93:E747,K93:K747,"0",B93:B747,"1 2 4 1 3 12 31111 6 M78 00000*")</f>
        <v>74441.790000000008</v>
      </c>
      <c r="E92" s="35"/>
      <c r="F92" s="34">
        <f>SUMIFS(F93:F747,K93:K747,"0",B93:B747,"1 2 4 1 3 12 31111 6 M78 00000*")</f>
        <v>0</v>
      </c>
      <c r="G92" s="34">
        <f>SUMIFS(G93:G747,K93:K747,"0",B93:B747,"1 2 4 1 3 12 31111 6 M78 00000*")</f>
        <v>0</v>
      </c>
      <c r="H92" s="34">
        <f t="shared" si="1"/>
        <v>74441.790000000008</v>
      </c>
      <c r="I92" s="34"/>
      <c r="K92" t="s">
        <v>15</v>
      </c>
    </row>
    <row r="93" spans="2:11" ht="22" x14ac:dyDescent="0.15">
      <c r="B93" s="33" t="s">
        <v>145</v>
      </c>
      <c r="C93" s="33" t="s">
        <v>111</v>
      </c>
      <c r="D93" s="34">
        <f>SUMIFS(D94:D747,K94:K747,"0",B94:B747,"1 2 4 1 3 12 31111 6 M78 00000 003*")-SUMIFS(E94:E747,K94:K747,"0",B94:B747,"1 2 4 1 3 12 31111 6 M78 00000 003*")</f>
        <v>74441.790000000008</v>
      </c>
      <c r="E93" s="35"/>
      <c r="F93" s="34">
        <f>SUMIFS(F94:F747,K94:K747,"0",B94:B747,"1 2 4 1 3 12 31111 6 M78 00000 003*")</f>
        <v>0</v>
      </c>
      <c r="G93" s="34">
        <f>SUMIFS(G94:G747,K94:K747,"0",B94:B747,"1 2 4 1 3 12 31111 6 M78 00000 003*")</f>
        <v>0</v>
      </c>
      <c r="H93" s="34">
        <f t="shared" si="1"/>
        <v>74441.790000000008</v>
      </c>
      <c r="I93" s="34"/>
      <c r="K93" t="s">
        <v>15</v>
      </c>
    </row>
    <row r="94" spans="2:11" ht="22" x14ac:dyDescent="0.15">
      <c r="B94" s="33" t="s">
        <v>146</v>
      </c>
      <c r="C94" s="33" t="s">
        <v>147</v>
      </c>
      <c r="D94" s="34">
        <f>SUMIFS(D95:D747,K95:K747,"0",B95:B747,"1 2 4 1 3 12 31111 6 M78 00000 003 001*")-SUMIFS(E95:E747,K95:K747,"0",B95:B747,"1 2 4 1 3 12 31111 6 M78 00000 003 001*")</f>
        <v>74441.790000000008</v>
      </c>
      <c r="E94" s="35"/>
      <c r="F94" s="34">
        <f>SUMIFS(F95:F747,K95:K747,"0",B95:B747,"1 2 4 1 3 12 31111 6 M78 00000 003 001*")</f>
        <v>0</v>
      </c>
      <c r="G94" s="34">
        <f>SUMIFS(G95:G747,K95:K747,"0",B95:B747,"1 2 4 1 3 12 31111 6 M78 00000 003 001*")</f>
        <v>0</v>
      </c>
      <c r="H94" s="34">
        <f t="shared" si="1"/>
        <v>74441.790000000008</v>
      </c>
      <c r="I94" s="34"/>
      <c r="K94" t="s">
        <v>15</v>
      </c>
    </row>
    <row r="95" spans="2:11" ht="22" x14ac:dyDescent="0.15">
      <c r="B95" s="33" t="s">
        <v>148</v>
      </c>
      <c r="C95" s="33" t="s">
        <v>9</v>
      </c>
      <c r="D95" s="34">
        <f>SUMIFS(D96:D747,K96:K747,"0",B96:B747,"1 2 4 1 3 12 31111 6 M78 00000 003 001 001*")-SUMIFS(E96:E747,K96:K747,"0",B96:B747,"1 2 4 1 3 12 31111 6 M78 00000 003 001 001*")</f>
        <v>74441.790000000008</v>
      </c>
      <c r="E95" s="35"/>
      <c r="F95" s="34">
        <f>SUMIFS(F96:F747,K96:K747,"0",B96:B747,"1 2 4 1 3 12 31111 6 M78 00000 003 001 001*")</f>
        <v>0</v>
      </c>
      <c r="G95" s="34">
        <f>SUMIFS(G96:G747,K96:K747,"0",B96:B747,"1 2 4 1 3 12 31111 6 M78 00000 003 001 001*")</f>
        <v>0</v>
      </c>
      <c r="H95" s="34">
        <f t="shared" si="1"/>
        <v>74441.790000000008</v>
      </c>
      <c r="I95" s="34"/>
      <c r="K95" t="s">
        <v>15</v>
      </c>
    </row>
    <row r="96" spans="2:11" ht="22" x14ac:dyDescent="0.15">
      <c r="B96" s="36" t="s">
        <v>149</v>
      </c>
      <c r="C96" s="36" t="s">
        <v>150</v>
      </c>
      <c r="D96" s="37">
        <v>45259.02</v>
      </c>
      <c r="E96" s="37"/>
      <c r="F96" s="37">
        <v>0</v>
      </c>
      <c r="G96" s="37">
        <v>0</v>
      </c>
      <c r="H96" s="37">
        <f t="shared" si="1"/>
        <v>45259.02</v>
      </c>
      <c r="I96" s="37"/>
      <c r="K96" t="s">
        <v>39</v>
      </c>
    </row>
    <row r="97" spans="2:11" ht="22" x14ac:dyDescent="0.15">
      <c r="B97" s="36" t="s">
        <v>151</v>
      </c>
      <c r="C97" s="36" t="s">
        <v>152</v>
      </c>
      <c r="D97" s="37">
        <v>4278.9399999999996</v>
      </c>
      <c r="E97" s="37"/>
      <c r="F97" s="37">
        <v>0</v>
      </c>
      <c r="G97" s="37">
        <v>0</v>
      </c>
      <c r="H97" s="37">
        <f t="shared" si="1"/>
        <v>4278.9399999999996</v>
      </c>
      <c r="I97" s="37"/>
      <c r="K97" t="s">
        <v>39</v>
      </c>
    </row>
    <row r="98" spans="2:11" ht="22" x14ac:dyDescent="0.15">
      <c r="B98" s="36" t="s">
        <v>153</v>
      </c>
      <c r="C98" s="36" t="s">
        <v>152</v>
      </c>
      <c r="D98" s="37">
        <v>4473.3900000000003</v>
      </c>
      <c r="E98" s="37"/>
      <c r="F98" s="37">
        <v>0</v>
      </c>
      <c r="G98" s="37">
        <v>0</v>
      </c>
      <c r="H98" s="37">
        <f t="shared" si="1"/>
        <v>4473.3900000000003</v>
      </c>
      <c r="I98" s="37"/>
      <c r="K98" t="s">
        <v>39</v>
      </c>
    </row>
    <row r="99" spans="2:11" ht="22" x14ac:dyDescent="0.15">
      <c r="B99" s="36" t="s">
        <v>154</v>
      </c>
      <c r="C99" s="36" t="s">
        <v>155</v>
      </c>
      <c r="D99" s="37">
        <v>5751.5</v>
      </c>
      <c r="E99" s="37"/>
      <c r="F99" s="37">
        <v>0</v>
      </c>
      <c r="G99" s="37">
        <v>0</v>
      </c>
      <c r="H99" s="37">
        <f t="shared" si="1"/>
        <v>5751.5</v>
      </c>
      <c r="I99" s="37"/>
      <c r="K99" t="s">
        <v>39</v>
      </c>
    </row>
    <row r="100" spans="2:11" ht="22" x14ac:dyDescent="0.15">
      <c r="B100" s="36" t="s">
        <v>156</v>
      </c>
      <c r="C100" s="36" t="s">
        <v>157</v>
      </c>
      <c r="D100" s="37">
        <v>4278.9399999999996</v>
      </c>
      <c r="E100" s="37"/>
      <c r="F100" s="37">
        <v>0</v>
      </c>
      <c r="G100" s="37">
        <v>0</v>
      </c>
      <c r="H100" s="37">
        <f t="shared" si="1"/>
        <v>4278.9399999999996</v>
      </c>
      <c r="I100" s="37"/>
      <c r="K100" t="s">
        <v>39</v>
      </c>
    </row>
    <row r="101" spans="2:11" ht="22" x14ac:dyDescent="0.15">
      <c r="B101" s="36" t="s">
        <v>158</v>
      </c>
      <c r="C101" s="36" t="s">
        <v>159</v>
      </c>
      <c r="D101" s="37">
        <v>6800</v>
      </c>
      <c r="E101" s="37"/>
      <c r="F101" s="37">
        <v>0</v>
      </c>
      <c r="G101" s="37">
        <v>0</v>
      </c>
      <c r="H101" s="37">
        <f t="shared" si="1"/>
        <v>6800</v>
      </c>
      <c r="I101" s="37"/>
      <c r="K101" t="s">
        <v>39</v>
      </c>
    </row>
    <row r="102" spans="2:11" ht="22" x14ac:dyDescent="0.15">
      <c r="B102" s="36" t="s">
        <v>160</v>
      </c>
      <c r="C102" s="36" t="s">
        <v>161</v>
      </c>
      <c r="D102" s="37">
        <v>3600</v>
      </c>
      <c r="E102" s="37"/>
      <c r="F102" s="37">
        <v>0</v>
      </c>
      <c r="G102" s="37">
        <v>0</v>
      </c>
      <c r="H102" s="37">
        <f t="shared" si="1"/>
        <v>3600</v>
      </c>
      <c r="I102" s="37"/>
      <c r="K102" t="s">
        <v>39</v>
      </c>
    </row>
    <row r="103" spans="2:11" ht="13" x14ac:dyDescent="0.15">
      <c r="B103" s="33" t="s">
        <v>162</v>
      </c>
      <c r="C103" s="33" t="s">
        <v>163</v>
      </c>
      <c r="D103" s="34">
        <f>SUMIFS(D104:D747,K104:K747,"0",B104:B747,"1 2 4 1 3 12 31111 6 M78 15000*")-SUMIFS(E104:E747,K104:K747,"0",B104:B747,"1 2 4 1 3 12 31111 6 M78 15000*")</f>
        <v>41089.99</v>
      </c>
      <c r="E103" s="35"/>
      <c r="F103" s="34">
        <f>SUMIFS(F104:F747,K104:K747,"0",B104:B747,"1 2 4 1 3 12 31111 6 M78 15000*")</f>
        <v>0</v>
      </c>
      <c r="G103" s="34">
        <f>SUMIFS(G104:G747,K104:K747,"0",B104:B747,"1 2 4 1 3 12 31111 6 M78 15000*")</f>
        <v>0</v>
      </c>
      <c r="H103" s="34">
        <f t="shared" si="1"/>
        <v>41089.99</v>
      </c>
      <c r="I103" s="34"/>
      <c r="K103" t="s">
        <v>15</v>
      </c>
    </row>
    <row r="104" spans="2:11" ht="22" x14ac:dyDescent="0.15">
      <c r="B104" s="33" t="s">
        <v>164</v>
      </c>
      <c r="C104" s="33" t="s">
        <v>165</v>
      </c>
      <c r="D104" s="34">
        <f>SUMIFS(D105:D747,K105:K747,"0",B105:B747,"1 2 4 1 3 12 31111 6 M78 15000 171*")-SUMIFS(E105:E747,K105:K747,"0",B105:B747,"1 2 4 1 3 12 31111 6 M78 15000 171*")</f>
        <v>41089.99</v>
      </c>
      <c r="E104" s="35"/>
      <c r="F104" s="34">
        <f>SUMIFS(F105:F747,K105:K747,"0",B105:B747,"1 2 4 1 3 12 31111 6 M78 15000 171*")</f>
        <v>0</v>
      </c>
      <c r="G104" s="34">
        <f>SUMIFS(G105:G747,K105:K747,"0",B105:B747,"1 2 4 1 3 12 31111 6 M78 15000 171*")</f>
        <v>0</v>
      </c>
      <c r="H104" s="34">
        <f t="shared" si="1"/>
        <v>41089.99</v>
      </c>
      <c r="I104" s="34"/>
      <c r="K104" t="s">
        <v>15</v>
      </c>
    </row>
    <row r="105" spans="2:11" ht="22" x14ac:dyDescent="0.15">
      <c r="B105" s="33" t="s">
        <v>166</v>
      </c>
      <c r="C105" s="33" t="s">
        <v>167</v>
      </c>
      <c r="D105" s="34">
        <f>SUMIFS(D106:D747,K106:K747,"0",B106:B747,"1 2 4 1 3 12 31111 6 M78 15000 171 00I*")-SUMIFS(E106:E747,K106:K747,"0",B106:B747,"1 2 4 1 3 12 31111 6 M78 15000 171 00I*")</f>
        <v>41089.99</v>
      </c>
      <c r="E105" s="35"/>
      <c r="F105" s="34">
        <f>SUMIFS(F106:F747,K106:K747,"0",B106:B747,"1 2 4 1 3 12 31111 6 M78 15000 171 00I*")</f>
        <v>0</v>
      </c>
      <c r="G105" s="34">
        <f>SUMIFS(G106:G747,K106:K747,"0",B106:B747,"1 2 4 1 3 12 31111 6 M78 15000 171 00I*")</f>
        <v>0</v>
      </c>
      <c r="H105" s="34">
        <f t="shared" si="1"/>
        <v>41089.99</v>
      </c>
      <c r="I105" s="34"/>
      <c r="K105" t="s">
        <v>15</v>
      </c>
    </row>
    <row r="106" spans="2:11" ht="22" x14ac:dyDescent="0.15">
      <c r="B106" s="33" t="s">
        <v>168</v>
      </c>
      <c r="C106" s="33" t="s">
        <v>169</v>
      </c>
      <c r="D106" s="34">
        <f>SUMIFS(D107:D747,K107:K747,"0",B107:B747,"1 2 4 1 3 12 31111 6 M78 15000 171 00I 002*")-SUMIFS(E107:E747,K107:K747,"0",B107:B747,"1 2 4 1 3 12 31111 6 M78 15000 171 00I 002*")</f>
        <v>41089.99</v>
      </c>
      <c r="E106" s="35"/>
      <c r="F106" s="34">
        <f>SUMIFS(F107:F747,K107:K747,"0",B107:B747,"1 2 4 1 3 12 31111 6 M78 15000 171 00I 002*")</f>
        <v>0</v>
      </c>
      <c r="G106" s="34">
        <f>SUMIFS(G107:G747,K107:K747,"0",B107:B747,"1 2 4 1 3 12 31111 6 M78 15000 171 00I 002*")</f>
        <v>0</v>
      </c>
      <c r="H106" s="34">
        <f t="shared" si="1"/>
        <v>41089.99</v>
      </c>
      <c r="I106" s="34"/>
      <c r="K106" t="s">
        <v>15</v>
      </c>
    </row>
    <row r="107" spans="2:11" ht="22" x14ac:dyDescent="0.15">
      <c r="B107" s="33" t="s">
        <v>170</v>
      </c>
      <c r="C107" s="33" t="s">
        <v>171</v>
      </c>
      <c r="D107" s="34">
        <f>SUMIFS(D108:D747,K108:K747,"0",B108:B747,"1 2 4 1 3 12 31111 6 M78 15000 171 00I 002 51501*")-SUMIFS(E108:E747,K108:K747,"0",B108:B747,"1 2 4 1 3 12 31111 6 M78 15000 171 00I 002 51501*")</f>
        <v>41089.99</v>
      </c>
      <c r="E107" s="35"/>
      <c r="F107" s="34">
        <f>SUMIFS(F108:F747,K108:K747,"0",B108:B747,"1 2 4 1 3 12 31111 6 M78 15000 171 00I 002 51501*")</f>
        <v>0</v>
      </c>
      <c r="G107" s="34">
        <f>SUMIFS(G108:G747,K108:K747,"0",B108:B747,"1 2 4 1 3 12 31111 6 M78 15000 171 00I 002 51501*")</f>
        <v>0</v>
      </c>
      <c r="H107" s="34">
        <f t="shared" si="1"/>
        <v>41089.99</v>
      </c>
      <c r="I107" s="34"/>
      <c r="K107" t="s">
        <v>15</v>
      </c>
    </row>
    <row r="108" spans="2:11" ht="22" x14ac:dyDescent="0.15">
      <c r="B108" s="33" t="s">
        <v>172</v>
      </c>
      <c r="C108" s="33" t="s">
        <v>173</v>
      </c>
      <c r="D108" s="34">
        <f>SUMIFS(D109:D747,K109:K747,"0",B109:B747,"1 2 4 1 3 12 31111 6 M78 15000 171 00I 002 51501 025*")-SUMIFS(E109:E747,K109:K747,"0",B109:B747,"1 2 4 1 3 12 31111 6 M78 15000 171 00I 002 51501 025*")</f>
        <v>41089.99</v>
      </c>
      <c r="E108" s="35"/>
      <c r="F108" s="34">
        <f>SUMIFS(F109:F747,K109:K747,"0",B109:B747,"1 2 4 1 3 12 31111 6 M78 15000 171 00I 002 51501 025*")</f>
        <v>0</v>
      </c>
      <c r="G108" s="34">
        <f>SUMIFS(G109:G747,K109:K747,"0",B109:B747,"1 2 4 1 3 12 31111 6 M78 15000 171 00I 002 51501 025*")</f>
        <v>0</v>
      </c>
      <c r="H108" s="34">
        <f t="shared" si="1"/>
        <v>41089.99</v>
      </c>
      <c r="I108" s="34"/>
      <c r="K108" t="s">
        <v>15</v>
      </c>
    </row>
    <row r="109" spans="2:11" ht="22" x14ac:dyDescent="0.15">
      <c r="B109" s="33" t="s">
        <v>174</v>
      </c>
      <c r="C109" s="33" t="s">
        <v>175</v>
      </c>
      <c r="D109" s="34">
        <f>SUMIFS(D110:D747,K110:K747,"0",B110:B747,"1 2 4 1 3 12 31111 6 M78 15000 171 00I 002 51501 025 2112000*")-SUMIFS(E110:E747,K110:K747,"0",B110:B747,"1 2 4 1 3 12 31111 6 M78 15000 171 00I 002 51501 025 2112000*")</f>
        <v>41089.99</v>
      </c>
      <c r="E109" s="35"/>
      <c r="F109" s="34">
        <f>SUMIFS(F110:F747,K110:K747,"0",B110:B747,"1 2 4 1 3 12 31111 6 M78 15000 171 00I 002 51501 025 2112000*")</f>
        <v>0</v>
      </c>
      <c r="G109" s="34">
        <f>SUMIFS(G110:G747,K110:K747,"0",B110:B747,"1 2 4 1 3 12 31111 6 M78 15000 171 00I 002 51501 025 2112000*")</f>
        <v>0</v>
      </c>
      <c r="H109" s="34">
        <f t="shared" si="1"/>
        <v>41089.99</v>
      </c>
      <c r="I109" s="34"/>
      <c r="K109" t="s">
        <v>15</v>
      </c>
    </row>
    <row r="110" spans="2:11" ht="33" x14ac:dyDescent="0.15">
      <c r="B110" s="33" t="s">
        <v>176</v>
      </c>
      <c r="C110" s="33" t="s">
        <v>177</v>
      </c>
      <c r="D110" s="34">
        <f>SUMIFS(D111:D747,K111:K747,"0",B111:B747,"1 2 4 1 3 12 31111 6 M78 15000 171 00I 002 51501 025 2112000 2019*")-SUMIFS(E111:E747,K111:K747,"0",B111:B747,"1 2 4 1 3 12 31111 6 M78 15000 171 00I 002 51501 025 2112000 2019*")</f>
        <v>5889.99</v>
      </c>
      <c r="E110" s="35"/>
      <c r="F110" s="34">
        <f>SUMIFS(F111:F747,K111:K747,"0",B111:B747,"1 2 4 1 3 12 31111 6 M78 15000 171 00I 002 51501 025 2112000 2019*")</f>
        <v>0</v>
      </c>
      <c r="G110" s="34">
        <f>SUMIFS(G111:G747,K111:K747,"0",B111:B747,"1 2 4 1 3 12 31111 6 M78 15000 171 00I 002 51501 025 2112000 2019*")</f>
        <v>0</v>
      </c>
      <c r="H110" s="34">
        <f t="shared" si="1"/>
        <v>5889.99</v>
      </c>
      <c r="I110" s="34"/>
      <c r="K110" t="s">
        <v>15</v>
      </c>
    </row>
    <row r="111" spans="2:11" ht="33" x14ac:dyDescent="0.15">
      <c r="B111" s="33" t="s">
        <v>178</v>
      </c>
      <c r="C111" s="33" t="s">
        <v>179</v>
      </c>
      <c r="D111" s="34">
        <f>SUMIFS(D112:D747,K112:K747,"0",B112:B747,"1 2 4 1 3 12 31111 6 M78 15000 171 00I 002 51501 025 2112000 2019 00000000*")-SUMIFS(E112:E747,K112:K747,"0",B112:B747,"1 2 4 1 3 12 31111 6 M78 15000 171 00I 002 51501 025 2112000 2019 00000000*")</f>
        <v>5889.99</v>
      </c>
      <c r="E111" s="35"/>
      <c r="F111" s="34">
        <f>SUMIFS(F112:F747,K112:K747,"0",B112:B747,"1 2 4 1 3 12 31111 6 M78 15000 171 00I 002 51501 025 2112000 2019 00000000*")</f>
        <v>0</v>
      </c>
      <c r="G111" s="34">
        <f>SUMIFS(G112:G747,K112:K747,"0",B112:B747,"1 2 4 1 3 12 31111 6 M78 15000 171 00I 002 51501 025 2112000 2019 00000000*")</f>
        <v>0</v>
      </c>
      <c r="H111" s="34">
        <f t="shared" si="1"/>
        <v>5889.99</v>
      </c>
      <c r="I111" s="34"/>
      <c r="K111" t="s">
        <v>15</v>
      </c>
    </row>
    <row r="112" spans="2:11" ht="33" x14ac:dyDescent="0.15">
      <c r="B112" s="33" t="s">
        <v>180</v>
      </c>
      <c r="C112" s="33" t="s">
        <v>9</v>
      </c>
      <c r="D112" s="34">
        <f>SUMIFS(D113:D747,K113:K747,"0",B113:B747,"1 2 4 1 3 12 31111 6 M78 15000 171 00I 002 51501 025 2112000 2019 00000000 003*")-SUMIFS(E113:E747,K113:K747,"0",B113:B747,"1 2 4 1 3 12 31111 6 M78 15000 171 00I 002 51501 025 2112000 2019 00000000 003*")</f>
        <v>5889.99</v>
      </c>
      <c r="E112" s="35"/>
      <c r="F112" s="34">
        <f>SUMIFS(F113:F747,K113:K747,"0",B113:B747,"1 2 4 1 3 12 31111 6 M78 15000 171 00I 002 51501 025 2112000 2019 00000000 003*")</f>
        <v>0</v>
      </c>
      <c r="G112" s="34">
        <f>SUMIFS(G113:G747,K113:K747,"0",B113:B747,"1 2 4 1 3 12 31111 6 M78 15000 171 00I 002 51501 025 2112000 2019 00000000 003*")</f>
        <v>0</v>
      </c>
      <c r="H112" s="34">
        <f t="shared" si="1"/>
        <v>5889.99</v>
      </c>
      <c r="I112" s="34"/>
      <c r="K112" t="s">
        <v>15</v>
      </c>
    </row>
    <row r="113" spans="2:11" ht="33" x14ac:dyDescent="0.15">
      <c r="B113" s="33" t="s">
        <v>181</v>
      </c>
      <c r="C113" s="33" t="s">
        <v>163</v>
      </c>
      <c r="D113" s="34">
        <f>SUMIFS(D114:D747,K114:K747,"0",B114:B747,"1 2 4 1 3 12 31111 6 M78 15000 171 00I 002 51501 025 2112000 2019 00000000 003 015*")-SUMIFS(E114:E747,K114:K747,"0",B114:B747,"1 2 4 1 3 12 31111 6 M78 15000 171 00I 002 51501 025 2112000 2019 00000000 003 015*")</f>
        <v>5889.99</v>
      </c>
      <c r="E113" s="35"/>
      <c r="F113" s="34">
        <f>SUMIFS(F114:F747,K114:K747,"0",B114:B747,"1 2 4 1 3 12 31111 6 M78 15000 171 00I 002 51501 025 2112000 2019 00000000 003 015*")</f>
        <v>0</v>
      </c>
      <c r="G113" s="34">
        <f>SUMIFS(G114:G747,K114:K747,"0",B114:B747,"1 2 4 1 3 12 31111 6 M78 15000 171 00I 002 51501 025 2112000 2019 00000000 003 015*")</f>
        <v>0</v>
      </c>
      <c r="H113" s="34">
        <f t="shared" si="1"/>
        <v>5889.99</v>
      </c>
      <c r="I113" s="34"/>
      <c r="K113" t="s">
        <v>15</v>
      </c>
    </row>
    <row r="114" spans="2:11" ht="33" x14ac:dyDescent="0.15">
      <c r="B114" s="36" t="s">
        <v>182</v>
      </c>
      <c r="C114" s="36" t="s">
        <v>183</v>
      </c>
      <c r="D114" s="37">
        <v>5889.99</v>
      </c>
      <c r="E114" s="37"/>
      <c r="F114" s="37">
        <v>0</v>
      </c>
      <c r="G114" s="37">
        <v>0</v>
      </c>
      <c r="H114" s="37">
        <f t="shared" si="1"/>
        <v>5889.99</v>
      </c>
      <c r="I114" s="37"/>
      <c r="K114" t="s">
        <v>39</v>
      </c>
    </row>
    <row r="115" spans="2:11" ht="33" x14ac:dyDescent="0.15">
      <c r="B115" s="33" t="s">
        <v>184</v>
      </c>
      <c r="C115" s="33" t="s">
        <v>185</v>
      </c>
      <c r="D115" s="34">
        <f>SUMIFS(D116:D747,K116:K747,"0",B116:B747,"1 2 4 1 3 12 31111 6 M78 15000 171 00I 002 51501 025 2112000 2023*")-SUMIFS(E116:E747,K116:K747,"0",B116:B747,"1 2 4 1 3 12 31111 6 M78 15000 171 00I 002 51501 025 2112000 2023*")</f>
        <v>35200</v>
      </c>
      <c r="E115" s="35"/>
      <c r="F115" s="34">
        <f>SUMIFS(F116:F747,K116:K747,"0",B116:B747,"1 2 4 1 3 12 31111 6 M78 15000 171 00I 002 51501 025 2112000 2023*")</f>
        <v>0</v>
      </c>
      <c r="G115" s="34">
        <f>SUMIFS(G116:G747,K116:K747,"0",B116:B747,"1 2 4 1 3 12 31111 6 M78 15000 171 00I 002 51501 025 2112000 2023*")</f>
        <v>0</v>
      </c>
      <c r="H115" s="34">
        <f t="shared" si="1"/>
        <v>35200</v>
      </c>
      <c r="I115" s="34"/>
      <c r="K115" t="s">
        <v>15</v>
      </c>
    </row>
    <row r="116" spans="2:11" ht="33" x14ac:dyDescent="0.15">
      <c r="B116" s="33" t="s">
        <v>186</v>
      </c>
      <c r="C116" s="33" t="s">
        <v>179</v>
      </c>
      <c r="D116" s="34">
        <f>SUMIFS(D117:D747,K117:K747,"0",B117:B747,"1 2 4 1 3 12 31111 6 M78 15000 171 00I 002 51501 025 2112000 2023 00000000*")-SUMIFS(E117:E747,K117:K747,"0",B117:B747,"1 2 4 1 3 12 31111 6 M78 15000 171 00I 002 51501 025 2112000 2023 00000000*")</f>
        <v>35200</v>
      </c>
      <c r="E116" s="35"/>
      <c r="F116" s="34">
        <f>SUMIFS(F117:F747,K117:K747,"0",B117:B747,"1 2 4 1 3 12 31111 6 M78 15000 171 00I 002 51501 025 2112000 2023 00000000*")</f>
        <v>0</v>
      </c>
      <c r="G116" s="34">
        <f>SUMIFS(G117:G747,K117:K747,"0",B117:B747,"1 2 4 1 3 12 31111 6 M78 15000 171 00I 002 51501 025 2112000 2023 00000000*")</f>
        <v>0</v>
      </c>
      <c r="H116" s="34">
        <f t="shared" si="1"/>
        <v>35200</v>
      </c>
      <c r="I116" s="34"/>
      <c r="K116" t="s">
        <v>15</v>
      </c>
    </row>
    <row r="117" spans="2:11" ht="33" x14ac:dyDescent="0.15">
      <c r="B117" s="33" t="s">
        <v>187</v>
      </c>
      <c r="C117" s="33" t="s">
        <v>9</v>
      </c>
      <c r="D117" s="34">
        <f>SUMIFS(D118:D747,K118:K747,"0",B118:B747,"1 2 4 1 3 12 31111 6 M78 15000 171 00I 002 51501 025 2112000 2023 00000000 003*")-SUMIFS(E118:E747,K118:K747,"0",B118:B747,"1 2 4 1 3 12 31111 6 M78 15000 171 00I 002 51501 025 2112000 2023 00000000 003*")</f>
        <v>35200</v>
      </c>
      <c r="E117" s="35"/>
      <c r="F117" s="34">
        <f>SUMIFS(F118:F747,K118:K747,"0",B118:B747,"1 2 4 1 3 12 31111 6 M78 15000 171 00I 002 51501 025 2112000 2023 00000000 003*")</f>
        <v>0</v>
      </c>
      <c r="G117" s="34">
        <f>SUMIFS(G118:G747,K118:K747,"0",B118:B747,"1 2 4 1 3 12 31111 6 M78 15000 171 00I 002 51501 025 2112000 2023 00000000 003*")</f>
        <v>0</v>
      </c>
      <c r="H117" s="34">
        <f t="shared" si="1"/>
        <v>35200</v>
      </c>
      <c r="I117" s="34"/>
      <c r="K117" t="s">
        <v>15</v>
      </c>
    </row>
    <row r="118" spans="2:11" ht="33" x14ac:dyDescent="0.15">
      <c r="B118" s="33" t="s">
        <v>188</v>
      </c>
      <c r="C118" s="33" t="s">
        <v>163</v>
      </c>
      <c r="D118" s="34">
        <f>SUMIFS(D119:D747,K119:K747,"0",B119:B747,"1 2 4 1 3 12 31111 6 M78 15000 171 00I 002 51501 025 2112000 2023 00000000 003 015*")-SUMIFS(E119:E747,K119:K747,"0",B119:B747,"1 2 4 1 3 12 31111 6 M78 15000 171 00I 002 51501 025 2112000 2023 00000000 003 015*")</f>
        <v>35200</v>
      </c>
      <c r="E118" s="35"/>
      <c r="F118" s="34">
        <f>SUMIFS(F119:F747,K119:K747,"0",B119:B747,"1 2 4 1 3 12 31111 6 M78 15000 171 00I 002 51501 025 2112000 2023 00000000 003 015*")</f>
        <v>0</v>
      </c>
      <c r="G118" s="34">
        <f>SUMIFS(G119:G747,K119:K747,"0",B119:B747,"1 2 4 1 3 12 31111 6 M78 15000 171 00I 002 51501 025 2112000 2023 00000000 003 015*")</f>
        <v>0</v>
      </c>
      <c r="H118" s="34">
        <f t="shared" si="1"/>
        <v>35200</v>
      </c>
      <c r="I118" s="34"/>
      <c r="K118" t="s">
        <v>15</v>
      </c>
    </row>
    <row r="119" spans="2:11" ht="33" x14ac:dyDescent="0.15">
      <c r="B119" s="36" t="s">
        <v>189</v>
      </c>
      <c r="C119" s="36" t="s">
        <v>190</v>
      </c>
      <c r="D119" s="37">
        <v>35200</v>
      </c>
      <c r="E119" s="37"/>
      <c r="F119" s="37">
        <v>0</v>
      </c>
      <c r="G119" s="37">
        <v>0</v>
      </c>
      <c r="H119" s="37">
        <f t="shared" si="1"/>
        <v>35200</v>
      </c>
      <c r="I119" s="37"/>
      <c r="K119" t="s">
        <v>39</v>
      </c>
    </row>
    <row r="120" spans="2:11" ht="13" x14ac:dyDescent="0.15">
      <c r="B120" s="33" t="s">
        <v>191</v>
      </c>
      <c r="C120" s="33" t="s">
        <v>192</v>
      </c>
      <c r="D120" s="34">
        <f>SUMIFS(D121:D747,K121:K747,"0",B121:B747,"1 2 4 1 9*")-SUMIFS(E121:E747,K121:K747,"0",B121:B747,"1 2 4 1 9*")</f>
        <v>3650</v>
      </c>
      <c r="E120" s="35"/>
      <c r="F120" s="34">
        <f>SUMIFS(F121:F747,K121:K747,"0",B121:B747,"1 2 4 1 9*")</f>
        <v>0</v>
      </c>
      <c r="G120" s="34">
        <f>SUMIFS(G121:G747,K121:K747,"0",B121:B747,"1 2 4 1 9*")</f>
        <v>0</v>
      </c>
      <c r="H120" s="34">
        <f t="shared" si="1"/>
        <v>3650</v>
      </c>
      <c r="I120" s="34"/>
      <c r="K120" t="s">
        <v>15</v>
      </c>
    </row>
    <row r="121" spans="2:11" ht="13" x14ac:dyDescent="0.15">
      <c r="B121" s="33" t="s">
        <v>193</v>
      </c>
      <c r="C121" s="33" t="s">
        <v>26</v>
      </c>
      <c r="D121" s="34">
        <f>SUMIFS(D122:D747,K122:K747,"0",B122:B747,"1 2 4 1 9 12*")-SUMIFS(E122:E747,K122:K747,"0",B122:B747,"1 2 4 1 9 12*")</f>
        <v>3650</v>
      </c>
      <c r="E121" s="35"/>
      <c r="F121" s="34">
        <f>SUMIFS(F122:F747,K122:K747,"0",B122:B747,"1 2 4 1 9 12*")</f>
        <v>0</v>
      </c>
      <c r="G121" s="34">
        <f>SUMIFS(G122:G747,K122:K747,"0",B122:B747,"1 2 4 1 9 12*")</f>
        <v>0</v>
      </c>
      <c r="H121" s="34">
        <f t="shared" si="1"/>
        <v>3650</v>
      </c>
      <c r="I121" s="34"/>
      <c r="K121" t="s">
        <v>15</v>
      </c>
    </row>
    <row r="122" spans="2:11" ht="13" x14ac:dyDescent="0.15">
      <c r="B122" s="33" t="s">
        <v>194</v>
      </c>
      <c r="C122" s="33" t="s">
        <v>28</v>
      </c>
      <c r="D122" s="34">
        <f>SUMIFS(D123:D747,K123:K747,"0",B123:B747,"1 2 4 1 9 12 31111*")-SUMIFS(E123:E747,K123:K747,"0",B123:B747,"1 2 4 1 9 12 31111*")</f>
        <v>3650</v>
      </c>
      <c r="E122" s="35"/>
      <c r="F122" s="34">
        <f>SUMIFS(F123:F747,K123:K747,"0",B123:B747,"1 2 4 1 9 12 31111*")</f>
        <v>0</v>
      </c>
      <c r="G122" s="34">
        <f>SUMIFS(G123:G747,K123:K747,"0",B123:B747,"1 2 4 1 9 12 31111*")</f>
        <v>0</v>
      </c>
      <c r="H122" s="34">
        <f t="shared" si="1"/>
        <v>3650</v>
      </c>
      <c r="I122" s="34"/>
      <c r="K122" t="s">
        <v>15</v>
      </c>
    </row>
    <row r="123" spans="2:11" ht="13" x14ac:dyDescent="0.15">
      <c r="B123" s="33" t="s">
        <v>195</v>
      </c>
      <c r="C123" s="33" t="s">
        <v>30</v>
      </c>
      <c r="D123" s="34">
        <f>SUMIFS(D124:D747,K124:K747,"0",B124:B747,"1 2 4 1 9 12 31111 6*")-SUMIFS(E124:E747,K124:K747,"0",B124:B747,"1 2 4 1 9 12 31111 6*")</f>
        <v>3650</v>
      </c>
      <c r="E123" s="35"/>
      <c r="F123" s="34">
        <f>SUMIFS(F124:F747,K124:K747,"0",B124:B747,"1 2 4 1 9 12 31111 6*")</f>
        <v>0</v>
      </c>
      <c r="G123" s="34">
        <f>SUMIFS(G124:G747,K124:K747,"0",B124:B747,"1 2 4 1 9 12 31111 6*")</f>
        <v>0</v>
      </c>
      <c r="H123" s="34">
        <f t="shared" si="1"/>
        <v>3650</v>
      </c>
      <c r="I123" s="34"/>
      <c r="K123" t="s">
        <v>15</v>
      </c>
    </row>
    <row r="124" spans="2:11" ht="13" x14ac:dyDescent="0.15">
      <c r="B124" s="33" t="s">
        <v>196</v>
      </c>
      <c r="C124" s="33" t="s">
        <v>32</v>
      </c>
      <c r="D124" s="34">
        <f>SUMIFS(D125:D747,K125:K747,"0",B125:B747,"1 2 4 1 9 12 31111 6 M78*")-SUMIFS(E125:E747,K125:K747,"0",B125:B747,"1 2 4 1 9 12 31111 6 M78*")</f>
        <v>3650</v>
      </c>
      <c r="E124" s="35"/>
      <c r="F124" s="34">
        <f>SUMIFS(F125:F747,K125:K747,"0",B125:B747,"1 2 4 1 9 12 31111 6 M78*")</f>
        <v>0</v>
      </c>
      <c r="G124" s="34">
        <f>SUMIFS(G125:G747,K125:K747,"0",B125:B747,"1 2 4 1 9 12 31111 6 M78*")</f>
        <v>0</v>
      </c>
      <c r="H124" s="34">
        <f t="shared" si="1"/>
        <v>3650</v>
      </c>
      <c r="I124" s="34"/>
      <c r="K124" t="s">
        <v>15</v>
      </c>
    </row>
    <row r="125" spans="2:11" ht="13" x14ac:dyDescent="0.15">
      <c r="B125" s="33" t="s">
        <v>197</v>
      </c>
      <c r="C125" s="33" t="s">
        <v>129</v>
      </c>
      <c r="D125" s="34">
        <f>SUMIFS(D126:D747,K126:K747,"0",B126:B747,"1 2 4 1 9 12 31111 6 M78 00000*")-SUMIFS(E126:E747,K126:K747,"0",B126:B747,"1 2 4 1 9 12 31111 6 M78 00000*")</f>
        <v>3650</v>
      </c>
      <c r="E125" s="35"/>
      <c r="F125" s="34">
        <f>SUMIFS(F126:F747,K126:K747,"0",B126:B747,"1 2 4 1 9 12 31111 6 M78 00000*")</f>
        <v>0</v>
      </c>
      <c r="G125" s="34">
        <f>SUMIFS(G126:G747,K126:K747,"0",B126:B747,"1 2 4 1 9 12 31111 6 M78 00000*")</f>
        <v>0</v>
      </c>
      <c r="H125" s="34">
        <f t="shared" si="1"/>
        <v>3650</v>
      </c>
      <c r="I125" s="34"/>
      <c r="K125" t="s">
        <v>15</v>
      </c>
    </row>
    <row r="126" spans="2:11" ht="22" x14ac:dyDescent="0.15">
      <c r="B126" s="33" t="s">
        <v>198</v>
      </c>
      <c r="C126" s="33" t="s">
        <v>111</v>
      </c>
      <c r="D126" s="34">
        <f>SUMIFS(D127:D747,K127:K747,"0",B127:B747,"1 2 4 1 9 12 31111 6 M78 00000 003*")-SUMIFS(E127:E747,K127:K747,"0",B127:B747,"1 2 4 1 9 12 31111 6 M78 00000 003*")</f>
        <v>3650</v>
      </c>
      <c r="E126" s="35"/>
      <c r="F126" s="34">
        <f>SUMIFS(F127:F747,K127:K747,"0",B127:B747,"1 2 4 1 9 12 31111 6 M78 00000 003*")</f>
        <v>0</v>
      </c>
      <c r="G126" s="34">
        <f>SUMIFS(G127:G747,K127:K747,"0",B127:B747,"1 2 4 1 9 12 31111 6 M78 00000 003*")</f>
        <v>0</v>
      </c>
      <c r="H126" s="34">
        <f t="shared" si="1"/>
        <v>3650</v>
      </c>
      <c r="I126" s="34"/>
      <c r="K126" t="s">
        <v>15</v>
      </c>
    </row>
    <row r="127" spans="2:11" ht="22" x14ac:dyDescent="0.15">
      <c r="B127" s="33" t="s">
        <v>199</v>
      </c>
      <c r="C127" s="33" t="s">
        <v>132</v>
      </c>
      <c r="D127" s="34">
        <f>SUMIFS(D128:D747,K128:K747,"0",B128:B747,"1 2 4 1 9 12 31111 6 M78 00000 003 001*")-SUMIFS(E128:E747,K128:K747,"0",B128:B747,"1 2 4 1 9 12 31111 6 M78 00000 003 001*")</f>
        <v>3650</v>
      </c>
      <c r="E127" s="35"/>
      <c r="F127" s="34">
        <f>SUMIFS(F128:F747,K128:K747,"0",B128:B747,"1 2 4 1 9 12 31111 6 M78 00000 003 001*")</f>
        <v>0</v>
      </c>
      <c r="G127" s="34">
        <f>SUMIFS(G128:G747,K128:K747,"0",B128:B747,"1 2 4 1 9 12 31111 6 M78 00000 003 001*")</f>
        <v>0</v>
      </c>
      <c r="H127" s="34">
        <f t="shared" si="1"/>
        <v>3650</v>
      </c>
      <c r="I127" s="34"/>
      <c r="K127" t="s">
        <v>15</v>
      </c>
    </row>
    <row r="128" spans="2:11" ht="22" x14ac:dyDescent="0.15">
      <c r="B128" s="33" t="s">
        <v>200</v>
      </c>
      <c r="C128" s="33" t="s">
        <v>9</v>
      </c>
      <c r="D128" s="34">
        <f>SUMIFS(D129:D747,K129:K747,"0",B129:B747,"1 2 4 1 9 12 31111 6 M78 00000 003 001 001*")-SUMIFS(E129:E747,K129:K747,"0",B129:B747,"1 2 4 1 9 12 31111 6 M78 00000 003 001 001*")</f>
        <v>3650</v>
      </c>
      <c r="E128" s="35"/>
      <c r="F128" s="34">
        <f>SUMIFS(F129:F747,K129:K747,"0",B129:B747,"1 2 4 1 9 12 31111 6 M78 00000 003 001 001*")</f>
        <v>0</v>
      </c>
      <c r="G128" s="34">
        <f>SUMIFS(G129:G747,K129:K747,"0",B129:B747,"1 2 4 1 9 12 31111 6 M78 00000 003 001 001*")</f>
        <v>0</v>
      </c>
      <c r="H128" s="34">
        <f t="shared" si="1"/>
        <v>3650</v>
      </c>
      <c r="I128" s="34"/>
      <c r="K128" t="s">
        <v>15</v>
      </c>
    </row>
    <row r="129" spans="2:11" ht="22" x14ac:dyDescent="0.15">
      <c r="B129" s="36" t="s">
        <v>201</v>
      </c>
      <c r="C129" s="36" t="s">
        <v>202</v>
      </c>
      <c r="D129" s="37">
        <v>3650</v>
      </c>
      <c r="E129" s="37"/>
      <c r="F129" s="37">
        <v>0</v>
      </c>
      <c r="G129" s="37">
        <v>0</v>
      </c>
      <c r="H129" s="37">
        <f t="shared" si="1"/>
        <v>3650</v>
      </c>
      <c r="I129" s="37"/>
      <c r="K129" t="s">
        <v>39</v>
      </c>
    </row>
    <row r="130" spans="2:11" ht="13" x14ac:dyDescent="0.15">
      <c r="B130" s="33" t="s">
        <v>203</v>
      </c>
      <c r="C130" s="33" t="s">
        <v>204</v>
      </c>
      <c r="D130" s="34">
        <f>SUMIFS(D131:D747,K131:K747,"0",B131:B747,"1 2 4 4*")-SUMIFS(E131:E747,K131:K747,"0",B131:B747,"1 2 4 4*")</f>
        <v>2501019.8499999996</v>
      </c>
      <c r="E130" s="35"/>
      <c r="F130" s="34">
        <f>SUMIFS(F131:F747,K131:K747,"0",B131:B747,"1 2 4 4*")</f>
        <v>0</v>
      </c>
      <c r="G130" s="34">
        <f>SUMIFS(G131:G747,K131:K747,"0",B131:B747,"1 2 4 4*")</f>
        <v>729256.88</v>
      </c>
      <c r="H130" s="34">
        <f t="shared" si="1"/>
        <v>1771762.9699999997</v>
      </c>
      <c r="I130" s="34"/>
      <c r="K130" t="s">
        <v>15</v>
      </c>
    </row>
    <row r="131" spans="2:11" ht="13" x14ac:dyDescent="0.15">
      <c r="B131" s="33" t="s">
        <v>205</v>
      </c>
      <c r="C131" s="33" t="s">
        <v>206</v>
      </c>
      <c r="D131" s="34">
        <f>SUMIFS(D132:D747,K132:K747,"0",B132:B747,"1 2 4 4 1*")-SUMIFS(E132:E747,K132:K747,"0",B132:B747,"1 2 4 4 1*")</f>
        <v>2501019.8499999996</v>
      </c>
      <c r="E131" s="35"/>
      <c r="F131" s="34">
        <f>SUMIFS(F132:F747,K132:K747,"0",B132:B747,"1 2 4 4 1*")</f>
        <v>0</v>
      </c>
      <c r="G131" s="34">
        <f>SUMIFS(G132:G747,K132:K747,"0",B132:B747,"1 2 4 4 1*")</f>
        <v>729256.88</v>
      </c>
      <c r="H131" s="34">
        <f t="shared" si="1"/>
        <v>1771762.9699999997</v>
      </c>
      <c r="I131" s="34"/>
      <c r="K131" t="s">
        <v>15</v>
      </c>
    </row>
    <row r="132" spans="2:11" ht="13" x14ac:dyDescent="0.15">
      <c r="B132" s="33" t="s">
        <v>207</v>
      </c>
      <c r="C132" s="33" t="s">
        <v>26</v>
      </c>
      <c r="D132" s="34">
        <f>SUMIFS(D133:D747,K133:K747,"0",B133:B747,"1 2 4 4 1 12*")-SUMIFS(E133:E747,K133:K747,"0",B133:B747,"1 2 4 4 1 12*")</f>
        <v>2501019.8499999996</v>
      </c>
      <c r="E132" s="35"/>
      <c r="F132" s="34">
        <f>SUMIFS(F133:F747,K133:K747,"0",B133:B747,"1 2 4 4 1 12*")</f>
        <v>0</v>
      </c>
      <c r="G132" s="34">
        <f>SUMIFS(G133:G747,K133:K747,"0",B133:B747,"1 2 4 4 1 12*")</f>
        <v>729256.88</v>
      </c>
      <c r="H132" s="34">
        <f t="shared" si="1"/>
        <v>1771762.9699999997</v>
      </c>
      <c r="I132" s="34"/>
      <c r="K132" t="s">
        <v>15</v>
      </c>
    </row>
    <row r="133" spans="2:11" ht="13" x14ac:dyDescent="0.15">
      <c r="B133" s="33" t="s">
        <v>208</v>
      </c>
      <c r="C133" s="33" t="s">
        <v>28</v>
      </c>
      <c r="D133" s="34">
        <f>SUMIFS(D134:D747,K134:K747,"0",B134:B747,"1 2 4 4 1 12 31111*")-SUMIFS(E134:E747,K134:K747,"0",B134:B747,"1 2 4 4 1 12 31111*")</f>
        <v>2501019.8499999996</v>
      </c>
      <c r="E133" s="35"/>
      <c r="F133" s="34">
        <f>SUMIFS(F134:F747,K134:K747,"0",B134:B747,"1 2 4 4 1 12 31111*")</f>
        <v>0</v>
      </c>
      <c r="G133" s="34">
        <f>SUMIFS(G134:G747,K134:K747,"0",B134:B747,"1 2 4 4 1 12 31111*")</f>
        <v>729256.88</v>
      </c>
      <c r="H133" s="34">
        <f t="shared" si="1"/>
        <v>1771762.9699999997</v>
      </c>
      <c r="I133" s="34"/>
      <c r="K133" t="s">
        <v>15</v>
      </c>
    </row>
    <row r="134" spans="2:11" ht="13" x14ac:dyDescent="0.15">
      <c r="B134" s="33" t="s">
        <v>209</v>
      </c>
      <c r="C134" s="33" t="s">
        <v>30</v>
      </c>
      <c r="D134" s="34">
        <f>SUMIFS(D135:D747,K135:K747,"0",B135:B747,"1 2 4 4 1 12 31111 6*")-SUMIFS(E135:E747,K135:K747,"0",B135:B747,"1 2 4 4 1 12 31111 6*")</f>
        <v>2501019.8499999996</v>
      </c>
      <c r="E134" s="35"/>
      <c r="F134" s="34">
        <f>SUMIFS(F135:F747,K135:K747,"0",B135:B747,"1 2 4 4 1 12 31111 6*")</f>
        <v>0</v>
      </c>
      <c r="G134" s="34">
        <f>SUMIFS(G135:G747,K135:K747,"0",B135:B747,"1 2 4 4 1 12 31111 6*")</f>
        <v>729256.88</v>
      </c>
      <c r="H134" s="34">
        <f t="shared" si="1"/>
        <v>1771762.9699999997</v>
      </c>
      <c r="I134" s="34"/>
      <c r="K134" t="s">
        <v>15</v>
      </c>
    </row>
    <row r="135" spans="2:11" ht="13" x14ac:dyDescent="0.15">
      <c r="B135" s="33" t="s">
        <v>210</v>
      </c>
      <c r="C135" s="33" t="s">
        <v>32</v>
      </c>
      <c r="D135" s="34">
        <f>SUMIFS(D136:D747,K136:K747,"0",B136:B747,"1 2 4 4 1 12 31111 6 M78*")-SUMIFS(E136:E747,K136:K747,"0",B136:B747,"1 2 4 4 1 12 31111 6 M78*")</f>
        <v>2501019.8499999996</v>
      </c>
      <c r="E135" s="35"/>
      <c r="F135" s="34">
        <f>SUMIFS(F136:F747,K136:K747,"0",B136:B747,"1 2 4 4 1 12 31111 6 M78*")</f>
        <v>0</v>
      </c>
      <c r="G135" s="34">
        <f>SUMIFS(G136:G747,K136:K747,"0",B136:B747,"1 2 4 4 1 12 31111 6 M78*")</f>
        <v>729256.88</v>
      </c>
      <c r="H135" s="34">
        <f t="shared" si="1"/>
        <v>1771762.9699999997</v>
      </c>
      <c r="I135" s="34"/>
      <c r="K135" t="s">
        <v>15</v>
      </c>
    </row>
    <row r="136" spans="2:11" ht="13" x14ac:dyDescent="0.15">
      <c r="B136" s="33" t="s">
        <v>211</v>
      </c>
      <c r="C136" s="33" t="s">
        <v>129</v>
      </c>
      <c r="D136" s="34">
        <f>SUMIFS(D137:D747,K137:K747,"0",B137:B747,"1 2 4 4 1 12 31111 6 M78 00000*")-SUMIFS(E137:E747,K137:K747,"0",B137:B747,"1 2 4 4 1 12 31111 6 M78 00000*")</f>
        <v>1372819.8499999999</v>
      </c>
      <c r="E136" s="35"/>
      <c r="F136" s="34">
        <f>SUMIFS(F137:F747,K137:K747,"0",B137:B747,"1 2 4 4 1 12 31111 6 M78 00000*")</f>
        <v>0</v>
      </c>
      <c r="G136" s="34">
        <f>SUMIFS(G137:G747,K137:K747,"0",B137:B747,"1 2 4 4 1 12 31111 6 M78 00000*")</f>
        <v>729256.88</v>
      </c>
      <c r="H136" s="34">
        <f t="shared" si="1"/>
        <v>643562.96999999986</v>
      </c>
      <c r="I136" s="34"/>
      <c r="K136" t="s">
        <v>15</v>
      </c>
    </row>
    <row r="137" spans="2:11" ht="22" x14ac:dyDescent="0.15">
      <c r="B137" s="33" t="s">
        <v>212</v>
      </c>
      <c r="C137" s="33" t="s">
        <v>111</v>
      </c>
      <c r="D137" s="34">
        <f>SUMIFS(D138:D747,K138:K747,"0",B138:B747,"1 2 4 4 1 12 31111 6 M78 00000 003*")-SUMIFS(E138:E747,K138:K747,"0",B138:B747,"1 2 4 4 1 12 31111 6 M78 00000 003*")</f>
        <v>1372819.8499999999</v>
      </c>
      <c r="E137" s="35"/>
      <c r="F137" s="34">
        <f>SUMIFS(F138:F747,K138:K747,"0",B138:B747,"1 2 4 4 1 12 31111 6 M78 00000 003*")</f>
        <v>0</v>
      </c>
      <c r="G137" s="34">
        <f>SUMIFS(G138:G747,K138:K747,"0",B138:B747,"1 2 4 4 1 12 31111 6 M78 00000 003*")</f>
        <v>729256.88</v>
      </c>
      <c r="H137" s="34">
        <f t="shared" si="1"/>
        <v>643562.96999999986</v>
      </c>
      <c r="I137" s="34"/>
      <c r="K137" t="s">
        <v>15</v>
      </c>
    </row>
    <row r="138" spans="2:11" ht="22" x14ac:dyDescent="0.15">
      <c r="B138" s="33" t="s">
        <v>213</v>
      </c>
      <c r="C138" s="33" t="s">
        <v>132</v>
      </c>
      <c r="D138" s="34">
        <f>SUMIFS(D139:D747,K139:K747,"0",B139:B747,"1 2 4 4 1 12 31111 6 M78 00000 003 001*")-SUMIFS(E139:E747,K139:K747,"0",B139:B747,"1 2 4 4 1 12 31111 6 M78 00000 003 001*")</f>
        <v>1322819.8499999999</v>
      </c>
      <c r="E138" s="35"/>
      <c r="F138" s="34">
        <f>SUMIFS(F139:F747,K139:K747,"0",B139:B747,"1 2 4 4 1 12 31111 6 M78 00000 003 001*")</f>
        <v>0</v>
      </c>
      <c r="G138" s="34">
        <f>SUMIFS(G139:G747,K139:K747,"0",B139:B747,"1 2 4 4 1 12 31111 6 M78 00000 003 001*")</f>
        <v>679256.88</v>
      </c>
      <c r="H138" s="34">
        <f t="shared" si="1"/>
        <v>643562.96999999986</v>
      </c>
      <c r="I138" s="34"/>
      <c r="K138" t="s">
        <v>15</v>
      </c>
    </row>
    <row r="139" spans="2:11" ht="22" x14ac:dyDescent="0.15">
      <c r="B139" s="33" t="s">
        <v>214</v>
      </c>
      <c r="C139" s="33" t="s">
        <v>9</v>
      </c>
      <c r="D139" s="34">
        <f>SUMIFS(D140:D747,K140:K747,"0",B140:B747,"1 2 4 4 1 12 31111 6 M78 00000 003 001 001*")-SUMIFS(E140:E747,K140:K747,"0",B140:B747,"1 2 4 4 1 12 31111 6 M78 00000 003 001 001*")</f>
        <v>739519.84999999986</v>
      </c>
      <c r="E139" s="35"/>
      <c r="F139" s="34">
        <f>SUMIFS(F140:F747,K140:K747,"0",B140:B747,"1 2 4 4 1 12 31111 6 M78 00000 003 001 001*")</f>
        <v>0</v>
      </c>
      <c r="G139" s="34">
        <f>SUMIFS(G140:G747,K140:K747,"0",B140:B747,"1 2 4 4 1 12 31111 6 M78 00000 003 001 001*")</f>
        <v>267656.88</v>
      </c>
      <c r="H139" s="34">
        <f t="shared" si="1"/>
        <v>471862.96999999986</v>
      </c>
      <c r="I139" s="34"/>
      <c r="K139" t="s">
        <v>15</v>
      </c>
    </row>
    <row r="140" spans="2:11" ht="22" x14ac:dyDescent="0.15">
      <c r="B140" s="36" t="s">
        <v>215</v>
      </c>
      <c r="C140" s="36" t="s">
        <v>216</v>
      </c>
      <c r="D140" s="37">
        <v>211260</v>
      </c>
      <c r="E140" s="37"/>
      <c r="F140" s="37">
        <v>0</v>
      </c>
      <c r="G140" s="37">
        <v>211260</v>
      </c>
      <c r="H140" s="37">
        <f t="shared" ref="H140:H203" si="2">D140 + F140 - G140</f>
        <v>0</v>
      </c>
      <c r="I140" s="37"/>
      <c r="K140" t="s">
        <v>39</v>
      </c>
    </row>
    <row r="141" spans="2:11" ht="22" x14ac:dyDescent="0.15">
      <c r="B141" s="36" t="s">
        <v>217</v>
      </c>
      <c r="C141" s="36" t="s">
        <v>218</v>
      </c>
      <c r="D141" s="37">
        <v>14099.22</v>
      </c>
      <c r="E141" s="37"/>
      <c r="F141" s="37">
        <v>0</v>
      </c>
      <c r="G141" s="37">
        <v>14099.22</v>
      </c>
      <c r="H141" s="37">
        <f t="shared" si="2"/>
        <v>0</v>
      </c>
      <c r="I141" s="37"/>
      <c r="K141" t="s">
        <v>39</v>
      </c>
    </row>
    <row r="142" spans="2:11" ht="22" x14ac:dyDescent="0.15">
      <c r="B142" s="36" t="s">
        <v>219</v>
      </c>
      <c r="C142" s="36" t="s">
        <v>218</v>
      </c>
      <c r="D142" s="37">
        <v>14099.22</v>
      </c>
      <c r="E142" s="37"/>
      <c r="F142" s="37">
        <v>0</v>
      </c>
      <c r="G142" s="37">
        <v>14099.22</v>
      </c>
      <c r="H142" s="37">
        <f t="shared" si="2"/>
        <v>0</v>
      </c>
      <c r="I142" s="37"/>
      <c r="K142" t="s">
        <v>39</v>
      </c>
    </row>
    <row r="143" spans="2:11" ht="22" x14ac:dyDescent="0.15">
      <c r="B143" s="36" t="s">
        <v>220</v>
      </c>
      <c r="C143" s="36" t="s">
        <v>221</v>
      </c>
      <c r="D143" s="37">
        <v>372865.97</v>
      </c>
      <c r="E143" s="37"/>
      <c r="F143" s="37">
        <v>0</v>
      </c>
      <c r="G143" s="37">
        <v>0</v>
      </c>
      <c r="H143" s="37">
        <f t="shared" si="2"/>
        <v>372865.97</v>
      </c>
      <c r="I143" s="37"/>
      <c r="K143" t="s">
        <v>39</v>
      </c>
    </row>
    <row r="144" spans="2:11" ht="22" x14ac:dyDescent="0.15">
      <c r="B144" s="36" t="s">
        <v>222</v>
      </c>
      <c r="C144" s="36" t="s">
        <v>218</v>
      </c>
      <c r="D144" s="37">
        <v>14099.22</v>
      </c>
      <c r="E144" s="37"/>
      <c r="F144" s="37">
        <v>0</v>
      </c>
      <c r="G144" s="37">
        <v>14099.22</v>
      </c>
      <c r="H144" s="37">
        <f t="shared" si="2"/>
        <v>0</v>
      </c>
      <c r="I144" s="37"/>
      <c r="K144" t="s">
        <v>39</v>
      </c>
    </row>
    <row r="145" spans="2:11" ht="22" x14ac:dyDescent="0.15">
      <c r="B145" s="36" t="s">
        <v>223</v>
      </c>
      <c r="C145" s="36" t="s">
        <v>224</v>
      </c>
      <c r="D145" s="37">
        <v>14099.22</v>
      </c>
      <c r="E145" s="37"/>
      <c r="F145" s="37">
        <v>0</v>
      </c>
      <c r="G145" s="37">
        <v>14099.22</v>
      </c>
      <c r="H145" s="37">
        <f t="shared" si="2"/>
        <v>0</v>
      </c>
      <c r="I145" s="37"/>
      <c r="K145" t="s">
        <v>39</v>
      </c>
    </row>
    <row r="146" spans="2:11" ht="33" x14ac:dyDescent="0.15">
      <c r="B146" s="36" t="s">
        <v>225</v>
      </c>
      <c r="C146" s="36" t="s">
        <v>226</v>
      </c>
      <c r="D146" s="37">
        <v>39999</v>
      </c>
      <c r="E146" s="37"/>
      <c r="F146" s="37">
        <v>0</v>
      </c>
      <c r="G146" s="37">
        <v>0</v>
      </c>
      <c r="H146" s="37">
        <f t="shared" si="2"/>
        <v>39999</v>
      </c>
      <c r="I146" s="37"/>
      <c r="K146" t="s">
        <v>39</v>
      </c>
    </row>
    <row r="147" spans="2:11" ht="33" x14ac:dyDescent="0.15">
      <c r="B147" s="36" t="s">
        <v>227</v>
      </c>
      <c r="C147" s="36" t="s">
        <v>228</v>
      </c>
      <c r="D147" s="37">
        <v>28999</v>
      </c>
      <c r="E147" s="37"/>
      <c r="F147" s="37">
        <v>0</v>
      </c>
      <c r="G147" s="37">
        <v>0</v>
      </c>
      <c r="H147" s="37">
        <f t="shared" si="2"/>
        <v>28999</v>
      </c>
      <c r="I147" s="37"/>
      <c r="K147" t="s">
        <v>39</v>
      </c>
    </row>
    <row r="148" spans="2:11" ht="33" x14ac:dyDescent="0.15">
      <c r="B148" s="36" t="s">
        <v>229</v>
      </c>
      <c r="C148" s="36" t="s">
        <v>230</v>
      </c>
      <c r="D148" s="37">
        <v>29999</v>
      </c>
      <c r="E148" s="37"/>
      <c r="F148" s="37">
        <v>0</v>
      </c>
      <c r="G148" s="37">
        <v>0</v>
      </c>
      <c r="H148" s="37">
        <f t="shared" si="2"/>
        <v>29999</v>
      </c>
      <c r="I148" s="37"/>
      <c r="K148" t="s">
        <v>39</v>
      </c>
    </row>
    <row r="149" spans="2:11" ht="22" x14ac:dyDescent="0.15">
      <c r="B149" s="33" t="s">
        <v>231</v>
      </c>
      <c r="C149" s="33" t="s">
        <v>232</v>
      </c>
      <c r="D149" s="34">
        <f>SUMIFS(D150:D747,K150:K747,"0",B150:B747,"1 2 4 4 1 12 31111 6 M78 00000 003 001 002*")-SUMIFS(E150:E747,K150:K747,"0",B150:B747,"1 2 4 4 1 12 31111 6 M78 00000 003 001 002*")</f>
        <v>583300</v>
      </c>
      <c r="E149" s="35"/>
      <c r="F149" s="34">
        <f>SUMIFS(F150:F747,K150:K747,"0",B150:B747,"1 2 4 4 1 12 31111 6 M78 00000 003 001 002*")</f>
        <v>0</v>
      </c>
      <c r="G149" s="34">
        <f>SUMIFS(G150:G747,K150:K747,"0",B150:B747,"1 2 4 4 1 12 31111 6 M78 00000 003 001 002*")</f>
        <v>411600</v>
      </c>
      <c r="H149" s="34">
        <f t="shared" si="2"/>
        <v>171700</v>
      </c>
      <c r="I149" s="34"/>
      <c r="K149" t="s">
        <v>15</v>
      </c>
    </row>
    <row r="150" spans="2:11" ht="22" x14ac:dyDescent="0.15">
      <c r="B150" s="36" t="s">
        <v>233</v>
      </c>
      <c r="C150" s="36" t="s">
        <v>234</v>
      </c>
      <c r="D150" s="37">
        <v>171700</v>
      </c>
      <c r="E150" s="37"/>
      <c r="F150" s="37">
        <v>0</v>
      </c>
      <c r="G150" s="37">
        <v>0</v>
      </c>
      <c r="H150" s="37">
        <f t="shared" si="2"/>
        <v>171700</v>
      </c>
      <c r="I150" s="37"/>
      <c r="K150" t="s">
        <v>39</v>
      </c>
    </row>
    <row r="151" spans="2:11" ht="22" x14ac:dyDescent="0.15">
      <c r="B151" s="36" t="s">
        <v>235</v>
      </c>
      <c r="C151" s="36" t="s">
        <v>236</v>
      </c>
      <c r="D151" s="37">
        <v>50000</v>
      </c>
      <c r="E151" s="37"/>
      <c r="F151" s="37">
        <v>0</v>
      </c>
      <c r="G151" s="37">
        <v>50000</v>
      </c>
      <c r="H151" s="37">
        <f t="shared" si="2"/>
        <v>0</v>
      </c>
      <c r="I151" s="37"/>
      <c r="K151" t="s">
        <v>39</v>
      </c>
    </row>
    <row r="152" spans="2:11" ht="22" x14ac:dyDescent="0.15">
      <c r="B152" s="36" t="s">
        <v>237</v>
      </c>
      <c r="C152" s="36" t="s">
        <v>238</v>
      </c>
      <c r="D152" s="37">
        <v>361600</v>
      </c>
      <c r="E152" s="37"/>
      <c r="F152" s="37">
        <v>0</v>
      </c>
      <c r="G152" s="37">
        <v>361600</v>
      </c>
      <c r="H152" s="37">
        <f t="shared" si="2"/>
        <v>0</v>
      </c>
      <c r="I152" s="37"/>
      <c r="K152" t="s">
        <v>39</v>
      </c>
    </row>
    <row r="153" spans="2:11" ht="22" x14ac:dyDescent="0.15">
      <c r="B153" s="33" t="s">
        <v>239</v>
      </c>
      <c r="C153" s="33" t="s">
        <v>132</v>
      </c>
      <c r="D153" s="34">
        <f>SUMIFS(D154:D747,K154:K747,"0",B154:B747,"1 2 4 4 1 12 31111 6 M78 00000 003 002*")-SUMIFS(E154:E747,K154:K747,"0",B154:B747,"1 2 4 4 1 12 31111 6 M78 00000 003 002*")</f>
        <v>50000</v>
      </c>
      <c r="E153" s="35"/>
      <c r="F153" s="34">
        <f>SUMIFS(F154:F747,K154:K747,"0",B154:B747,"1 2 4 4 1 12 31111 6 M78 00000 003 002*")</f>
        <v>0</v>
      </c>
      <c r="G153" s="34">
        <f>SUMIFS(G154:G747,K154:K747,"0",B154:B747,"1 2 4 4 1 12 31111 6 M78 00000 003 002*")</f>
        <v>50000</v>
      </c>
      <c r="H153" s="34">
        <f t="shared" si="2"/>
        <v>0</v>
      </c>
      <c r="I153" s="34"/>
      <c r="K153" t="s">
        <v>15</v>
      </c>
    </row>
    <row r="154" spans="2:11" ht="22" x14ac:dyDescent="0.15">
      <c r="B154" s="33" t="s">
        <v>240</v>
      </c>
      <c r="C154" s="33" t="s">
        <v>241</v>
      </c>
      <c r="D154" s="34">
        <f>SUMIFS(D155:D747,K155:K747,"0",B155:B747,"1 2 4 4 1 12 31111 6 M78 00000 003 002 001*")-SUMIFS(E155:E747,K155:K747,"0",B155:B747,"1 2 4 4 1 12 31111 6 M78 00000 003 002 001*")</f>
        <v>50000</v>
      </c>
      <c r="E154" s="35"/>
      <c r="F154" s="34">
        <f>SUMIFS(F155:F747,K155:K747,"0",B155:B747,"1 2 4 4 1 12 31111 6 M78 00000 003 002 001*")</f>
        <v>0</v>
      </c>
      <c r="G154" s="34">
        <f>SUMIFS(G155:G747,K155:K747,"0",B155:B747,"1 2 4 4 1 12 31111 6 M78 00000 003 002 001*")</f>
        <v>50000</v>
      </c>
      <c r="H154" s="34">
        <f t="shared" si="2"/>
        <v>0</v>
      </c>
      <c r="I154" s="34"/>
      <c r="K154" t="s">
        <v>15</v>
      </c>
    </row>
    <row r="155" spans="2:11" ht="22" x14ac:dyDescent="0.15">
      <c r="B155" s="36" t="s">
        <v>242</v>
      </c>
      <c r="C155" s="36" t="s">
        <v>243</v>
      </c>
      <c r="D155" s="37">
        <v>50000</v>
      </c>
      <c r="E155" s="37"/>
      <c r="F155" s="37">
        <v>0</v>
      </c>
      <c r="G155" s="37">
        <v>50000</v>
      </c>
      <c r="H155" s="37">
        <f t="shared" si="2"/>
        <v>0</v>
      </c>
      <c r="I155" s="37"/>
      <c r="K155" t="s">
        <v>39</v>
      </c>
    </row>
    <row r="156" spans="2:11" ht="13" x14ac:dyDescent="0.15">
      <c r="B156" s="33" t="s">
        <v>244</v>
      </c>
      <c r="C156" s="33" t="s">
        <v>163</v>
      </c>
      <c r="D156" s="34">
        <f>SUMIFS(D157:D747,K157:K747,"0",B157:B747,"1 2 4 4 1 12 31111 6 M78 15000*")-SUMIFS(E157:E747,K157:K747,"0",B157:B747,"1 2 4 4 1 12 31111 6 M78 15000*")</f>
        <v>1128200</v>
      </c>
      <c r="E156" s="35"/>
      <c r="F156" s="34">
        <f>SUMIFS(F157:F747,K157:K747,"0",B157:B747,"1 2 4 4 1 12 31111 6 M78 15000*")</f>
        <v>0</v>
      </c>
      <c r="G156" s="34">
        <f>SUMIFS(G157:G747,K157:K747,"0",B157:B747,"1 2 4 4 1 12 31111 6 M78 15000*")</f>
        <v>0</v>
      </c>
      <c r="H156" s="34">
        <f t="shared" si="2"/>
        <v>1128200</v>
      </c>
      <c r="I156" s="34"/>
      <c r="K156" t="s">
        <v>15</v>
      </c>
    </row>
    <row r="157" spans="2:11" ht="22" x14ac:dyDescent="0.15">
      <c r="B157" s="33" t="s">
        <v>245</v>
      </c>
      <c r="C157" s="33" t="s">
        <v>165</v>
      </c>
      <c r="D157" s="34">
        <f>SUMIFS(D158:D747,K158:K747,"0",B158:B747,"1 2 4 4 1 12 31111 6 M78 15000 171*")-SUMIFS(E158:E747,K158:K747,"0",B158:B747,"1 2 4 4 1 12 31111 6 M78 15000 171*")</f>
        <v>1128200</v>
      </c>
      <c r="E157" s="35"/>
      <c r="F157" s="34">
        <f>SUMIFS(F158:F747,K158:K747,"0",B158:B747,"1 2 4 4 1 12 31111 6 M78 15000 171*")</f>
        <v>0</v>
      </c>
      <c r="G157" s="34">
        <f>SUMIFS(G158:G747,K158:K747,"0",B158:B747,"1 2 4 4 1 12 31111 6 M78 15000 171*")</f>
        <v>0</v>
      </c>
      <c r="H157" s="34">
        <f t="shared" si="2"/>
        <v>1128200</v>
      </c>
      <c r="I157" s="34"/>
      <c r="K157" t="s">
        <v>15</v>
      </c>
    </row>
    <row r="158" spans="2:11" ht="22" x14ac:dyDescent="0.15">
      <c r="B158" s="33" t="s">
        <v>246</v>
      </c>
      <c r="C158" s="33" t="s">
        <v>167</v>
      </c>
      <c r="D158" s="34">
        <f>SUMIFS(D159:D747,K159:K747,"0",B159:B747,"1 2 4 4 1 12 31111 6 M78 15000 171 00I*")-SUMIFS(E159:E747,K159:K747,"0",B159:B747,"1 2 4 4 1 12 31111 6 M78 15000 171 00I*")</f>
        <v>1128200</v>
      </c>
      <c r="E158" s="35"/>
      <c r="F158" s="34">
        <f>SUMIFS(F159:F747,K159:K747,"0",B159:B747,"1 2 4 4 1 12 31111 6 M78 15000 171 00I*")</f>
        <v>0</v>
      </c>
      <c r="G158" s="34">
        <f>SUMIFS(G159:G747,K159:K747,"0",B159:B747,"1 2 4 4 1 12 31111 6 M78 15000 171 00I*")</f>
        <v>0</v>
      </c>
      <c r="H158" s="34">
        <f t="shared" si="2"/>
        <v>1128200</v>
      </c>
      <c r="I158" s="34"/>
      <c r="K158" t="s">
        <v>15</v>
      </c>
    </row>
    <row r="159" spans="2:11" ht="22" x14ac:dyDescent="0.15">
      <c r="B159" s="33" t="s">
        <v>247</v>
      </c>
      <c r="C159" s="33" t="s">
        <v>169</v>
      </c>
      <c r="D159" s="34">
        <f>SUMIFS(D160:D747,K160:K747,"0",B160:B747,"1 2 4 4 1 12 31111 6 M78 15000 171 00I 002*")-SUMIFS(E160:E747,K160:K747,"0",B160:B747,"1 2 4 4 1 12 31111 6 M78 15000 171 00I 002*")</f>
        <v>1128200</v>
      </c>
      <c r="E159" s="35"/>
      <c r="F159" s="34">
        <f>SUMIFS(F160:F747,K160:K747,"0",B160:B747,"1 2 4 4 1 12 31111 6 M78 15000 171 00I 002*")</f>
        <v>0</v>
      </c>
      <c r="G159" s="34">
        <f>SUMIFS(G160:G747,K160:K747,"0",B160:B747,"1 2 4 4 1 12 31111 6 M78 15000 171 00I 002*")</f>
        <v>0</v>
      </c>
      <c r="H159" s="34">
        <f t="shared" si="2"/>
        <v>1128200</v>
      </c>
      <c r="I159" s="34"/>
      <c r="K159" t="s">
        <v>15</v>
      </c>
    </row>
    <row r="160" spans="2:11" ht="22" x14ac:dyDescent="0.15">
      <c r="B160" s="33" t="s">
        <v>248</v>
      </c>
      <c r="C160" s="33" t="s">
        <v>249</v>
      </c>
      <c r="D160" s="34">
        <f>SUMIFS(D161:D747,K161:K747,"0",B161:B747,"1 2 4 4 1 12 31111 6 M78 15000 171 00I 002 54105*")-SUMIFS(E161:E747,K161:K747,"0",B161:B747,"1 2 4 4 1 12 31111 6 M78 15000 171 00I 002 54105*")</f>
        <v>1128200</v>
      </c>
      <c r="E160" s="35"/>
      <c r="F160" s="34">
        <f>SUMIFS(F161:F747,K161:K747,"0",B161:B747,"1 2 4 4 1 12 31111 6 M78 15000 171 00I 002 54105*")</f>
        <v>0</v>
      </c>
      <c r="G160" s="34">
        <f>SUMIFS(G161:G747,K161:K747,"0",B161:B747,"1 2 4 4 1 12 31111 6 M78 15000 171 00I 002 54105*")</f>
        <v>0</v>
      </c>
      <c r="H160" s="34">
        <f t="shared" si="2"/>
        <v>1128200</v>
      </c>
      <c r="I160" s="34"/>
      <c r="K160" t="s">
        <v>15</v>
      </c>
    </row>
    <row r="161" spans="2:11" ht="22" x14ac:dyDescent="0.15">
      <c r="B161" s="33" t="s">
        <v>250</v>
      </c>
      <c r="C161" s="33" t="s">
        <v>173</v>
      </c>
      <c r="D161" s="34">
        <f>SUMIFS(D162:D747,K162:K747,"0",B162:B747,"1 2 4 4 1 12 31111 6 M78 15000 171 00I 002 54105 025*")-SUMIFS(E162:E747,K162:K747,"0",B162:B747,"1 2 4 4 1 12 31111 6 M78 15000 171 00I 002 54105 025*")</f>
        <v>1128200</v>
      </c>
      <c r="E161" s="35"/>
      <c r="F161" s="34">
        <f>SUMIFS(F162:F747,K162:K747,"0",B162:B747,"1 2 4 4 1 12 31111 6 M78 15000 171 00I 002 54105 025*")</f>
        <v>0</v>
      </c>
      <c r="G161" s="34">
        <f>SUMIFS(G162:G747,K162:K747,"0",B162:B747,"1 2 4 4 1 12 31111 6 M78 15000 171 00I 002 54105 025*")</f>
        <v>0</v>
      </c>
      <c r="H161" s="34">
        <f t="shared" si="2"/>
        <v>1128200</v>
      </c>
      <c r="I161" s="34"/>
      <c r="K161" t="s">
        <v>15</v>
      </c>
    </row>
    <row r="162" spans="2:11" ht="22" x14ac:dyDescent="0.15">
      <c r="B162" s="33" t="s">
        <v>251</v>
      </c>
      <c r="C162" s="33" t="s">
        <v>252</v>
      </c>
      <c r="D162" s="34">
        <f>SUMIFS(D163:D747,K163:K747,"0",B163:B747,"1 2 4 4 1 12 31111 6 M78 15000 171 00I 002 54105 025 2222100*")-SUMIFS(E163:E747,K163:K747,"0",B163:B747,"1 2 4 4 1 12 31111 6 M78 15000 171 00I 002 54105 025 2222100*")</f>
        <v>1128200</v>
      </c>
      <c r="E162" s="35"/>
      <c r="F162" s="34">
        <f>SUMIFS(F163:F747,K163:K747,"0",B163:B747,"1 2 4 4 1 12 31111 6 M78 15000 171 00I 002 54105 025 2222100*")</f>
        <v>0</v>
      </c>
      <c r="G162" s="34">
        <f>SUMIFS(G163:G747,K163:K747,"0",B163:B747,"1 2 4 4 1 12 31111 6 M78 15000 171 00I 002 54105 025 2222100*")</f>
        <v>0</v>
      </c>
      <c r="H162" s="34">
        <f t="shared" si="2"/>
        <v>1128200</v>
      </c>
      <c r="I162" s="34"/>
      <c r="K162" t="s">
        <v>15</v>
      </c>
    </row>
    <row r="163" spans="2:11" ht="33" x14ac:dyDescent="0.15">
      <c r="B163" s="33" t="s">
        <v>253</v>
      </c>
      <c r="C163" s="33" t="s">
        <v>254</v>
      </c>
      <c r="D163" s="34">
        <f>SUMIFS(D164:D747,K164:K747,"0",B164:B747,"1 2 4 4 1 12 31111 6 M78 15000 171 00I 002 54105 025 2222100 2020*")-SUMIFS(E164:E747,K164:K747,"0",B164:B747,"1 2 4 4 1 12 31111 6 M78 15000 171 00I 002 54105 025 2222100 2020*")</f>
        <v>370300</v>
      </c>
      <c r="E163" s="35"/>
      <c r="F163" s="34">
        <f>SUMIFS(F164:F747,K164:K747,"0",B164:B747,"1 2 4 4 1 12 31111 6 M78 15000 171 00I 002 54105 025 2222100 2020*")</f>
        <v>0</v>
      </c>
      <c r="G163" s="34">
        <f>SUMIFS(G164:G747,K164:K747,"0",B164:B747,"1 2 4 4 1 12 31111 6 M78 15000 171 00I 002 54105 025 2222100 2020*")</f>
        <v>0</v>
      </c>
      <c r="H163" s="34">
        <f t="shared" si="2"/>
        <v>370300</v>
      </c>
      <c r="I163" s="34"/>
      <c r="K163" t="s">
        <v>15</v>
      </c>
    </row>
    <row r="164" spans="2:11" ht="33" x14ac:dyDescent="0.15">
      <c r="B164" s="33" t="s">
        <v>255</v>
      </c>
      <c r="C164" s="33" t="s">
        <v>179</v>
      </c>
      <c r="D164" s="34">
        <f>SUMIFS(D165:D747,K165:K747,"0",B165:B747,"1 2 4 4 1 12 31111 6 M78 15000 171 00I 002 54105 025 2222100 2020 00000000*")-SUMIFS(E165:E747,K165:K747,"0",B165:B747,"1 2 4 4 1 12 31111 6 M78 15000 171 00I 002 54105 025 2222100 2020 00000000*")</f>
        <v>370300</v>
      </c>
      <c r="E164" s="35"/>
      <c r="F164" s="34">
        <f>SUMIFS(F165:F747,K165:K747,"0",B165:B747,"1 2 4 4 1 12 31111 6 M78 15000 171 00I 002 54105 025 2222100 2020 00000000*")</f>
        <v>0</v>
      </c>
      <c r="G164" s="34">
        <f>SUMIFS(G165:G747,K165:K747,"0",B165:B747,"1 2 4 4 1 12 31111 6 M78 15000 171 00I 002 54105 025 2222100 2020 00000000*")</f>
        <v>0</v>
      </c>
      <c r="H164" s="34">
        <f t="shared" si="2"/>
        <v>370300</v>
      </c>
      <c r="I164" s="34"/>
      <c r="K164" t="s">
        <v>15</v>
      </c>
    </row>
    <row r="165" spans="2:11" ht="33" x14ac:dyDescent="0.15">
      <c r="B165" s="33" t="s">
        <v>256</v>
      </c>
      <c r="C165" s="33" t="s">
        <v>9</v>
      </c>
      <c r="D165" s="34">
        <f>SUMIFS(D166:D747,K166:K747,"0",B166:B747,"1 2 4 4 1 12 31111 6 M78 15000 171 00I 002 54105 025 2222100 2020 00000000 003*")-SUMIFS(E166:E747,K166:K747,"0",B166:B747,"1 2 4 4 1 12 31111 6 M78 15000 171 00I 002 54105 025 2222100 2020 00000000 003*")</f>
        <v>370300</v>
      </c>
      <c r="E165" s="35"/>
      <c r="F165" s="34">
        <f>SUMIFS(F166:F747,K166:K747,"0",B166:B747,"1 2 4 4 1 12 31111 6 M78 15000 171 00I 002 54105 025 2222100 2020 00000000 003*")</f>
        <v>0</v>
      </c>
      <c r="G165" s="34">
        <f>SUMIFS(G166:G747,K166:K747,"0",B166:B747,"1 2 4 4 1 12 31111 6 M78 15000 171 00I 002 54105 025 2222100 2020 00000000 003*")</f>
        <v>0</v>
      </c>
      <c r="H165" s="34">
        <f t="shared" si="2"/>
        <v>370300</v>
      </c>
      <c r="I165" s="34"/>
      <c r="K165" t="s">
        <v>15</v>
      </c>
    </row>
    <row r="166" spans="2:11" ht="33" x14ac:dyDescent="0.15">
      <c r="B166" s="33" t="s">
        <v>257</v>
      </c>
      <c r="C166" s="33" t="s">
        <v>258</v>
      </c>
      <c r="D166" s="34">
        <f>SUMIFS(D167:D747,K167:K747,"0",B167:B747,"1 2 4 4 1 12 31111 6 M78 15000 171 00I 002 54105 025 2222100 2020 00000000 003 002*")-SUMIFS(E167:E747,K167:K747,"0",B167:B747,"1 2 4 4 1 12 31111 6 M78 15000 171 00I 002 54105 025 2222100 2020 00000000 003 002*")</f>
        <v>370300</v>
      </c>
      <c r="E166" s="35"/>
      <c r="F166" s="34">
        <f>SUMIFS(F167:F747,K167:K747,"0",B167:B747,"1 2 4 4 1 12 31111 6 M78 15000 171 00I 002 54105 025 2222100 2020 00000000 003 002*")</f>
        <v>0</v>
      </c>
      <c r="G166" s="34">
        <f>SUMIFS(G167:G747,K167:K747,"0",B167:B747,"1 2 4 4 1 12 31111 6 M78 15000 171 00I 002 54105 025 2222100 2020 00000000 003 002*")</f>
        <v>0</v>
      </c>
      <c r="H166" s="34">
        <f t="shared" si="2"/>
        <v>370300</v>
      </c>
      <c r="I166" s="34"/>
      <c r="K166" t="s">
        <v>15</v>
      </c>
    </row>
    <row r="167" spans="2:11" ht="33" x14ac:dyDescent="0.15">
      <c r="B167" s="36" t="s">
        <v>259</v>
      </c>
      <c r="C167" s="36" t="s">
        <v>260</v>
      </c>
      <c r="D167" s="37">
        <v>370300</v>
      </c>
      <c r="E167" s="37"/>
      <c r="F167" s="37">
        <v>0</v>
      </c>
      <c r="G167" s="37">
        <v>0</v>
      </c>
      <c r="H167" s="37">
        <f t="shared" si="2"/>
        <v>370300</v>
      </c>
      <c r="I167" s="37"/>
      <c r="K167" t="s">
        <v>39</v>
      </c>
    </row>
    <row r="168" spans="2:11" ht="33" x14ac:dyDescent="0.15">
      <c r="B168" s="33" t="s">
        <v>261</v>
      </c>
      <c r="C168" s="33" t="s">
        <v>262</v>
      </c>
      <c r="D168" s="34">
        <f>SUMIFS(D169:D747,K169:K747,"0",B169:B747,"1 2 4 4 1 12 31111 6 M78 15000 171 00I 002 54105 025 2222100 2021*")-SUMIFS(E169:E747,K169:K747,"0",B169:B747,"1 2 4 4 1 12 31111 6 M78 15000 171 00I 002 54105 025 2222100 2021*")</f>
        <v>348000</v>
      </c>
      <c r="E168" s="35"/>
      <c r="F168" s="34">
        <f>SUMIFS(F169:F747,K169:K747,"0",B169:B747,"1 2 4 4 1 12 31111 6 M78 15000 171 00I 002 54105 025 2222100 2021*")</f>
        <v>0</v>
      </c>
      <c r="G168" s="34">
        <f>SUMIFS(G169:G747,K169:K747,"0",B169:B747,"1 2 4 4 1 12 31111 6 M78 15000 171 00I 002 54105 025 2222100 2021*")</f>
        <v>0</v>
      </c>
      <c r="H168" s="34">
        <f t="shared" si="2"/>
        <v>348000</v>
      </c>
      <c r="I168" s="34"/>
      <c r="K168" t="s">
        <v>15</v>
      </c>
    </row>
    <row r="169" spans="2:11" ht="33" x14ac:dyDescent="0.15">
      <c r="B169" s="33" t="s">
        <v>263</v>
      </c>
      <c r="C169" s="33" t="s">
        <v>179</v>
      </c>
      <c r="D169" s="34">
        <f>SUMIFS(D170:D747,K170:K747,"0",B170:B747,"1 2 4 4 1 12 31111 6 M78 15000 171 00I 002 54105 025 2222100 2021 00000000*")-SUMIFS(E170:E747,K170:K747,"0",B170:B747,"1 2 4 4 1 12 31111 6 M78 15000 171 00I 002 54105 025 2222100 2021 00000000*")</f>
        <v>348000</v>
      </c>
      <c r="E169" s="35"/>
      <c r="F169" s="34">
        <f>SUMIFS(F170:F747,K170:K747,"0",B170:B747,"1 2 4 4 1 12 31111 6 M78 15000 171 00I 002 54105 025 2222100 2021 00000000*")</f>
        <v>0</v>
      </c>
      <c r="G169" s="34">
        <f>SUMIFS(G170:G747,K170:K747,"0",B170:B747,"1 2 4 4 1 12 31111 6 M78 15000 171 00I 002 54105 025 2222100 2021 00000000*")</f>
        <v>0</v>
      </c>
      <c r="H169" s="34">
        <f t="shared" si="2"/>
        <v>348000</v>
      </c>
      <c r="I169" s="34"/>
      <c r="K169" t="s">
        <v>15</v>
      </c>
    </row>
    <row r="170" spans="2:11" ht="33" x14ac:dyDescent="0.15">
      <c r="B170" s="33" t="s">
        <v>264</v>
      </c>
      <c r="C170" s="33" t="s">
        <v>9</v>
      </c>
      <c r="D170" s="34">
        <f>SUMIFS(D171:D747,K171:K747,"0",B171:B747,"1 2 4 4 1 12 31111 6 M78 15000 171 00I 002 54105 025 2222100 2021 00000000 003*")-SUMIFS(E171:E747,K171:K747,"0",B171:B747,"1 2 4 4 1 12 31111 6 M78 15000 171 00I 002 54105 025 2222100 2021 00000000 003*")</f>
        <v>348000</v>
      </c>
      <c r="E170" s="35"/>
      <c r="F170" s="34">
        <f>SUMIFS(F171:F747,K171:K747,"0",B171:B747,"1 2 4 4 1 12 31111 6 M78 15000 171 00I 002 54105 025 2222100 2021 00000000 003*")</f>
        <v>0</v>
      </c>
      <c r="G170" s="34">
        <f>SUMIFS(G171:G747,K171:K747,"0",B171:B747,"1 2 4 4 1 12 31111 6 M78 15000 171 00I 002 54105 025 2222100 2021 00000000 003*")</f>
        <v>0</v>
      </c>
      <c r="H170" s="34">
        <f t="shared" si="2"/>
        <v>348000</v>
      </c>
      <c r="I170" s="34"/>
      <c r="K170" t="s">
        <v>15</v>
      </c>
    </row>
    <row r="171" spans="2:11" ht="33" x14ac:dyDescent="0.15">
      <c r="B171" s="33" t="s">
        <v>265</v>
      </c>
      <c r="C171" s="33" t="s">
        <v>258</v>
      </c>
      <c r="D171" s="34">
        <f>SUMIFS(D172:D747,K172:K747,"0",B172:B747,"1 2 4 4 1 12 31111 6 M78 15000 171 00I 002 54105 025 2222100 2021 00000000 003 002*")-SUMIFS(E172:E747,K172:K747,"0",B172:B747,"1 2 4 4 1 12 31111 6 M78 15000 171 00I 002 54105 025 2222100 2021 00000000 003 002*")</f>
        <v>348000</v>
      </c>
      <c r="E171" s="35"/>
      <c r="F171" s="34">
        <f>SUMIFS(F172:F747,K172:K747,"0",B172:B747,"1 2 4 4 1 12 31111 6 M78 15000 171 00I 002 54105 025 2222100 2021 00000000 003 002*")</f>
        <v>0</v>
      </c>
      <c r="G171" s="34">
        <f>SUMIFS(G172:G747,K172:K747,"0",B172:B747,"1 2 4 4 1 12 31111 6 M78 15000 171 00I 002 54105 025 2222100 2021 00000000 003 002*")</f>
        <v>0</v>
      </c>
      <c r="H171" s="34">
        <f t="shared" si="2"/>
        <v>348000</v>
      </c>
      <c r="I171" s="34"/>
      <c r="K171" t="s">
        <v>15</v>
      </c>
    </row>
    <row r="172" spans="2:11" ht="33" x14ac:dyDescent="0.15">
      <c r="B172" s="36" t="s">
        <v>266</v>
      </c>
      <c r="C172" s="36" t="s">
        <v>267</v>
      </c>
      <c r="D172" s="37">
        <v>348000</v>
      </c>
      <c r="E172" s="37"/>
      <c r="F172" s="37">
        <v>0</v>
      </c>
      <c r="G172" s="37">
        <v>0</v>
      </c>
      <c r="H172" s="37">
        <f t="shared" si="2"/>
        <v>348000</v>
      </c>
      <c r="I172" s="37"/>
      <c r="K172" t="s">
        <v>39</v>
      </c>
    </row>
    <row r="173" spans="2:11" ht="33" x14ac:dyDescent="0.15">
      <c r="B173" s="33" t="s">
        <v>268</v>
      </c>
      <c r="C173" s="33" t="s">
        <v>269</v>
      </c>
      <c r="D173" s="34">
        <f>SUMIFS(D174:D747,K174:K747,"0",B174:B747,"1 2 4 4 1 12 31111 6 M78 15000 171 00I 002 54105 025 2222100 2022*")-SUMIFS(E174:E747,K174:K747,"0",B174:B747,"1 2 4 4 1 12 31111 6 M78 15000 171 00I 002 54105 025 2222100 2022*")</f>
        <v>361596.08</v>
      </c>
      <c r="E173" s="35"/>
      <c r="F173" s="34">
        <f>SUMIFS(F174:F747,K174:K747,"0",B174:B747,"1 2 4 4 1 12 31111 6 M78 15000 171 00I 002 54105 025 2222100 2022*")</f>
        <v>0</v>
      </c>
      <c r="G173" s="34">
        <f>SUMIFS(G174:G747,K174:K747,"0",B174:B747,"1 2 4 4 1 12 31111 6 M78 15000 171 00I 002 54105 025 2222100 2022*")</f>
        <v>0</v>
      </c>
      <c r="H173" s="34">
        <f t="shared" si="2"/>
        <v>361596.08</v>
      </c>
      <c r="I173" s="34"/>
      <c r="K173" t="s">
        <v>15</v>
      </c>
    </row>
    <row r="174" spans="2:11" ht="33" x14ac:dyDescent="0.15">
      <c r="B174" s="33" t="s">
        <v>270</v>
      </c>
      <c r="C174" s="33" t="s">
        <v>179</v>
      </c>
      <c r="D174" s="34">
        <f>SUMIFS(D175:D747,K175:K747,"0",B175:B747,"1 2 4 4 1 12 31111 6 M78 15000 171 00I 002 54105 025 2222100 2022 00000000*")-SUMIFS(E175:E747,K175:K747,"0",B175:B747,"1 2 4 4 1 12 31111 6 M78 15000 171 00I 002 54105 025 2222100 2022 00000000*")</f>
        <v>361596.08</v>
      </c>
      <c r="E174" s="35"/>
      <c r="F174" s="34">
        <f>SUMIFS(F175:F747,K175:K747,"0",B175:B747,"1 2 4 4 1 12 31111 6 M78 15000 171 00I 002 54105 025 2222100 2022 00000000*")</f>
        <v>0</v>
      </c>
      <c r="G174" s="34">
        <f>SUMIFS(G175:G747,K175:K747,"0",B175:B747,"1 2 4 4 1 12 31111 6 M78 15000 171 00I 002 54105 025 2222100 2022 00000000*")</f>
        <v>0</v>
      </c>
      <c r="H174" s="34">
        <f t="shared" si="2"/>
        <v>361596.08</v>
      </c>
      <c r="I174" s="34"/>
      <c r="K174" t="s">
        <v>15</v>
      </c>
    </row>
    <row r="175" spans="2:11" ht="33" x14ac:dyDescent="0.15">
      <c r="B175" s="33" t="s">
        <v>271</v>
      </c>
      <c r="C175" s="33" t="s">
        <v>9</v>
      </c>
      <c r="D175" s="34">
        <f>SUMIFS(D176:D747,K176:K747,"0",B176:B747,"1 2 4 4 1 12 31111 6 M78 15000 171 00I 002 54105 025 2222100 2022 00000000 003*")-SUMIFS(E176:E747,K176:K747,"0",B176:B747,"1 2 4 4 1 12 31111 6 M78 15000 171 00I 002 54105 025 2222100 2022 00000000 003*")</f>
        <v>361596.08</v>
      </c>
      <c r="E175" s="35"/>
      <c r="F175" s="34">
        <f>SUMIFS(F176:F747,K176:K747,"0",B176:B747,"1 2 4 4 1 12 31111 6 M78 15000 171 00I 002 54105 025 2222100 2022 00000000 003*")</f>
        <v>0</v>
      </c>
      <c r="G175" s="34">
        <f>SUMIFS(G176:G747,K176:K747,"0",B176:B747,"1 2 4 4 1 12 31111 6 M78 15000 171 00I 002 54105 025 2222100 2022 00000000 003*")</f>
        <v>0</v>
      </c>
      <c r="H175" s="34">
        <f t="shared" si="2"/>
        <v>361596.08</v>
      </c>
      <c r="I175" s="34"/>
      <c r="K175" t="s">
        <v>15</v>
      </c>
    </row>
    <row r="176" spans="2:11" ht="33" x14ac:dyDescent="0.15">
      <c r="B176" s="33" t="s">
        <v>272</v>
      </c>
      <c r="C176" s="33" t="s">
        <v>258</v>
      </c>
      <c r="D176" s="34">
        <f>SUMIFS(D177:D747,K177:K747,"0",B177:B747,"1 2 4 4 1 12 31111 6 M78 15000 171 00I 002 54105 025 2222100 2022 00000000 003 002*")-SUMIFS(E177:E747,K177:K747,"0",B177:B747,"1 2 4 4 1 12 31111 6 M78 15000 171 00I 002 54105 025 2222100 2022 00000000 003 002*")</f>
        <v>361596.08</v>
      </c>
      <c r="E176" s="35"/>
      <c r="F176" s="34">
        <f>SUMIFS(F177:F747,K177:K747,"0",B177:B747,"1 2 4 4 1 12 31111 6 M78 15000 171 00I 002 54105 025 2222100 2022 00000000 003 002*")</f>
        <v>0</v>
      </c>
      <c r="G176" s="34">
        <f>SUMIFS(G177:G747,K177:K747,"0",B177:B747,"1 2 4 4 1 12 31111 6 M78 15000 171 00I 002 54105 025 2222100 2022 00000000 003 002*")</f>
        <v>0</v>
      </c>
      <c r="H176" s="34">
        <f t="shared" si="2"/>
        <v>361596.08</v>
      </c>
      <c r="I176" s="34"/>
      <c r="K176" t="s">
        <v>15</v>
      </c>
    </row>
    <row r="177" spans="2:11" ht="33" x14ac:dyDescent="0.15">
      <c r="B177" s="36" t="s">
        <v>273</v>
      </c>
      <c r="C177" s="36" t="s">
        <v>274</v>
      </c>
      <c r="D177" s="37">
        <v>361596.08</v>
      </c>
      <c r="E177" s="37"/>
      <c r="F177" s="37">
        <v>0</v>
      </c>
      <c r="G177" s="37">
        <v>0</v>
      </c>
      <c r="H177" s="37">
        <f t="shared" si="2"/>
        <v>361596.08</v>
      </c>
      <c r="I177" s="37"/>
      <c r="K177" t="s">
        <v>39</v>
      </c>
    </row>
    <row r="178" spans="2:11" ht="33" x14ac:dyDescent="0.15">
      <c r="B178" s="33" t="s">
        <v>275</v>
      </c>
      <c r="C178" s="33" t="s">
        <v>185</v>
      </c>
      <c r="D178" s="34">
        <f>SUMIFS(D179:D747,K179:K747,"0",B179:B747,"1 2 4 4 1 12 31111 6 M78 15000 171 00I 002 54105 025 2222100 2023*")-SUMIFS(E179:E747,K179:K747,"0",B179:B747,"1 2 4 4 1 12 31111 6 M78 15000 171 00I 002 54105 025 2222100 2023*")</f>
        <v>48303.92</v>
      </c>
      <c r="E178" s="35"/>
      <c r="F178" s="34">
        <f>SUMIFS(F179:F747,K179:K747,"0",B179:B747,"1 2 4 4 1 12 31111 6 M78 15000 171 00I 002 54105 025 2222100 2023*")</f>
        <v>0</v>
      </c>
      <c r="G178" s="34">
        <f>SUMIFS(G179:G747,K179:K747,"0",B179:B747,"1 2 4 4 1 12 31111 6 M78 15000 171 00I 002 54105 025 2222100 2023*")</f>
        <v>0</v>
      </c>
      <c r="H178" s="34">
        <f t="shared" si="2"/>
        <v>48303.92</v>
      </c>
      <c r="I178" s="34"/>
      <c r="K178" t="s">
        <v>15</v>
      </c>
    </row>
    <row r="179" spans="2:11" ht="33" x14ac:dyDescent="0.15">
      <c r="B179" s="33" t="s">
        <v>276</v>
      </c>
      <c r="C179" s="33" t="s">
        <v>179</v>
      </c>
      <c r="D179" s="34">
        <f>SUMIFS(D180:D747,K180:K747,"0",B180:B747,"1 2 4 4 1 12 31111 6 M78 15000 171 00I 002 54105 025 2222100 2023 00000000*")-SUMIFS(E180:E747,K180:K747,"0",B180:B747,"1 2 4 4 1 12 31111 6 M78 15000 171 00I 002 54105 025 2222100 2023 00000000*")</f>
        <v>48303.92</v>
      </c>
      <c r="E179" s="35"/>
      <c r="F179" s="34">
        <f>SUMIFS(F180:F747,K180:K747,"0",B180:B747,"1 2 4 4 1 12 31111 6 M78 15000 171 00I 002 54105 025 2222100 2023 00000000*")</f>
        <v>0</v>
      </c>
      <c r="G179" s="34">
        <f>SUMIFS(G180:G747,K180:K747,"0",B180:B747,"1 2 4 4 1 12 31111 6 M78 15000 171 00I 002 54105 025 2222100 2023 00000000*")</f>
        <v>0</v>
      </c>
      <c r="H179" s="34">
        <f t="shared" si="2"/>
        <v>48303.92</v>
      </c>
      <c r="I179" s="34"/>
      <c r="K179" t="s">
        <v>15</v>
      </c>
    </row>
    <row r="180" spans="2:11" ht="33" x14ac:dyDescent="0.15">
      <c r="B180" s="33" t="s">
        <v>277</v>
      </c>
      <c r="C180" s="33" t="s">
        <v>9</v>
      </c>
      <c r="D180" s="34">
        <f>SUMIFS(D181:D747,K181:K747,"0",B181:B747,"1 2 4 4 1 12 31111 6 M78 15000 171 00I 002 54105 025 2222100 2023 00000000 003*")-SUMIFS(E181:E747,K181:K747,"0",B181:B747,"1 2 4 4 1 12 31111 6 M78 15000 171 00I 002 54105 025 2222100 2023 00000000 003*")</f>
        <v>48303.92</v>
      </c>
      <c r="E180" s="35"/>
      <c r="F180" s="34">
        <f>SUMIFS(F181:F747,K181:K747,"0",B181:B747,"1 2 4 4 1 12 31111 6 M78 15000 171 00I 002 54105 025 2222100 2023 00000000 003*")</f>
        <v>0</v>
      </c>
      <c r="G180" s="34">
        <f>SUMIFS(G181:G747,K181:K747,"0",B181:B747,"1 2 4 4 1 12 31111 6 M78 15000 171 00I 002 54105 025 2222100 2023 00000000 003*")</f>
        <v>0</v>
      </c>
      <c r="H180" s="34">
        <f t="shared" si="2"/>
        <v>48303.92</v>
      </c>
      <c r="I180" s="34"/>
      <c r="K180" t="s">
        <v>15</v>
      </c>
    </row>
    <row r="181" spans="2:11" ht="33" x14ac:dyDescent="0.15">
      <c r="B181" s="33" t="s">
        <v>278</v>
      </c>
      <c r="C181" s="33" t="s">
        <v>258</v>
      </c>
      <c r="D181" s="34">
        <f>SUMIFS(D182:D747,K182:K747,"0",B182:B747,"1 2 4 4 1 12 31111 6 M78 15000 171 00I 002 54105 025 2222100 2023 00000000 003 002*")-SUMIFS(E182:E747,K182:K747,"0",B182:B747,"1 2 4 4 1 12 31111 6 M78 15000 171 00I 002 54105 025 2222100 2023 00000000 003 002*")</f>
        <v>48303.92</v>
      </c>
      <c r="E181" s="35"/>
      <c r="F181" s="34">
        <f>SUMIFS(F182:F747,K182:K747,"0",B182:B747,"1 2 4 4 1 12 31111 6 M78 15000 171 00I 002 54105 025 2222100 2023 00000000 003 002*")</f>
        <v>0</v>
      </c>
      <c r="G181" s="34">
        <f>SUMIFS(G182:G747,K182:K747,"0",B182:B747,"1 2 4 4 1 12 31111 6 M78 15000 171 00I 002 54105 025 2222100 2023 00000000 003 002*")</f>
        <v>0</v>
      </c>
      <c r="H181" s="34">
        <f t="shared" si="2"/>
        <v>48303.92</v>
      </c>
      <c r="I181" s="34"/>
      <c r="K181" t="s">
        <v>15</v>
      </c>
    </row>
    <row r="182" spans="2:11" ht="33" x14ac:dyDescent="0.15">
      <c r="B182" s="36" t="s">
        <v>279</v>
      </c>
      <c r="C182" s="36" t="s">
        <v>274</v>
      </c>
      <c r="D182" s="37">
        <v>48303.92</v>
      </c>
      <c r="E182" s="37"/>
      <c r="F182" s="37">
        <v>0</v>
      </c>
      <c r="G182" s="37">
        <v>0</v>
      </c>
      <c r="H182" s="37">
        <f t="shared" si="2"/>
        <v>48303.92</v>
      </c>
      <c r="I182" s="37"/>
      <c r="K182" t="s">
        <v>39</v>
      </c>
    </row>
    <row r="183" spans="2:11" ht="13" x14ac:dyDescent="0.15">
      <c r="B183" s="33" t="s">
        <v>280</v>
      </c>
      <c r="C183" s="33" t="s">
        <v>281</v>
      </c>
      <c r="D183" s="34">
        <f>SUMIFS(D184:D747,K184:K747,"0",B184:B747,"1 2 4 6*")-SUMIFS(E184:E747,K184:K747,"0",B184:B747,"1 2 4 6*")</f>
        <v>168458.38</v>
      </c>
      <c r="E183" s="35"/>
      <c r="F183" s="34">
        <f>SUMIFS(F184:F747,K184:K747,"0",B184:B747,"1 2 4 6*")</f>
        <v>17600</v>
      </c>
      <c r="G183" s="34">
        <f>SUMIFS(G184:G747,K184:K747,"0",B184:B747,"1 2 4 6*")</f>
        <v>0</v>
      </c>
      <c r="H183" s="34">
        <f t="shared" si="2"/>
        <v>186058.38</v>
      </c>
      <c r="I183" s="34"/>
      <c r="K183" t="s">
        <v>15</v>
      </c>
    </row>
    <row r="184" spans="2:11" ht="13" x14ac:dyDescent="0.15">
      <c r="B184" s="33" t="s">
        <v>282</v>
      </c>
      <c r="C184" s="33" t="s">
        <v>283</v>
      </c>
      <c r="D184" s="34">
        <f>SUMIFS(D185:D747,K185:K747,"0",B185:B747,"1 2 4 6 5*")-SUMIFS(E185:E747,K185:K747,"0",B185:B747,"1 2 4 6 5*")</f>
        <v>168458.38</v>
      </c>
      <c r="E184" s="35"/>
      <c r="F184" s="34">
        <f>SUMIFS(F185:F747,K185:K747,"0",B185:B747,"1 2 4 6 5*")</f>
        <v>17600</v>
      </c>
      <c r="G184" s="34">
        <f>SUMIFS(G185:G747,K185:K747,"0",B185:B747,"1 2 4 6 5*")</f>
        <v>0</v>
      </c>
      <c r="H184" s="34">
        <f t="shared" si="2"/>
        <v>186058.38</v>
      </c>
      <c r="I184" s="34"/>
      <c r="K184" t="s">
        <v>15</v>
      </c>
    </row>
    <row r="185" spans="2:11" ht="13" x14ac:dyDescent="0.15">
      <c r="B185" s="33" t="s">
        <v>284</v>
      </c>
      <c r="C185" s="33" t="s">
        <v>26</v>
      </c>
      <c r="D185" s="34">
        <f>SUMIFS(D186:D747,K186:K747,"0",B186:B747,"1 2 4 6 5 12*")-SUMIFS(E186:E747,K186:K747,"0",B186:B747,"1 2 4 6 5 12*")</f>
        <v>168458.38</v>
      </c>
      <c r="E185" s="35"/>
      <c r="F185" s="34">
        <f>SUMIFS(F186:F747,K186:K747,"0",B186:B747,"1 2 4 6 5 12*")</f>
        <v>17600</v>
      </c>
      <c r="G185" s="34">
        <f>SUMIFS(G186:G747,K186:K747,"0",B186:B747,"1 2 4 6 5 12*")</f>
        <v>0</v>
      </c>
      <c r="H185" s="34">
        <f t="shared" si="2"/>
        <v>186058.38</v>
      </c>
      <c r="I185" s="34"/>
      <c r="K185" t="s">
        <v>15</v>
      </c>
    </row>
    <row r="186" spans="2:11" ht="13" x14ac:dyDescent="0.15">
      <c r="B186" s="33" t="s">
        <v>285</v>
      </c>
      <c r="C186" s="33" t="s">
        <v>28</v>
      </c>
      <c r="D186" s="34">
        <f>SUMIFS(D187:D747,K187:K747,"0",B187:B747,"1 2 4 6 5 12 31111*")-SUMIFS(E187:E747,K187:K747,"0",B187:B747,"1 2 4 6 5 12 31111*")</f>
        <v>168458.38</v>
      </c>
      <c r="E186" s="35"/>
      <c r="F186" s="34">
        <f>SUMIFS(F187:F747,K187:K747,"0",B187:B747,"1 2 4 6 5 12 31111*")</f>
        <v>17600</v>
      </c>
      <c r="G186" s="34">
        <f>SUMIFS(G187:G747,K187:K747,"0",B187:B747,"1 2 4 6 5 12 31111*")</f>
        <v>0</v>
      </c>
      <c r="H186" s="34">
        <f t="shared" si="2"/>
        <v>186058.38</v>
      </c>
      <c r="I186" s="34"/>
      <c r="K186" t="s">
        <v>15</v>
      </c>
    </row>
    <row r="187" spans="2:11" ht="13" x14ac:dyDescent="0.15">
      <c r="B187" s="33" t="s">
        <v>286</v>
      </c>
      <c r="C187" s="33" t="s">
        <v>30</v>
      </c>
      <c r="D187" s="34">
        <f>SUMIFS(D188:D747,K188:K747,"0",B188:B747,"1 2 4 6 5 12 31111 6*")-SUMIFS(E188:E747,K188:K747,"0",B188:B747,"1 2 4 6 5 12 31111 6*")</f>
        <v>168458.38</v>
      </c>
      <c r="E187" s="35"/>
      <c r="F187" s="34">
        <f>SUMIFS(F188:F747,K188:K747,"0",B188:B747,"1 2 4 6 5 12 31111 6*")</f>
        <v>17600</v>
      </c>
      <c r="G187" s="34">
        <f>SUMIFS(G188:G747,K188:K747,"0",B188:B747,"1 2 4 6 5 12 31111 6*")</f>
        <v>0</v>
      </c>
      <c r="H187" s="34">
        <f t="shared" si="2"/>
        <v>186058.38</v>
      </c>
      <c r="I187" s="34"/>
      <c r="K187" t="s">
        <v>15</v>
      </c>
    </row>
    <row r="188" spans="2:11" ht="13" x14ac:dyDescent="0.15">
      <c r="B188" s="33" t="s">
        <v>287</v>
      </c>
      <c r="C188" s="33" t="s">
        <v>32</v>
      </c>
      <c r="D188" s="34">
        <f>SUMIFS(D189:D747,K189:K747,"0",B189:B747,"1 2 4 6 5 12 31111 6 M78*")-SUMIFS(E189:E747,K189:K747,"0",B189:B747,"1 2 4 6 5 12 31111 6 M78*")</f>
        <v>168458.38</v>
      </c>
      <c r="E188" s="35"/>
      <c r="F188" s="34">
        <f>SUMIFS(F189:F747,K189:K747,"0",B189:B747,"1 2 4 6 5 12 31111 6 M78*")</f>
        <v>17600</v>
      </c>
      <c r="G188" s="34">
        <f>SUMIFS(G189:G747,K189:K747,"0",B189:B747,"1 2 4 6 5 12 31111 6 M78*")</f>
        <v>0</v>
      </c>
      <c r="H188" s="34">
        <f t="shared" si="2"/>
        <v>186058.38</v>
      </c>
      <c r="I188" s="34"/>
      <c r="K188" t="s">
        <v>15</v>
      </c>
    </row>
    <row r="189" spans="2:11" ht="13" x14ac:dyDescent="0.15">
      <c r="B189" s="33" t="s">
        <v>288</v>
      </c>
      <c r="C189" s="33" t="s">
        <v>129</v>
      </c>
      <c r="D189" s="34">
        <f>SUMIFS(D190:D747,K190:K747,"0",B190:B747,"1 2 4 6 5 12 31111 6 M78 00000*")-SUMIFS(E190:E747,K190:K747,"0",B190:B747,"1 2 4 6 5 12 31111 6 M78 00000*")</f>
        <v>115458.33</v>
      </c>
      <c r="E189" s="35"/>
      <c r="F189" s="34">
        <f>SUMIFS(F190:F747,K190:K747,"0",B190:B747,"1 2 4 6 5 12 31111 6 M78 00000*")</f>
        <v>0</v>
      </c>
      <c r="G189" s="34">
        <f>SUMIFS(G190:G747,K190:K747,"0",B190:B747,"1 2 4 6 5 12 31111 6 M78 00000*")</f>
        <v>0</v>
      </c>
      <c r="H189" s="34">
        <f t="shared" si="2"/>
        <v>115458.33</v>
      </c>
      <c r="I189" s="34"/>
      <c r="K189" t="s">
        <v>15</v>
      </c>
    </row>
    <row r="190" spans="2:11" ht="22" x14ac:dyDescent="0.15">
      <c r="B190" s="33" t="s">
        <v>289</v>
      </c>
      <c r="C190" s="33" t="s">
        <v>111</v>
      </c>
      <c r="D190" s="34">
        <f>SUMIFS(D191:D747,K191:K747,"0",B191:B747,"1 2 4 6 5 12 31111 6 M78 00000 003*")-SUMIFS(E191:E747,K191:K747,"0",B191:B747,"1 2 4 6 5 12 31111 6 M78 00000 003*")</f>
        <v>115458.33</v>
      </c>
      <c r="E190" s="35"/>
      <c r="F190" s="34">
        <f>SUMIFS(F191:F747,K191:K747,"0",B191:B747,"1 2 4 6 5 12 31111 6 M78 00000 003*")</f>
        <v>0</v>
      </c>
      <c r="G190" s="34">
        <f>SUMIFS(G191:G747,K191:K747,"0",B191:B747,"1 2 4 6 5 12 31111 6 M78 00000 003*")</f>
        <v>0</v>
      </c>
      <c r="H190" s="34">
        <f t="shared" si="2"/>
        <v>115458.33</v>
      </c>
      <c r="I190" s="34"/>
      <c r="K190" t="s">
        <v>15</v>
      </c>
    </row>
    <row r="191" spans="2:11" ht="22" x14ac:dyDescent="0.15">
      <c r="B191" s="33" t="s">
        <v>290</v>
      </c>
      <c r="C191" s="33" t="s">
        <v>132</v>
      </c>
      <c r="D191" s="34">
        <f>SUMIFS(D192:D747,K192:K747,"0",B192:B747,"1 2 4 6 5 12 31111 6 M78 00000 003 001*")-SUMIFS(E192:E747,K192:K747,"0",B192:B747,"1 2 4 6 5 12 31111 6 M78 00000 003 001*")</f>
        <v>115458.33</v>
      </c>
      <c r="E191" s="35"/>
      <c r="F191" s="34">
        <f>SUMIFS(F192:F747,K192:K747,"0",B192:B747,"1 2 4 6 5 12 31111 6 M78 00000 003 001*")</f>
        <v>0</v>
      </c>
      <c r="G191" s="34">
        <f>SUMIFS(G192:G747,K192:K747,"0",B192:B747,"1 2 4 6 5 12 31111 6 M78 00000 003 001*")</f>
        <v>0</v>
      </c>
      <c r="H191" s="34">
        <f t="shared" si="2"/>
        <v>115458.33</v>
      </c>
      <c r="I191" s="34"/>
      <c r="K191" t="s">
        <v>15</v>
      </c>
    </row>
    <row r="192" spans="2:11" ht="22" x14ac:dyDescent="0.15">
      <c r="B192" s="33" t="s">
        <v>291</v>
      </c>
      <c r="C192" s="33" t="s">
        <v>9</v>
      </c>
      <c r="D192" s="34">
        <f>SUMIFS(D193:D747,K193:K747,"0",B193:B747,"1 2 4 6 5 12 31111 6 M78 00000 003 001 001*")-SUMIFS(E193:E747,K193:K747,"0",B193:B747,"1 2 4 6 5 12 31111 6 M78 00000 003 001 001*")</f>
        <v>115458.33</v>
      </c>
      <c r="E192" s="35"/>
      <c r="F192" s="34">
        <f>SUMIFS(F193:F747,K193:K747,"0",B193:B747,"1 2 4 6 5 12 31111 6 M78 00000 003 001 001*")</f>
        <v>0</v>
      </c>
      <c r="G192" s="34">
        <f>SUMIFS(G193:G747,K193:K747,"0",B193:B747,"1 2 4 6 5 12 31111 6 M78 00000 003 001 001*")</f>
        <v>0</v>
      </c>
      <c r="H192" s="34">
        <f t="shared" si="2"/>
        <v>115458.33</v>
      </c>
      <c r="I192" s="34"/>
      <c r="K192" t="s">
        <v>15</v>
      </c>
    </row>
    <row r="193" spans="2:11" ht="22" x14ac:dyDescent="0.15">
      <c r="B193" s="36" t="s">
        <v>292</v>
      </c>
      <c r="C193" s="36" t="s">
        <v>293</v>
      </c>
      <c r="D193" s="37">
        <v>3923.31</v>
      </c>
      <c r="E193" s="37"/>
      <c r="F193" s="37">
        <v>0</v>
      </c>
      <c r="G193" s="37">
        <v>0</v>
      </c>
      <c r="H193" s="37">
        <f t="shared" si="2"/>
        <v>3923.31</v>
      </c>
      <c r="I193" s="37"/>
      <c r="K193" t="s">
        <v>39</v>
      </c>
    </row>
    <row r="194" spans="2:11" ht="22" x14ac:dyDescent="0.15">
      <c r="B194" s="36" t="s">
        <v>294</v>
      </c>
      <c r="C194" s="36" t="s">
        <v>295</v>
      </c>
      <c r="D194" s="37">
        <v>15750.02</v>
      </c>
      <c r="E194" s="37"/>
      <c r="F194" s="37">
        <v>0</v>
      </c>
      <c r="G194" s="37">
        <v>0</v>
      </c>
      <c r="H194" s="37">
        <f t="shared" si="2"/>
        <v>15750.02</v>
      </c>
      <c r="I194" s="37"/>
      <c r="K194" t="s">
        <v>39</v>
      </c>
    </row>
    <row r="195" spans="2:11" ht="22" x14ac:dyDescent="0.15">
      <c r="B195" s="36" t="s">
        <v>296</v>
      </c>
      <c r="C195" s="36" t="s">
        <v>297</v>
      </c>
      <c r="D195" s="37">
        <v>25480</v>
      </c>
      <c r="E195" s="37"/>
      <c r="F195" s="37">
        <v>0</v>
      </c>
      <c r="G195" s="37">
        <v>0</v>
      </c>
      <c r="H195" s="37">
        <f t="shared" si="2"/>
        <v>25480</v>
      </c>
      <c r="I195" s="37"/>
      <c r="K195" t="s">
        <v>39</v>
      </c>
    </row>
    <row r="196" spans="2:11" ht="22" x14ac:dyDescent="0.15">
      <c r="B196" s="36" t="s">
        <v>298</v>
      </c>
      <c r="C196" s="36" t="s">
        <v>299</v>
      </c>
      <c r="D196" s="37">
        <v>56000</v>
      </c>
      <c r="E196" s="37"/>
      <c r="F196" s="37">
        <v>0</v>
      </c>
      <c r="G196" s="37">
        <v>0</v>
      </c>
      <c r="H196" s="37">
        <f t="shared" si="2"/>
        <v>56000</v>
      </c>
      <c r="I196" s="37"/>
      <c r="K196" t="s">
        <v>39</v>
      </c>
    </row>
    <row r="197" spans="2:11" ht="22" x14ac:dyDescent="0.15">
      <c r="B197" s="36" t="s">
        <v>300</v>
      </c>
      <c r="C197" s="36" t="s">
        <v>301</v>
      </c>
      <c r="D197" s="37">
        <v>14305</v>
      </c>
      <c r="E197" s="37"/>
      <c r="F197" s="37">
        <v>0</v>
      </c>
      <c r="G197" s="37">
        <v>0</v>
      </c>
      <c r="H197" s="37">
        <f t="shared" si="2"/>
        <v>14305</v>
      </c>
      <c r="I197" s="37"/>
      <c r="K197" t="s">
        <v>39</v>
      </c>
    </row>
    <row r="198" spans="2:11" ht="13" x14ac:dyDescent="0.15">
      <c r="B198" s="33" t="s">
        <v>302</v>
      </c>
      <c r="C198" s="33" t="s">
        <v>163</v>
      </c>
      <c r="D198" s="34">
        <f>SUMIFS(D199:D747,K199:K747,"0",B199:B747,"1 2 4 6 5 12 31111 6 M78 15000*")-SUMIFS(E199:E747,K199:K747,"0",B199:B747,"1 2 4 6 5 12 31111 6 M78 15000*")</f>
        <v>53000.05</v>
      </c>
      <c r="E198" s="35"/>
      <c r="F198" s="34">
        <f>SUMIFS(F199:F747,K199:K747,"0",B199:B747,"1 2 4 6 5 12 31111 6 M78 15000*")</f>
        <v>17600</v>
      </c>
      <c r="G198" s="34">
        <f>SUMIFS(G199:G747,K199:K747,"0",B199:B747,"1 2 4 6 5 12 31111 6 M78 15000*")</f>
        <v>0</v>
      </c>
      <c r="H198" s="34">
        <f t="shared" si="2"/>
        <v>70600.05</v>
      </c>
      <c r="I198" s="34"/>
      <c r="K198" t="s">
        <v>15</v>
      </c>
    </row>
    <row r="199" spans="2:11" ht="22" x14ac:dyDescent="0.15">
      <c r="B199" s="33" t="s">
        <v>303</v>
      </c>
      <c r="C199" s="33" t="s">
        <v>165</v>
      </c>
      <c r="D199" s="34">
        <f>SUMIFS(D200:D747,K200:K747,"0",B200:B747,"1 2 4 6 5 12 31111 6 M78 15000 171*")-SUMIFS(E200:E747,K200:K747,"0",B200:B747,"1 2 4 6 5 12 31111 6 M78 15000 171*")</f>
        <v>53000.05</v>
      </c>
      <c r="E199" s="35"/>
      <c r="F199" s="34">
        <f>SUMIFS(F200:F747,K200:K747,"0",B200:B747,"1 2 4 6 5 12 31111 6 M78 15000 171*")</f>
        <v>17600</v>
      </c>
      <c r="G199" s="34">
        <f>SUMIFS(G200:G747,K200:K747,"0",B200:B747,"1 2 4 6 5 12 31111 6 M78 15000 171*")</f>
        <v>0</v>
      </c>
      <c r="H199" s="34">
        <f t="shared" si="2"/>
        <v>70600.05</v>
      </c>
      <c r="I199" s="34"/>
      <c r="K199" t="s">
        <v>15</v>
      </c>
    </row>
    <row r="200" spans="2:11" ht="22" x14ac:dyDescent="0.15">
      <c r="B200" s="33" t="s">
        <v>304</v>
      </c>
      <c r="C200" s="33" t="s">
        <v>167</v>
      </c>
      <c r="D200" s="34">
        <f>SUMIFS(D201:D747,K201:K747,"0",B201:B747,"1 2 4 6 5 12 31111 6 M78 15000 171 00I*")-SUMIFS(E201:E747,K201:K747,"0",B201:B747,"1 2 4 6 5 12 31111 6 M78 15000 171 00I*")</f>
        <v>53000.05</v>
      </c>
      <c r="E200" s="35"/>
      <c r="F200" s="34">
        <f>SUMIFS(F201:F747,K201:K747,"0",B201:B747,"1 2 4 6 5 12 31111 6 M78 15000 171 00I*")</f>
        <v>17600</v>
      </c>
      <c r="G200" s="34">
        <f>SUMIFS(G201:G747,K201:K747,"0",B201:B747,"1 2 4 6 5 12 31111 6 M78 15000 171 00I*")</f>
        <v>0</v>
      </c>
      <c r="H200" s="34">
        <f t="shared" si="2"/>
        <v>70600.05</v>
      </c>
      <c r="I200" s="34"/>
      <c r="K200" t="s">
        <v>15</v>
      </c>
    </row>
    <row r="201" spans="2:11" ht="22" x14ac:dyDescent="0.15">
      <c r="B201" s="33" t="s">
        <v>305</v>
      </c>
      <c r="C201" s="33" t="s">
        <v>169</v>
      </c>
      <c r="D201" s="34">
        <f>SUMIFS(D202:D747,K202:K747,"0",B202:B747,"1 2 4 6 5 12 31111 6 M78 15000 171 00I 002*")-SUMIFS(E202:E747,K202:K747,"0",B202:B747,"1 2 4 6 5 12 31111 6 M78 15000 171 00I 002*")</f>
        <v>53000.05</v>
      </c>
      <c r="E201" s="35"/>
      <c r="F201" s="34">
        <f>SUMIFS(F202:F747,K202:K747,"0",B202:B747,"1 2 4 6 5 12 31111 6 M78 15000 171 00I 002*")</f>
        <v>17600</v>
      </c>
      <c r="G201" s="34">
        <f>SUMIFS(G202:G747,K202:K747,"0",B202:B747,"1 2 4 6 5 12 31111 6 M78 15000 171 00I 002*")</f>
        <v>0</v>
      </c>
      <c r="H201" s="34">
        <f t="shared" si="2"/>
        <v>70600.05</v>
      </c>
      <c r="I201" s="34"/>
      <c r="K201" t="s">
        <v>15</v>
      </c>
    </row>
    <row r="202" spans="2:11" ht="22" x14ac:dyDescent="0.15">
      <c r="B202" s="33" t="s">
        <v>306</v>
      </c>
      <c r="C202" s="33" t="s">
        <v>307</v>
      </c>
      <c r="D202" s="34">
        <f>SUMIFS(D203:D747,K203:K747,"0",B203:B747,"1 2 4 6 5 12 31111 6 M78 15000 171 00I 002 56501*")-SUMIFS(E203:E747,K203:K747,"0",B203:B747,"1 2 4 6 5 12 31111 6 M78 15000 171 00I 002 56501*")</f>
        <v>53000.05</v>
      </c>
      <c r="E202" s="35"/>
      <c r="F202" s="34">
        <f>SUMIFS(F203:F747,K203:K747,"0",B203:B747,"1 2 4 6 5 12 31111 6 M78 15000 171 00I 002 56501*")</f>
        <v>17600</v>
      </c>
      <c r="G202" s="34">
        <f>SUMIFS(G203:G747,K203:K747,"0",B203:B747,"1 2 4 6 5 12 31111 6 M78 15000 171 00I 002 56501*")</f>
        <v>0</v>
      </c>
      <c r="H202" s="34">
        <f t="shared" si="2"/>
        <v>70600.05</v>
      </c>
      <c r="I202" s="34"/>
      <c r="K202" t="s">
        <v>15</v>
      </c>
    </row>
    <row r="203" spans="2:11" ht="22" x14ac:dyDescent="0.15">
      <c r="B203" s="33" t="s">
        <v>308</v>
      </c>
      <c r="C203" s="33" t="s">
        <v>173</v>
      </c>
      <c r="D203" s="34">
        <f>SUMIFS(D204:D747,K204:K747,"0",B204:B747,"1 2 4 6 5 12 31111 6 M78 15000 171 00I 002 56501 025*")-SUMIFS(E204:E747,K204:K747,"0",B204:B747,"1 2 4 6 5 12 31111 6 M78 15000 171 00I 002 56501 025*")</f>
        <v>53000.05</v>
      </c>
      <c r="E203" s="35"/>
      <c r="F203" s="34">
        <f>SUMIFS(F204:F747,K204:K747,"0",B204:B747,"1 2 4 6 5 12 31111 6 M78 15000 171 00I 002 56501 025*")</f>
        <v>17600</v>
      </c>
      <c r="G203" s="34">
        <f>SUMIFS(G204:G747,K204:K747,"0",B204:B747,"1 2 4 6 5 12 31111 6 M78 15000 171 00I 002 56501 025*")</f>
        <v>0</v>
      </c>
      <c r="H203" s="34">
        <f t="shared" si="2"/>
        <v>70600.05</v>
      </c>
      <c r="I203" s="34"/>
      <c r="K203" t="s">
        <v>15</v>
      </c>
    </row>
    <row r="204" spans="2:11" ht="22" x14ac:dyDescent="0.15">
      <c r="B204" s="33" t="s">
        <v>309</v>
      </c>
      <c r="C204" s="33" t="s">
        <v>175</v>
      </c>
      <c r="D204" s="34">
        <f>SUMIFS(D205:D747,K205:K747,"0",B205:B747,"1 2 4 6 5 12 31111 6 M78 15000 171 00I 002 56501 025 2112000*")-SUMIFS(E205:E747,K205:K747,"0",B205:B747,"1 2 4 6 5 12 31111 6 M78 15000 171 00I 002 56501 025 2112000*")</f>
        <v>53000.05</v>
      </c>
      <c r="E204" s="35"/>
      <c r="F204" s="34">
        <f>SUMIFS(F205:F747,K205:K747,"0",B205:B747,"1 2 4 6 5 12 31111 6 M78 15000 171 00I 002 56501 025 2112000*")</f>
        <v>17600</v>
      </c>
      <c r="G204" s="34">
        <f>SUMIFS(G205:G747,K205:K747,"0",B205:B747,"1 2 4 6 5 12 31111 6 M78 15000 171 00I 002 56501 025 2112000*")</f>
        <v>0</v>
      </c>
      <c r="H204" s="34">
        <f t="shared" ref="H204:H216" si="3">D204 + F204 - G204</f>
        <v>70600.05</v>
      </c>
      <c r="I204" s="34"/>
      <c r="K204" t="s">
        <v>15</v>
      </c>
    </row>
    <row r="205" spans="2:11" ht="33" x14ac:dyDescent="0.15">
      <c r="B205" s="33" t="s">
        <v>310</v>
      </c>
      <c r="C205" s="33" t="s">
        <v>177</v>
      </c>
      <c r="D205" s="34">
        <f>SUMIFS(D206:D747,K206:K747,"0",B206:B747,"1 2 4 6 5 12 31111 6 M78 15000 171 00I 002 56501 025 2112000 2019*")-SUMIFS(E206:E747,K206:K747,"0",B206:B747,"1 2 4 6 5 12 31111 6 M78 15000 171 00I 002 56501 025 2112000 2019*")</f>
        <v>53000.05</v>
      </c>
      <c r="E205" s="35"/>
      <c r="F205" s="34">
        <f>SUMIFS(F206:F747,K206:K747,"0",B206:B747,"1 2 4 6 5 12 31111 6 M78 15000 171 00I 002 56501 025 2112000 2019*")</f>
        <v>0</v>
      </c>
      <c r="G205" s="34">
        <f>SUMIFS(G206:G747,K206:K747,"0",B206:B747,"1 2 4 6 5 12 31111 6 M78 15000 171 00I 002 56501 025 2112000 2019*")</f>
        <v>0</v>
      </c>
      <c r="H205" s="34">
        <f t="shared" si="3"/>
        <v>53000.05</v>
      </c>
      <c r="I205" s="34"/>
      <c r="K205" t="s">
        <v>15</v>
      </c>
    </row>
    <row r="206" spans="2:11" ht="33" x14ac:dyDescent="0.15">
      <c r="B206" s="33" t="s">
        <v>311</v>
      </c>
      <c r="C206" s="33" t="s">
        <v>179</v>
      </c>
      <c r="D206" s="34">
        <f>SUMIFS(D207:D747,K207:K747,"0",B207:B747,"1 2 4 6 5 12 31111 6 M78 15000 171 00I 002 56501 025 2112000 2019 00000000*")-SUMIFS(E207:E747,K207:K747,"0",B207:B747,"1 2 4 6 5 12 31111 6 M78 15000 171 00I 002 56501 025 2112000 2019 00000000*")</f>
        <v>53000.05</v>
      </c>
      <c r="E206" s="35"/>
      <c r="F206" s="34">
        <f>SUMIFS(F207:F747,K207:K747,"0",B207:B747,"1 2 4 6 5 12 31111 6 M78 15000 171 00I 002 56501 025 2112000 2019 00000000*")</f>
        <v>0</v>
      </c>
      <c r="G206" s="34">
        <f>SUMIFS(G207:G747,K207:K747,"0",B207:B747,"1 2 4 6 5 12 31111 6 M78 15000 171 00I 002 56501 025 2112000 2019 00000000*")</f>
        <v>0</v>
      </c>
      <c r="H206" s="34">
        <f t="shared" si="3"/>
        <v>53000.05</v>
      </c>
      <c r="I206" s="34"/>
      <c r="K206" t="s">
        <v>15</v>
      </c>
    </row>
    <row r="207" spans="2:11" ht="33" x14ac:dyDescent="0.15">
      <c r="B207" s="33" t="s">
        <v>312</v>
      </c>
      <c r="C207" s="33" t="s">
        <v>9</v>
      </c>
      <c r="D207" s="34">
        <f>SUMIFS(D208:D747,K208:K747,"0",B208:B747,"1 2 4 6 5 12 31111 6 M78 15000 171 00I 002 56501 025 2112000 2019 00000000 003*")-SUMIFS(E208:E747,K208:K747,"0",B208:B747,"1 2 4 6 5 12 31111 6 M78 15000 171 00I 002 56501 025 2112000 2019 00000000 003*")</f>
        <v>53000.05</v>
      </c>
      <c r="E207" s="35"/>
      <c r="F207" s="34">
        <f>SUMIFS(F208:F747,K208:K747,"0",B208:B747,"1 2 4 6 5 12 31111 6 M78 15000 171 00I 002 56501 025 2112000 2019 00000000 003*")</f>
        <v>0</v>
      </c>
      <c r="G207" s="34">
        <f>SUMIFS(G208:G747,K208:K747,"0",B208:B747,"1 2 4 6 5 12 31111 6 M78 15000 171 00I 002 56501 025 2112000 2019 00000000 003*")</f>
        <v>0</v>
      </c>
      <c r="H207" s="34">
        <f t="shared" si="3"/>
        <v>53000.05</v>
      </c>
      <c r="I207" s="34"/>
      <c r="K207" t="s">
        <v>15</v>
      </c>
    </row>
    <row r="208" spans="2:11" ht="33" x14ac:dyDescent="0.15">
      <c r="B208" s="33" t="s">
        <v>313</v>
      </c>
      <c r="C208" s="33" t="s">
        <v>314</v>
      </c>
      <c r="D208" s="34">
        <f>SUMIFS(D209:D747,K209:K747,"0",B209:B747,"1 2 4 6 5 12 31111 6 M78 15000 171 00I 002 56501 025 2112000 2019 00000000 003 015*")-SUMIFS(E209:E747,K209:K747,"0",B209:B747,"1 2 4 6 5 12 31111 6 M78 15000 171 00I 002 56501 025 2112000 2019 00000000 003 015*")</f>
        <v>53000.05</v>
      </c>
      <c r="E208" s="35"/>
      <c r="F208" s="34">
        <f>SUMIFS(F209:F747,K209:K747,"0",B209:B747,"1 2 4 6 5 12 31111 6 M78 15000 171 00I 002 56501 025 2112000 2019 00000000 003 015*")</f>
        <v>0</v>
      </c>
      <c r="G208" s="34">
        <f>SUMIFS(G209:G747,K209:K747,"0",B209:B747,"1 2 4 6 5 12 31111 6 M78 15000 171 00I 002 56501 025 2112000 2019 00000000 003 015*")</f>
        <v>0</v>
      </c>
      <c r="H208" s="34">
        <f t="shared" si="3"/>
        <v>53000.05</v>
      </c>
      <c r="I208" s="34"/>
      <c r="K208" t="s">
        <v>15</v>
      </c>
    </row>
    <row r="209" spans="2:11" ht="33" x14ac:dyDescent="0.15">
      <c r="B209" s="36" t="s">
        <v>315</v>
      </c>
      <c r="C209" s="36" t="s">
        <v>316</v>
      </c>
      <c r="D209" s="37">
        <v>53000.05</v>
      </c>
      <c r="E209" s="37"/>
      <c r="F209" s="37">
        <v>0</v>
      </c>
      <c r="G209" s="37">
        <v>0</v>
      </c>
      <c r="H209" s="37">
        <f t="shared" si="3"/>
        <v>53000.05</v>
      </c>
      <c r="I209" s="37"/>
      <c r="K209" t="s">
        <v>39</v>
      </c>
    </row>
    <row r="210" spans="2:11" ht="33" x14ac:dyDescent="0.15">
      <c r="B210" s="33" t="s">
        <v>317</v>
      </c>
      <c r="C210" s="33" t="s">
        <v>318</v>
      </c>
      <c r="D210" s="34">
        <f>SUMIFS(D211:D747,K211:K747,"0",B211:B747,"1 2 4 6 5 12 31111 6 M78 15000 171 00I 002 56501 025 2112000 2024*")-SUMIFS(E211:E747,K211:K747,"0",B211:B747,"1 2 4 6 5 12 31111 6 M78 15000 171 00I 002 56501 025 2112000 2024*")</f>
        <v>0</v>
      </c>
      <c r="E210" s="35"/>
      <c r="F210" s="34">
        <f>SUMIFS(F211:F747,K211:K747,"0",B211:B747,"1 2 4 6 5 12 31111 6 M78 15000 171 00I 002 56501 025 2112000 2024*")</f>
        <v>17600</v>
      </c>
      <c r="G210" s="34">
        <f>SUMIFS(G211:G747,K211:K747,"0",B211:B747,"1 2 4 6 5 12 31111 6 M78 15000 171 00I 002 56501 025 2112000 2024*")</f>
        <v>0</v>
      </c>
      <c r="H210" s="34">
        <f t="shared" si="3"/>
        <v>17600</v>
      </c>
      <c r="I210" s="34"/>
      <c r="K210" t="s">
        <v>15</v>
      </c>
    </row>
    <row r="211" spans="2:11" ht="33" x14ac:dyDescent="0.15">
      <c r="B211" s="33" t="s">
        <v>319</v>
      </c>
      <c r="C211" s="33" t="s">
        <v>179</v>
      </c>
      <c r="D211" s="34">
        <f>SUMIFS(D212:D747,K212:K747,"0",B212:B747,"1 2 4 6 5 12 31111 6 M78 15000 171 00I 002 56501 025 2112000 2024 00000000*")-SUMIFS(E212:E747,K212:K747,"0",B212:B747,"1 2 4 6 5 12 31111 6 M78 15000 171 00I 002 56501 025 2112000 2024 00000000*")</f>
        <v>0</v>
      </c>
      <c r="E211" s="35"/>
      <c r="F211" s="34">
        <f>SUMIFS(F212:F747,K212:K747,"0",B212:B747,"1 2 4 6 5 12 31111 6 M78 15000 171 00I 002 56501 025 2112000 2024 00000000*")</f>
        <v>17600</v>
      </c>
      <c r="G211" s="34">
        <f>SUMIFS(G212:G747,K212:K747,"0",B212:B747,"1 2 4 6 5 12 31111 6 M78 15000 171 00I 002 56501 025 2112000 2024 00000000*")</f>
        <v>0</v>
      </c>
      <c r="H211" s="34">
        <f t="shared" si="3"/>
        <v>17600</v>
      </c>
      <c r="I211" s="34"/>
      <c r="K211" t="s">
        <v>15</v>
      </c>
    </row>
    <row r="212" spans="2:11" ht="33" x14ac:dyDescent="0.15">
      <c r="B212" s="33" t="s">
        <v>320</v>
      </c>
      <c r="C212" s="33" t="s">
        <v>9</v>
      </c>
      <c r="D212" s="34">
        <f>SUMIFS(D213:D747,K213:K747,"0",B213:B747,"1 2 4 6 5 12 31111 6 M78 15000 171 00I 002 56501 025 2112000 2024 00000000 003*")-SUMIFS(E213:E747,K213:K747,"0",B213:B747,"1 2 4 6 5 12 31111 6 M78 15000 171 00I 002 56501 025 2112000 2024 00000000 003*")</f>
        <v>0</v>
      </c>
      <c r="E212" s="35"/>
      <c r="F212" s="34">
        <f>SUMIFS(F213:F747,K213:K747,"0",B213:B747,"1 2 4 6 5 12 31111 6 M78 15000 171 00I 002 56501 025 2112000 2024 00000000 003*")</f>
        <v>17600</v>
      </c>
      <c r="G212" s="34">
        <f>SUMIFS(G213:G747,K213:K747,"0",B213:B747,"1 2 4 6 5 12 31111 6 M78 15000 171 00I 002 56501 025 2112000 2024 00000000 003*")</f>
        <v>0</v>
      </c>
      <c r="H212" s="34">
        <f t="shared" si="3"/>
        <v>17600</v>
      </c>
      <c r="I212" s="34"/>
      <c r="K212" t="s">
        <v>15</v>
      </c>
    </row>
    <row r="213" spans="2:11" ht="33" x14ac:dyDescent="0.15">
      <c r="B213" s="33" t="s">
        <v>321</v>
      </c>
      <c r="C213" s="33" t="s">
        <v>314</v>
      </c>
      <c r="D213" s="34">
        <f>SUMIFS(D214:D747,K214:K747,"0",B214:B747,"1 2 4 6 5 12 31111 6 M78 15000 171 00I 002 56501 025 2112000 2024 00000000 003 015*")-SUMIFS(E214:E747,K214:K747,"0",B214:B747,"1 2 4 6 5 12 31111 6 M78 15000 171 00I 002 56501 025 2112000 2024 00000000 003 015*")</f>
        <v>0</v>
      </c>
      <c r="E213" s="35"/>
      <c r="F213" s="34">
        <f>SUMIFS(F214:F747,K214:K747,"0",B214:B747,"1 2 4 6 5 12 31111 6 M78 15000 171 00I 002 56501 025 2112000 2024 00000000 003 015*")</f>
        <v>17600</v>
      </c>
      <c r="G213" s="34">
        <f>SUMIFS(G214:G747,K214:K747,"0",B214:B747,"1 2 4 6 5 12 31111 6 M78 15000 171 00I 002 56501 025 2112000 2024 00000000 003 015*")</f>
        <v>0</v>
      </c>
      <c r="H213" s="34">
        <f t="shared" si="3"/>
        <v>17600</v>
      </c>
      <c r="I213" s="34"/>
      <c r="K213" t="s">
        <v>15</v>
      </c>
    </row>
    <row r="214" spans="2:11" ht="33" x14ac:dyDescent="0.15">
      <c r="B214" s="36" t="s">
        <v>322</v>
      </c>
      <c r="C214" s="36" t="s">
        <v>323</v>
      </c>
      <c r="D214" s="37">
        <v>0</v>
      </c>
      <c r="E214" s="37"/>
      <c r="F214" s="37">
        <v>8400</v>
      </c>
      <c r="G214" s="37">
        <v>0</v>
      </c>
      <c r="H214" s="37">
        <f t="shared" si="3"/>
        <v>8400</v>
      </c>
      <c r="I214" s="37"/>
      <c r="K214" t="s">
        <v>39</v>
      </c>
    </row>
    <row r="215" spans="2:11" ht="33" x14ac:dyDescent="0.15">
      <c r="B215" s="36" t="s">
        <v>324</v>
      </c>
      <c r="C215" s="36" t="s">
        <v>325</v>
      </c>
      <c r="D215" s="37">
        <v>0</v>
      </c>
      <c r="E215" s="37"/>
      <c r="F215" s="37">
        <v>4700</v>
      </c>
      <c r="G215" s="37">
        <v>0</v>
      </c>
      <c r="H215" s="37">
        <f t="shared" si="3"/>
        <v>4700</v>
      </c>
      <c r="I215" s="37"/>
      <c r="K215" t="s">
        <v>39</v>
      </c>
    </row>
    <row r="216" spans="2:11" ht="33" x14ac:dyDescent="0.15">
      <c r="B216" s="36" t="s">
        <v>326</v>
      </c>
      <c r="C216" s="36" t="s">
        <v>327</v>
      </c>
      <c r="D216" s="37">
        <v>0</v>
      </c>
      <c r="E216" s="37"/>
      <c r="F216" s="37">
        <v>4500</v>
      </c>
      <c r="G216" s="37">
        <v>0</v>
      </c>
      <c r="H216" s="37">
        <f t="shared" si="3"/>
        <v>4500</v>
      </c>
      <c r="I216" s="37"/>
      <c r="K216" t="s">
        <v>39</v>
      </c>
    </row>
    <row r="217" spans="2:11" ht="13" x14ac:dyDescent="0.15">
      <c r="B217" s="33" t="s">
        <v>328</v>
      </c>
      <c r="C217" s="33" t="s">
        <v>329</v>
      </c>
      <c r="D217" s="35"/>
      <c r="E217" s="34">
        <f>SUMIFS(E218:E747,K218:K747,"0",B218:B747,"2*")-SUMIFS(D218:D747,K218:K747,"0",B218:B747,"2*")</f>
        <v>391304.82</v>
      </c>
      <c r="F217" s="34">
        <f>SUMIFS(F218:F747,K218:K747,"0",B218:B747,"2*")</f>
        <v>7790287.1599999992</v>
      </c>
      <c r="G217" s="34">
        <f>SUMIFS(G218:G747,K218:K747,"0",B218:B747,"2*")</f>
        <v>7510682.29</v>
      </c>
      <c r="H217" s="34"/>
      <c r="I217" s="34">
        <f t="shared" ref="I217:I248" si="4">E217 - F217 + G217</f>
        <v>111699.95000000112</v>
      </c>
      <c r="K217" t="s">
        <v>15</v>
      </c>
    </row>
    <row r="218" spans="2:11" ht="13" x14ac:dyDescent="0.15">
      <c r="B218" s="33" t="s">
        <v>330</v>
      </c>
      <c r="C218" s="33" t="s">
        <v>331</v>
      </c>
      <c r="D218" s="35"/>
      <c r="E218" s="34">
        <f>SUMIFS(E219:E747,K219:K747,"0",B219:B747,"2 1*")-SUMIFS(D219:D747,K219:K747,"0",B219:B747,"2 1*")</f>
        <v>391304.82</v>
      </c>
      <c r="F218" s="34">
        <f>SUMIFS(F219:F747,K219:K747,"0",B219:B747,"2 1*")</f>
        <v>7790287.1599999992</v>
      </c>
      <c r="G218" s="34">
        <f>SUMIFS(G219:G747,K219:K747,"0",B219:B747,"2 1*")</f>
        <v>7510682.29</v>
      </c>
      <c r="H218" s="34"/>
      <c r="I218" s="34">
        <f t="shared" si="4"/>
        <v>111699.95000000112</v>
      </c>
      <c r="K218" t="s">
        <v>15</v>
      </c>
    </row>
    <row r="219" spans="2:11" ht="13" x14ac:dyDescent="0.15">
      <c r="B219" s="33" t="s">
        <v>332</v>
      </c>
      <c r="C219" s="33" t="s">
        <v>333</v>
      </c>
      <c r="D219" s="35"/>
      <c r="E219" s="34">
        <f>SUMIFS(E220:E747,K220:K747,"0",B220:B747,"2 1 1*")-SUMIFS(D220:D747,K220:K747,"0",B220:B747,"2 1 1*")</f>
        <v>391304.82</v>
      </c>
      <c r="F219" s="34">
        <f>SUMIFS(F220:F747,K220:K747,"0",B220:B747,"2 1 1*")</f>
        <v>7790287.1599999992</v>
      </c>
      <c r="G219" s="34">
        <f>SUMIFS(G220:G747,K220:K747,"0",B220:B747,"2 1 1*")</f>
        <v>7510682.29</v>
      </c>
      <c r="H219" s="34"/>
      <c r="I219" s="34">
        <f t="shared" si="4"/>
        <v>111699.95000000112</v>
      </c>
      <c r="K219" t="s">
        <v>15</v>
      </c>
    </row>
    <row r="220" spans="2:11" ht="13" x14ac:dyDescent="0.15">
      <c r="B220" s="33" t="s">
        <v>334</v>
      </c>
      <c r="C220" s="33" t="s">
        <v>335</v>
      </c>
      <c r="D220" s="35"/>
      <c r="E220" s="34">
        <f>SUMIFS(E221:E747,K221:K747,"0",B221:B747,"2 1 1 1*")-SUMIFS(D221:D747,K221:K747,"0",B221:B747,"2 1 1 1*")</f>
        <v>1100</v>
      </c>
      <c r="F220" s="34">
        <f>SUMIFS(F221:F747,K221:K747,"0",B221:B747,"2 1 1 1*")</f>
        <v>4004118.21</v>
      </c>
      <c r="G220" s="34">
        <f>SUMIFS(G221:G747,K221:K747,"0",B221:B747,"2 1 1 1*")</f>
        <v>4012218.21</v>
      </c>
      <c r="H220" s="34"/>
      <c r="I220" s="34">
        <f t="shared" si="4"/>
        <v>9200</v>
      </c>
      <c r="K220" t="s">
        <v>15</v>
      </c>
    </row>
    <row r="221" spans="2:11" ht="13" x14ac:dyDescent="0.15">
      <c r="B221" s="33" t="s">
        <v>336</v>
      </c>
      <c r="C221" s="33" t="s">
        <v>337</v>
      </c>
      <c r="D221" s="35"/>
      <c r="E221" s="34">
        <f>SUMIFS(E222:E747,K222:K747,"0",B222:B747,"2 1 1 1 1*")-SUMIFS(D222:D747,K222:K747,"0",B222:B747,"2 1 1 1 1*")</f>
        <v>1100</v>
      </c>
      <c r="F221" s="34">
        <f>SUMIFS(F222:F747,K222:K747,"0",B222:B747,"2 1 1 1 1*")</f>
        <v>4004118.21</v>
      </c>
      <c r="G221" s="34">
        <f>SUMIFS(G222:G747,K222:K747,"0",B222:B747,"2 1 1 1 1*")</f>
        <v>4012218.21</v>
      </c>
      <c r="H221" s="34"/>
      <c r="I221" s="34">
        <f t="shared" si="4"/>
        <v>9200</v>
      </c>
      <c r="K221" t="s">
        <v>15</v>
      </c>
    </row>
    <row r="222" spans="2:11" ht="13" x14ac:dyDescent="0.15">
      <c r="B222" s="33" t="s">
        <v>338</v>
      </c>
      <c r="C222" s="33" t="s">
        <v>26</v>
      </c>
      <c r="D222" s="35"/>
      <c r="E222" s="34">
        <f>SUMIFS(E223:E747,K223:K747,"0",B223:B747,"2 1 1 1 1 12*")-SUMIFS(D223:D747,K223:K747,"0",B223:B747,"2 1 1 1 1 12*")</f>
        <v>1100</v>
      </c>
      <c r="F222" s="34">
        <f>SUMIFS(F223:F747,K223:K747,"0",B223:B747,"2 1 1 1 1 12*")</f>
        <v>4004118.21</v>
      </c>
      <c r="G222" s="34">
        <f>SUMIFS(G223:G747,K223:K747,"0",B223:B747,"2 1 1 1 1 12*")</f>
        <v>4012218.21</v>
      </c>
      <c r="H222" s="34"/>
      <c r="I222" s="34">
        <f t="shared" si="4"/>
        <v>9200</v>
      </c>
      <c r="K222" t="s">
        <v>15</v>
      </c>
    </row>
    <row r="223" spans="2:11" ht="13" x14ac:dyDescent="0.15">
      <c r="B223" s="33" t="s">
        <v>339</v>
      </c>
      <c r="C223" s="33" t="s">
        <v>28</v>
      </c>
      <c r="D223" s="35"/>
      <c r="E223" s="34">
        <f>SUMIFS(E224:E747,K224:K747,"0",B224:B747,"2 1 1 1 1 12 31111*")-SUMIFS(D224:D747,K224:K747,"0",B224:B747,"2 1 1 1 1 12 31111*")</f>
        <v>1100</v>
      </c>
      <c r="F223" s="34">
        <f>SUMIFS(F224:F747,K224:K747,"0",B224:B747,"2 1 1 1 1 12 31111*")</f>
        <v>4004118.21</v>
      </c>
      <c r="G223" s="34">
        <f>SUMIFS(G224:G747,K224:K747,"0",B224:B747,"2 1 1 1 1 12 31111*")</f>
        <v>4012218.21</v>
      </c>
      <c r="H223" s="34"/>
      <c r="I223" s="34">
        <f t="shared" si="4"/>
        <v>9200</v>
      </c>
      <c r="K223" t="s">
        <v>15</v>
      </c>
    </row>
    <row r="224" spans="2:11" ht="13" x14ac:dyDescent="0.15">
      <c r="B224" s="33" t="s">
        <v>340</v>
      </c>
      <c r="C224" s="33" t="s">
        <v>30</v>
      </c>
      <c r="D224" s="35"/>
      <c r="E224" s="34">
        <f>SUMIFS(E225:E747,K225:K747,"0",B225:B747,"2 1 1 1 1 12 31111 6*")-SUMIFS(D225:D747,K225:K747,"0",B225:B747,"2 1 1 1 1 12 31111 6*")</f>
        <v>1100</v>
      </c>
      <c r="F224" s="34">
        <f>SUMIFS(F225:F747,K225:K747,"0",B225:B747,"2 1 1 1 1 12 31111 6*")</f>
        <v>4004118.21</v>
      </c>
      <c r="G224" s="34">
        <f>SUMIFS(G225:G747,K225:K747,"0",B225:B747,"2 1 1 1 1 12 31111 6*")</f>
        <v>4012218.21</v>
      </c>
      <c r="H224" s="34"/>
      <c r="I224" s="34">
        <f t="shared" si="4"/>
        <v>9200</v>
      </c>
      <c r="K224" t="s">
        <v>15</v>
      </c>
    </row>
    <row r="225" spans="2:11" ht="13" x14ac:dyDescent="0.15">
      <c r="B225" s="33" t="s">
        <v>341</v>
      </c>
      <c r="C225" s="33" t="s">
        <v>32</v>
      </c>
      <c r="D225" s="35"/>
      <c r="E225" s="34">
        <f>SUMIFS(E226:E747,K226:K747,"0",B226:B747,"2 1 1 1 1 12 31111 6 M78*")-SUMIFS(D226:D747,K226:K747,"0",B226:B747,"2 1 1 1 1 12 31111 6 M78*")</f>
        <v>1100</v>
      </c>
      <c r="F225" s="34">
        <f>SUMIFS(F226:F747,K226:K747,"0",B226:B747,"2 1 1 1 1 12 31111 6 M78*")</f>
        <v>4004118.21</v>
      </c>
      <c r="G225" s="34">
        <f>SUMIFS(G226:G747,K226:K747,"0",B226:B747,"2 1 1 1 1 12 31111 6 M78*")</f>
        <v>4012218.21</v>
      </c>
      <c r="H225" s="34"/>
      <c r="I225" s="34">
        <f t="shared" si="4"/>
        <v>9200</v>
      </c>
      <c r="K225" t="s">
        <v>15</v>
      </c>
    </row>
    <row r="226" spans="2:11" ht="13" x14ac:dyDescent="0.15">
      <c r="B226" s="33" t="s">
        <v>342</v>
      </c>
      <c r="C226" s="33" t="s">
        <v>343</v>
      </c>
      <c r="D226" s="35"/>
      <c r="E226" s="34">
        <f>SUMIFS(E227:E747,K227:K747,"0",B227:B747,"2 1 1 1 1 12 31111 6 M78 00003*")-SUMIFS(D227:D747,K227:K747,"0",B227:B747,"2 1 1 1 1 12 31111 6 M78 00003*")</f>
        <v>1100</v>
      </c>
      <c r="F226" s="34">
        <f>SUMIFS(F227:F747,K227:K747,"0",B227:B747,"2 1 1 1 1 12 31111 6 M78 00003*")</f>
        <v>4004118.21</v>
      </c>
      <c r="G226" s="34">
        <f>SUMIFS(G227:G747,K227:K747,"0",B227:B747,"2 1 1 1 1 12 31111 6 M78 00003*")</f>
        <v>4012218.21</v>
      </c>
      <c r="H226" s="34"/>
      <c r="I226" s="34">
        <f t="shared" si="4"/>
        <v>9200</v>
      </c>
      <c r="K226" t="s">
        <v>15</v>
      </c>
    </row>
    <row r="227" spans="2:11" ht="22" x14ac:dyDescent="0.15">
      <c r="B227" s="36" t="s">
        <v>344</v>
      </c>
      <c r="C227" s="36" t="s">
        <v>345</v>
      </c>
      <c r="D227" s="37"/>
      <c r="E227" s="37">
        <v>0</v>
      </c>
      <c r="F227" s="37">
        <v>215400</v>
      </c>
      <c r="G227" s="37">
        <v>215400</v>
      </c>
      <c r="H227" s="37"/>
      <c r="I227" s="37">
        <f t="shared" si="4"/>
        <v>0</v>
      </c>
      <c r="K227" t="s">
        <v>39</v>
      </c>
    </row>
    <row r="228" spans="2:11" ht="22" x14ac:dyDescent="0.15">
      <c r="B228" s="36" t="s">
        <v>346</v>
      </c>
      <c r="C228" s="36" t="s">
        <v>347</v>
      </c>
      <c r="D228" s="37"/>
      <c r="E228" s="37">
        <v>1100</v>
      </c>
      <c r="F228" s="37">
        <v>3788718.21</v>
      </c>
      <c r="G228" s="37">
        <v>3796818.21</v>
      </c>
      <c r="H228" s="37"/>
      <c r="I228" s="37">
        <f t="shared" si="4"/>
        <v>9200</v>
      </c>
      <c r="K228" t="s">
        <v>39</v>
      </c>
    </row>
    <row r="229" spans="2:11" ht="13" x14ac:dyDescent="0.15">
      <c r="B229" s="33" t="s">
        <v>348</v>
      </c>
      <c r="C229" s="33" t="s">
        <v>349</v>
      </c>
      <c r="D229" s="35"/>
      <c r="E229" s="34">
        <f>SUMIFS(E230:E747,K230:K747,"0",B230:B747,"2 1 1 2*")-SUMIFS(D230:D747,K230:K747,"0",B230:B747,"2 1 1 2*")</f>
        <v>181783.22</v>
      </c>
      <c r="F229" s="34">
        <f>SUMIFS(F230:F747,K230:K747,"0",B230:B747,"2 1 1 2*")</f>
        <v>3013561.38</v>
      </c>
      <c r="G229" s="34">
        <f>SUMIFS(G230:G747,K230:K747,"0",B230:B747,"2 1 1 2*")</f>
        <v>2831778.16</v>
      </c>
      <c r="H229" s="34"/>
      <c r="I229" s="34">
        <f t="shared" si="4"/>
        <v>0</v>
      </c>
      <c r="K229" t="s">
        <v>15</v>
      </c>
    </row>
    <row r="230" spans="2:11" ht="22" x14ac:dyDescent="0.15">
      <c r="B230" s="33" t="s">
        <v>350</v>
      </c>
      <c r="C230" s="33" t="s">
        <v>351</v>
      </c>
      <c r="D230" s="35"/>
      <c r="E230" s="34">
        <f>SUMIFS(E231:E747,K231:K747,"0",B231:B747,"2 1 1 2 1*")-SUMIFS(D231:D747,K231:K747,"0",B231:B747,"2 1 1 2 1*")</f>
        <v>181783.22</v>
      </c>
      <c r="F230" s="34">
        <f>SUMIFS(F231:F747,K231:K747,"0",B231:B747,"2 1 1 2 1*")</f>
        <v>3013561.38</v>
      </c>
      <c r="G230" s="34">
        <f>SUMIFS(G231:G747,K231:K747,"0",B231:B747,"2 1 1 2 1*")</f>
        <v>2831778.16</v>
      </c>
      <c r="H230" s="34"/>
      <c r="I230" s="34">
        <f t="shared" si="4"/>
        <v>0</v>
      </c>
      <c r="K230" t="s">
        <v>15</v>
      </c>
    </row>
    <row r="231" spans="2:11" ht="13" x14ac:dyDescent="0.15">
      <c r="B231" s="33" t="s">
        <v>352</v>
      </c>
      <c r="C231" s="33" t="s">
        <v>26</v>
      </c>
      <c r="D231" s="35"/>
      <c r="E231" s="34">
        <f>SUMIFS(E232:E747,K232:K747,"0",B232:B747,"2 1 1 2 1 12*")-SUMIFS(D232:D747,K232:K747,"0",B232:B747,"2 1 1 2 1 12*")</f>
        <v>181783.22</v>
      </c>
      <c r="F231" s="34">
        <f>SUMIFS(F232:F747,K232:K747,"0",B232:B747,"2 1 1 2 1 12*")</f>
        <v>3013561.38</v>
      </c>
      <c r="G231" s="34">
        <f>SUMIFS(G232:G747,K232:K747,"0",B232:B747,"2 1 1 2 1 12*")</f>
        <v>2831778.16</v>
      </c>
      <c r="H231" s="34"/>
      <c r="I231" s="34">
        <f t="shared" si="4"/>
        <v>0</v>
      </c>
      <c r="K231" t="s">
        <v>15</v>
      </c>
    </row>
    <row r="232" spans="2:11" ht="13" x14ac:dyDescent="0.15">
      <c r="B232" s="33" t="s">
        <v>353</v>
      </c>
      <c r="C232" s="33" t="s">
        <v>28</v>
      </c>
      <c r="D232" s="35"/>
      <c r="E232" s="34">
        <f>SUMIFS(E233:E747,K233:K747,"0",B233:B747,"2 1 1 2 1 12 31111*")-SUMIFS(D233:D747,K233:K747,"0",B233:B747,"2 1 1 2 1 12 31111*")</f>
        <v>181783.22</v>
      </c>
      <c r="F232" s="34">
        <f>SUMIFS(F233:F747,K233:K747,"0",B233:B747,"2 1 1 2 1 12 31111*")</f>
        <v>3013561.38</v>
      </c>
      <c r="G232" s="34">
        <f>SUMIFS(G233:G747,K233:K747,"0",B233:B747,"2 1 1 2 1 12 31111*")</f>
        <v>2831778.16</v>
      </c>
      <c r="H232" s="34"/>
      <c r="I232" s="34">
        <f t="shared" si="4"/>
        <v>0</v>
      </c>
      <c r="K232" t="s">
        <v>15</v>
      </c>
    </row>
    <row r="233" spans="2:11" ht="13" x14ac:dyDescent="0.15">
      <c r="B233" s="33" t="s">
        <v>354</v>
      </c>
      <c r="C233" s="33" t="s">
        <v>30</v>
      </c>
      <c r="D233" s="35"/>
      <c r="E233" s="34">
        <f>SUMIFS(E234:E747,K234:K747,"0",B234:B747,"2 1 1 2 1 12 31111 6*")-SUMIFS(D234:D747,K234:K747,"0",B234:B747,"2 1 1 2 1 12 31111 6*")</f>
        <v>181783.22</v>
      </c>
      <c r="F233" s="34">
        <f>SUMIFS(F234:F747,K234:K747,"0",B234:B747,"2 1 1 2 1 12 31111 6*")</f>
        <v>3013561.38</v>
      </c>
      <c r="G233" s="34">
        <f>SUMIFS(G234:G747,K234:K747,"0",B234:B747,"2 1 1 2 1 12 31111 6*")</f>
        <v>2831778.16</v>
      </c>
      <c r="H233" s="34"/>
      <c r="I233" s="34">
        <f t="shared" si="4"/>
        <v>0</v>
      </c>
      <c r="K233" t="s">
        <v>15</v>
      </c>
    </row>
    <row r="234" spans="2:11" ht="13" x14ac:dyDescent="0.15">
      <c r="B234" s="33" t="s">
        <v>355</v>
      </c>
      <c r="C234" s="33" t="s">
        <v>32</v>
      </c>
      <c r="D234" s="35"/>
      <c r="E234" s="34">
        <f>SUMIFS(E235:E747,K235:K747,"0",B235:B747,"2 1 1 2 1 12 31111 6 M78*")-SUMIFS(D235:D747,K235:K747,"0",B235:B747,"2 1 1 2 1 12 31111 6 M78*")</f>
        <v>181783.22</v>
      </c>
      <c r="F234" s="34">
        <f>SUMIFS(F235:F747,K235:K747,"0",B235:B747,"2 1 1 2 1 12 31111 6 M78*")</f>
        <v>3013561.38</v>
      </c>
      <c r="G234" s="34">
        <f>SUMIFS(G235:G747,K235:K747,"0",B235:B747,"2 1 1 2 1 12 31111 6 M78*")</f>
        <v>2831778.16</v>
      </c>
      <c r="H234" s="34"/>
      <c r="I234" s="34">
        <f t="shared" si="4"/>
        <v>0</v>
      </c>
      <c r="K234" t="s">
        <v>15</v>
      </c>
    </row>
    <row r="235" spans="2:11" ht="13" x14ac:dyDescent="0.15">
      <c r="B235" s="33" t="s">
        <v>356</v>
      </c>
      <c r="C235" s="33" t="s">
        <v>343</v>
      </c>
      <c r="D235" s="35"/>
      <c r="E235" s="34">
        <f>SUMIFS(E236:E747,K236:K747,"0",B236:B747,"2 1 1 2 1 12 31111 6 M78 00003*")-SUMIFS(D236:D747,K236:K747,"0",B236:B747,"2 1 1 2 1 12 31111 6 M78 00003*")</f>
        <v>181783.22</v>
      </c>
      <c r="F235" s="34">
        <f>SUMIFS(F236:F747,K236:K747,"0",B236:B747,"2 1 1 2 1 12 31111 6 M78 00003*")</f>
        <v>3013561.38</v>
      </c>
      <c r="G235" s="34">
        <f>SUMIFS(G236:G747,K236:K747,"0",B236:B747,"2 1 1 2 1 12 31111 6 M78 00003*")</f>
        <v>2831778.16</v>
      </c>
      <c r="H235" s="34"/>
      <c r="I235" s="34">
        <f t="shared" si="4"/>
        <v>0</v>
      </c>
      <c r="K235" t="s">
        <v>15</v>
      </c>
    </row>
    <row r="236" spans="2:11" ht="22" x14ac:dyDescent="0.15">
      <c r="B236" s="36" t="s">
        <v>357</v>
      </c>
      <c r="C236" s="36" t="s">
        <v>79</v>
      </c>
      <c r="D236" s="37"/>
      <c r="E236" s="37">
        <v>181783.22</v>
      </c>
      <c r="F236" s="37">
        <v>504423.29</v>
      </c>
      <c r="G236" s="37">
        <v>322640.07</v>
      </c>
      <c r="H236" s="37"/>
      <c r="I236" s="37">
        <f t="shared" si="4"/>
        <v>0</v>
      </c>
      <c r="K236" t="s">
        <v>39</v>
      </c>
    </row>
    <row r="237" spans="2:11" ht="22" x14ac:dyDescent="0.15">
      <c r="B237" s="36" t="s">
        <v>358</v>
      </c>
      <c r="C237" s="36" t="s">
        <v>359</v>
      </c>
      <c r="D237" s="37"/>
      <c r="E237" s="37">
        <v>0</v>
      </c>
      <c r="F237" s="37">
        <v>809243.91</v>
      </c>
      <c r="G237" s="37">
        <v>809243.91</v>
      </c>
      <c r="H237" s="37"/>
      <c r="I237" s="37">
        <f t="shared" si="4"/>
        <v>0</v>
      </c>
      <c r="K237" t="s">
        <v>39</v>
      </c>
    </row>
    <row r="238" spans="2:11" ht="22" x14ac:dyDescent="0.15">
      <c r="B238" s="36" t="s">
        <v>360</v>
      </c>
      <c r="C238" s="36" t="s">
        <v>361</v>
      </c>
      <c r="D238" s="37"/>
      <c r="E238" s="37">
        <v>0</v>
      </c>
      <c r="F238" s="37">
        <v>109415.26</v>
      </c>
      <c r="G238" s="37">
        <v>109415.26</v>
      </c>
      <c r="H238" s="37"/>
      <c r="I238" s="37">
        <f t="shared" si="4"/>
        <v>0</v>
      </c>
      <c r="K238" t="s">
        <v>39</v>
      </c>
    </row>
    <row r="239" spans="2:11" ht="22" x14ac:dyDescent="0.15">
      <c r="B239" s="36" t="s">
        <v>362</v>
      </c>
      <c r="C239" s="36" t="s">
        <v>363</v>
      </c>
      <c r="D239" s="37"/>
      <c r="E239" s="37">
        <v>0</v>
      </c>
      <c r="F239" s="37">
        <v>464510</v>
      </c>
      <c r="G239" s="37">
        <v>464510</v>
      </c>
      <c r="H239" s="37"/>
      <c r="I239" s="37">
        <f t="shared" si="4"/>
        <v>0</v>
      </c>
      <c r="K239" t="s">
        <v>39</v>
      </c>
    </row>
    <row r="240" spans="2:11" ht="22" x14ac:dyDescent="0.15">
      <c r="B240" s="36" t="s">
        <v>364</v>
      </c>
      <c r="C240" s="36" t="s">
        <v>365</v>
      </c>
      <c r="D240" s="37"/>
      <c r="E240" s="37">
        <v>0</v>
      </c>
      <c r="F240" s="37">
        <v>489784.92</v>
      </c>
      <c r="G240" s="37">
        <v>489784.92</v>
      </c>
      <c r="H240" s="37"/>
      <c r="I240" s="37">
        <f t="shared" si="4"/>
        <v>0</v>
      </c>
      <c r="K240" t="s">
        <v>39</v>
      </c>
    </row>
    <row r="241" spans="2:11" ht="22" x14ac:dyDescent="0.15">
      <c r="B241" s="36" t="s">
        <v>366</v>
      </c>
      <c r="C241" s="36" t="s">
        <v>367</v>
      </c>
      <c r="D241" s="37"/>
      <c r="E241" s="37">
        <v>0</v>
      </c>
      <c r="F241" s="37">
        <v>104980</v>
      </c>
      <c r="G241" s="37">
        <v>104980</v>
      </c>
      <c r="H241" s="37"/>
      <c r="I241" s="37">
        <f t="shared" si="4"/>
        <v>0</v>
      </c>
      <c r="K241" t="s">
        <v>39</v>
      </c>
    </row>
    <row r="242" spans="2:11" ht="22" x14ac:dyDescent="0.15">
      <c r="B242" s="36" t="s">
        <v>368</v>
      </c>
      <c r="C242" s="36" t="s">
        <v>369</v>
      </c>
      <c r="D242" s="37"/>
      <c r="E242" s="37">
        <v>0</v>
      </c>
      <c r="F242" s="37">
        <v>157400</v>
      </c>
      <c r="G242" s="37">
        <v>157400</v>
      </c>
      <c r="H242" s="37"/>
      <c r="I242" s="37">
        <f t="shared" si="4"/>
        <v>0</v>
      </c>
      <c r="K242" t="s">
        <v>39</v>
      </c>
    </row>
    <row r="243" spans="2:11" ht="22" x14ac:dyDescent="0.15">
      <c r="B243" s="36" t="s">
        <v>370</v>
      </c>
      <c r="C243" s="36" t="s">
        <v>371</v>
      </c>
      <c r="D243" s="37"/>
      <c r="E243" s="37">
        <v>0</v>
      </c>
      <c r="F243" s="37">
        <v>9120</v>
      </c>
      <c r="G243" s="37">
        <v>9120</v>
      </c>
      <c r="H243" s="37"/>
      <c r="I243" s="37">
        <f t="shared" si="4"/>
        <v>0</v>
      </c>
      <c r="K243" t="s">
        <v>39</v>
      </c>
    </row>
    <row r="244" spans="2:11" ht="22" x14ac:dyDescent="0.15">
      <c r="B244" s="36" t="s">
        <v>372</v>
      </c>
      <c r="C244" s="36" t="s">
        <v>373</v>
      </c>
      <c r="D244" s="37"/>
      <c r="E244" s="37">
        <v>0</v>
      </c>
      <c r="F244" s="37">
        <v>158590</v>
      </c>
      <c r="G244" s="37">
        <v>158590</v>
      </c>
      <c r="H244" s="37"/>
      <c r="I244" s="37">
        <f t="shared" si="4"/>
        <v>0</v>
      </c>
      <c r="K244" t="s">
        <v>39</v>
      </c>
    </row>
    <row r="245" spans="2:11" ht="22" x14ac:dyDescent="0.15">
      <c r="B245" s="36" t="s">
        <v>374</v>
      </c>
      <c r="C245" s="36" t="s">
        <v>375</v>
      </c>
      <c r="D245" s="37"/>
      <c r="E245" s="37">
        <v>0</v>
      </c>
      <c r="F245" s="37">
        <v>107700</v>
      </c>
      <c r="G245" s="37">
        <v>107700</v>
      </c>
      <c r="H245" s="37"/>
      <c r="I245" s="37">
        <f t="shared" si="4"/>
        <v>0</v>
      </c>
      <c r="K245" t="s">
        <v>39</v>
      </c>
    </row>
    <row r="246" spans="2:11" ht="22" x14ac:dyDescent="0.15">
      <c r="B246" s="36" t="s">
        <v>376</v>
      </c>
      <c r="C246" s="36" t="s">
        <v>377</v>
      </c>
      <c r="D246" s="37"/>
      <c r="E246" s="37">
        <v>0</v>
      </c>
      <c r="F246" s="37">
        <v>80794</v>
      </c>
      <c r="G246" s="37">
        <v>80794</v>
      </c>
      <c r="H246" s="37"/>
      <c r="I246" s="37">
        <f t="shared" si="4"/>
        <v>0</v>
      </c>
      <c r="K246" t="s">
        <v>39</v>
      </c>
    </row>
    <row r="247" spans="2:11" ht="22" x14ac:dyDescent="0.15">
      <c r="B247" s="36" t="s">
        <v>378</v>
      </c>
      <c r="C247" s="36" t="s">
        <v>379</v>
      </c>
      <c r="D247" s="37"/>
      <c r="E247" s="37">
        <v>0</v>
      </c>
      <c r="F247" s="37">
        <v>17600</v>
      </c>
      <c r="G247" s="37">
        <v>17600</v>
      </c>
      <c r="H247" s="37"/>
      <c r="I247" s="37">
        <f t="shared" si="4"/>
        <v>0</v>
      </c>
      <c r="K247" t="s">
        <v>39</v>
      </c>
    </row>
    <row r="248" spans="2:11" ht="13" x14ac:dyDescent="0.15">
      <c r="B248" s="33" t="s">
        <v>380</v>
      </c>
      <c r="C248" s="33" t="s">
        <v>381</v>
      </c>
      <c r="D248" s="35"/>
      <c r="E248" s="34">
        <f>SUMIFS(E249:E747,K249:K747,"0",B249:B747,"2 1 1 7*")-SUMIFS(D249:D747,K249:K747,"0",B249:B747,"2 1 1 7*")</f>
        <v>193421.59999999998</v>
      </c>
      <c r="F248" s="34">
        <f>SUMIFS(F249:F747,K249:K747,"0",B249:B747,"2 1 1 7*")</f>
        <v>372607.57</v>
      </c>
      <c r="G248" s="34">
        <f>SUMIFS(G249:G747,K249:K747,"0",B249:B747,"2 1 1 7*")</f>
        <v>266685.92</v>
      </c>
      <c r="H248" s="34"/>
      <c r="I248" s="34">
        <f t="shared" si="4"/>
        <v>87499.949999999953</v>
      </c>
      <c r="K248" t="s">
        <v>15</v>
      </c>
    </row>
    <row r="249" spans="2:11" ht="13" x14ac:dyDescent="0.15">
      <c r="B249" s="33" t="s">
        <v>382</v>
      </c>
      <c r="C249" s="33" t="s">
        <v>383</v>
      </c>
      <c r="D249" s="35"/>
      <c r="E249" s="34">
        <f>SUMIFS(E250:E747,K250:K747,"0",B250:B747,"2 1 1 7 1*")-SUMIFS(D250:D747,K250:K747,"0",B250:B747,"2 1 1 7 1*")</f>
        <v>193421.59999999998</v>
      </c>
      <c r="F249" s="34">
        <f>SUMIFS(F250:F747,K250:K747,"0",B250:B747,"2 1 1 7 1*")</f>
        <v>372607.57</v>
      </c>
      <c r="G249" s="34">
        <f>SUMIFS(G250:G747,K250:K747,"0",B250:B747,"2 1 1 7 1*")</f>
        <v>266685.92</v>
      </c>
      <c r="H249" s="34"/>
      <c r="I249" s="34">
        <f t="shared" ref="I249:I280" si="5">E249 - F249 + G249</f>
        <v>87499.949999999953</v>
      </c>
      <c r="K249" t="s">
        <v>15</v>
      </c>
    </row>
    <row r="250" spans="2:11" ht="13" x14ac:dyDescent="0.15">
      <c r="B250" s="33" t="s">
        <v>384</v>
      </c>
      <c r="C250" s="33" t="s">
        <v>26</v>
      </c>
      <c r="D250" s="35"/>
      <c r="E250" s="34">
        <f>SUMIFS(E251:E747,K251:K747,"0",B251:B747,"2 1 1 7 1 12*")-SUMIFS(D251:D747,K251:K747,"0",B251:B747,"2 1 1 7 1 12*")</f>
        <v>193421.59999999998</v>
      </c>
      <c r="F250" s="34">
        <f>SUMIFS(F251:F747,K251:K747,"0",B251:B747,"2 1 1 7 1 12*")</f>
        <v>372607.57</v>
      </c>
      <c r="G250" s="34">
        <f>SUMIFS(G251:G747,K251:K747,"0",B251:B747,"2 1 1 7 1 12*")</f>
        <v>266685.92</v>
      </c>
      <c r="H250" s="34"/>
      <c r="I250" s="34">
        <f t="shared" si="5"/>
        <v>87499.949999999953</v>
      </c>
      <c r="K250" t="s">
        <v>15</v>
      </c>
    </row>
    <row r="251" spans="2:11" ht="13" x14ac:dyDescent="0.15">
      <c r="B251" s="33" t="s">
        <v>385</v>
      </c>
      <c r="C251" s="33" t="s">
        <v>28</v>
      </c>
      <c r="D251" s="35"/>
      <c r="E251" s="34">
        <f>SUMIFS(E252:E747,K252:K747,"0",B252:B747,"2 1 1 7 1 12 31111*")-SUMIFS(D252:D747,K252:K747,"0",B252:B747,"2 1 1 7 1 12 31111*")</f>
        <v>193421.59999999998</v>
      </c>
      <c r="F251" s="34">
        <f>SUMIFS(F252:F747,K252:K747,"0",B252:B747,"2 1 1 7 1 12 31111*")</f>
        <v>372607.57</v>
      </c>
      <c r="G251" s="34">
        <f>SUMIFS(G252:G747,K252:K747,"0",B252:B747,"2 1 1 7 1 12 31111*")</f>
        <v>266685.92</v>
      </c>
      <c r="H251" s="34"/>
      <c r="I251" s="34">
        <f t="shared" si="5"/>
        <v>87499.949999999953</v>
      </c>
      <c r="K251" t="s">
        <v>15</v>
      </c>
    </row>
    <row r="252" spans="2:11" ht="13" x14ac:dyDescent="0.15">
      <c r="B252" s="33" t="s">
        <v>386</v>
      </c>
      <c r="C252" s="33" t="s">
        <v>30</v>
      </c>
      <c r="D252" s="35"/>
      <c r="E252" s="34">
        <f>SUMIFS(E253:E747,K253:K747,"0",B253:B747,"2 1 1 7 1 12 31111 6*")-SUMIFS(D253:D747,K253:K747,"0",B253:B747,"2 1 1 7 1 12 31111 6*")</f>
        <v>193421.59999999998</v>
      </c>
      <c r="F252" s="34">
        <f>SUMIFS(F253:F747,K253:K747,"0",B253:B747,"2 1 1 7 1 12 31111 6*")</f>
        <v>372607.57</v>
      </c>
      <c r="G252" s="34">
        <f>SUMIFS(G253:G747,K253:K747,"0",B253:B747,"2 1 1 7 1 12 31111 6*")</f>
        <v>266685.92</v>
      </c>
      <c r="H252" s="34"/>
      <c r="I252" s="34">
        <f t="shared" si="5"/>
        <v>87499.949999999953</v>
      </c>
      <c r="K252" t="s">
        <v>15</v>
      </c>
    </row>
    <row r="253" spans="2:11" ht="13" x14ac:dyDescent="0.15">
      <c r="B253" s="33" t="s">
        <v>387</v>
      </c>
      <c r="C253" s="33" t="s">
        <v>32</v>
      </c>
      <c r="D253" s="35"/>
      <c r="E253" s="34">
        <f>SUMIFS(E254:E747,K254:K747,"0",B254:B747,"2 1 1 7 1 12 31111 6 M78*")-SUMIFS(D254:D747,K254:K747,"0",B254:B747,"2 1 1 7 1 12 31111 6 M78*")</f>
        <v>193421.59999999998</v>
      </c>
      <c r="F253" s="34">
        <f>SUMIFS(F254:F747,K254:K747,"0",B254:B747,"2 1 1 7 1 12 31111 6 M78*")</f>
        <v>372607.57</v>
      </c>
      <c r="G253" s="34">
        <f>SUMIFS(G254:G747,K254:K747,"0",B254:B747,"2 1 1 7 1 12 31111 6 M78*")</f>
        <v>266685.92</v>
      </c>
      <c r="H253" s="34"/>
      <c r="I253" s="34">
        <f t="shared" si="5"/>
        <v>87499.949999999953</v>
      </c>
      <c r="K253" t="s">
        <v>15</v>
      </c>
    </row>
    <row r="254" spans="2:11" ht="13" x14ac:dyDescent="0.15">
      <c r="B254" s="33" t="s">
        <v>388</v>
      </c>
      <c r="C254" s="33" t="s">
        <v>111</v>
      </c>
      <c r="D254" s="35"/>
      <c r="E254" s="34">
        <f>SUMIFS(E255:E747,K255:K747,"0",B255:B747,"2 1 1 7 1 12 31111 6 M78 00003*")-SUMIFS(D255:D747,K255:K747,"0",B255:B747,"2 1 1 7 1 12 31111 6 M78 00003*")</f>
        <v>193421.59999999998</v>
      </c>
      <c r="F254" s="34">
        <f>SUMIFS(F255:F747,K255:K747,"0",B255:B747,"2 1 1 7 1 12 31111 6 M78 00003*")</f>
        <v>372607.57</v>
      </c>
      <c r="G254" s="34">
        <f>SUMIFS(G255:G747,K255:K747,"0",B255:B747,"2 1 1 7 1 12 31111 6 M78 00003*")</f>
        <v>266685.92</v>
      </c>
      <c r="H254" s="34"/>
      <c r="I254" s="34">
        <f t="shared" si="5"/>
        <v>87499.949999999953</v>
      </c>
      <c r="K254" t="s">
        <v>15</v>
      </c>
    </row>
    <row r="255" spans="2:11" ht="22" x14ac:dyDescent="0.15">
      <c r="B255" s="36" t="s">
        <v>389</v>
      </c>
      <c r="C255" s="36" t="s">
        <v>390</v>
      </c>
      <c r="D255" s="37"/>
      <c r="E255" s="37">
        <v>-0.02</v>
      </c>
      <c r="F255" s="37">
        <v>0</v>
      </c>
      <c r="G255" s="37">
        <v>0</v>
      </c>
      <c r="H255" s="37"/>
      <c r="I255" s="37">
        <f t="shared" si="5"/>
        <v>-0.02</v>
      </c>
      <c r="K255" t="s">
        <v>39</v>
      </c>
    </row>
    <row r="256" spans="2:11" ht="22" x14ac:dyDescent="0.15">
      <c r="B256" s="36" t="s">
        <v>391</v>
      </c>
      <c r="C256" s="36" t="s">
        <v>392</v>
      </c>
      <c r="D256" s="37"/>
      <c r="E256" s="37">
        <v>-465.44</v>
      </c>
      <c r="F256" s="37">
        <v>0</v>
      </c>
      <c r="G256" s="37">
        <v>0</v>
      </c>
      <c r="H256" s="37"/>
      <c r="I256" s="37">
        <f t="shared" si="5"/>
        <v>-465.44</v>
      </c>
      <c r="K256" t="s">
        <v>39</v>
      </c>
    </row>
    <row r="257" spans="2:11" ht="22" x14ac:dyDescent="0.15">
      <c r="B257" s="36" t="s">
        <v>393</v>
      </c>
      <c r="C257" s="36" t="s">
        <v>394</v>
      </c>
      <c r="D257" s="37"/>
      <c r="E257" s="37">
        <v>30773.599999999999</v>
      </c>
      <c r="F257" s="37">
        <v>0</v>
      </c>
      <c r="G257" s="37">
        <v>0</v>
      </c>
      <c r="H257" s="37"/>
      <c r="I257" s="37">
        <f t="shared" si="5"/>
        <v>30773.599999999999</v>
      </c>
      <c r="K257" t="s">
        <v>39</v>
      </c>
    </row>
    <row r="258" spans="2:11" ht="22" x14ac:dyDescent="0.15">
      <c r="B258" s="36" t="s">
        <v>395</v>
      </c>
      <c r="C258" s="36" t="s">
        <v>396</v>
      </c>
      <c r="D258" s="37"/>
      <c r="E258" s="37">
        <v>163113.46</v>
      </c>
      <c r="F258" s="37">
        <v>153080.64000000001</v>
      </c>
      <c r="G258" s="37">
        <v>0</v>
      </c>
      <c r="H258" s="37"/>
      <c r="I258" s="37">
        <f t="shared" si="5"/>
        <v>10032.819999999978</v>
      </c>
      <c r="K258" t="s">
        <v>39</v>
      </c>
    </row>
    <row r="259" spans="2:11" ht="22" x14ac:dyDescent="0.15">
      <c r="B259" s="36" t="s">
        <v>397</v>
      </c>
      <c r="C259" s="36" t="s">
        <v>398</v>
      </c>
      <c r="D259" s="37"/>
      <c r="E259" s="37">
        <v>0</v>
      </c>
      <c r="F259" s="37">
        <v>219526.93</v>
      </c>
      <c r="G259" s="37">
        <v>266685.92</v>
      </c>
      <c r="H259" s="37"/>
      <c r="I259" s="37">
        <f t="shared" si="5"/>
        <v>47158.989999999991</v>
      </c>
      <c r="K259" t="s">
        <v>39</v>
      </c>
    </row>
    <row r="260" spans="2:11" ht="13" x14ac:dyDescent="0.15">
      <c r="B260" s="33" t="s">
        <v>399</v>
      </c>
      <c r="C260" s="33" t="s">
        <v>400</v>
      </c>
      <c r="D260" s="35"/>
      <c r="E260" s="34">
        <f>SUMIFS(E261:E747,K261:K747,"0",B261:B747,"2 1 1 9*")-SUMIFS(D261:D747,K261:K747,"0",B261:B747,"2 1 1 9*")</f>
        <v>15000</v>
      </c>
      <c r="F260" s="34">
        <f>SUMIFS(F261:F747,K261:K747,"0",B261:B747,"2 1 1 9*")</f>
        <v>400000</v>
      </c>
      <c r="G260" s="34">
        <f>SUMIFS(G261:G747,K261:K747,"0",B261:B747,"2 1 1 9*")</f>
        <v>400000</v>
      </c>
      <c r="H260" s="34"/>
      <c r="I260" s="34">
        <f t="shared" si="5"/>
        <v>15000</v>
      </c>
      <c r="K260" t="s">
        <v>15</v>
      </c>
    </row>
    <row r="261" spans="2:11" ht="13" x14ac:dyDescent="0.15">
      <c r="B261" s="33" t="s">
        <v>401</v>
      </c>
      <c r="C261" s="33" t="s">
        <v>402</v>
      </c>
      <c r="D261" s="35"/>
      <c r="E261" s="34">
        <f>SUMIFS(E262:E747,K262:K747,"0",B262:B747,"2 1 1 9 9*")-SUMIFS(D262:D747,K262:K747,"0",B262:B747,"2 1 1 9 9*")</f>
        <v>15000</v>
      </c>
      <c r="F261" s="34">
        <f>SUMIFS(F262:F747,K262:K747,"0",B262:B747,"2 1 1 9 9*")</f>
        <v>400000</v>
      </c>
      <c r="G261" s="34">
        <f>SUMIFS(G262:G747,K262:K747,"0",B262:B747,"2 1 1 9 9*")</f>
        <v>400000</v>
      </c>
      <c r="H261" s="34"/>
      <c r="I261" s="34">
        <f t="shared" si="5"/>
        <v>15000</v>
      </c>
      <c r="K261" t="s">
        <v>15</v>
      </c>
    </row>
    <row r="262" spans="2:11" ht="13" x14ac:dyDescent="0.15">
      <c r="B262" s="33" t="s">
        <v>403</v>
      </c>
      <c r="C262" s="33" t="s">
        <v>26</v>
      </c>
      <c r="D262" s="35"/>
      <c r="E262" s="34">
        <f>SUMIFS(E263:E747,K263:K747,"0",B263:B747,"2 1 1 9 9 12*")-SUMIFS(D263:D747,K263:K747,"0",B263:B747,"2 1 1 9 9 12*")</f>
        <v>15000</v>
      </c>
      <c r="F262" s="34">
        <f>SUMIFS(F263:F747,K263:K747,"0",B263:B747,"2 1 1 9 9 12*")</f>
        <v>400000</v>
      </c>
      <c r="G262" s="34">
        <f>SUMIFS(G263:G747,K263:K747,"0",B263:B747,"2 1 1 9 9 12*")</f>
        <v>400000</v>
      </c>
      <c r="H262" s="34"/>
      <c r="I262" s="34">
        <f t="shared" si="5"/>
        <v>15000</v>
      </c>
      <c r="K262" t="s">
        <v>15</v>
      </c>
    </row>
    <row r="263" spans="2:11" ht="13" x14ac:dyDescent="0.15">
      <c r="B263" s="33" t="s">
        <v>404</v>
      </c>
      <c r="C263" s="33" t="s">
        <v>28</v>
      </c>
      <c r="D263" s="35"/>
      <c r="E263" s="34">
        <f>SUMIFS(E264:E747,K264:K747,"0",B264:B747,"2 1 1 9 9 12 31111*")-SUMIFS(D264:D747,K264:K747,"0",B264:B747,"2 1 1 9 9 12 31111*")</f>
        <v>15000</v>
      </c>
      <c r="F263" s="34">
        <f>SUMIFS(F264:F747,K264:K747,"0",B264:B747,"2 1 1 9 9 12 31111*")</f>
        <v>400000</v>
      </c>
      <c r="G263" s="34">
        <f>SUMIFS(G264:G747,K264:K747,"0",B264:B747,"2 1 1 9 9 12 31111*")</f>
        <v>400000</v>
      </c>
      <c r="H263" s="34"/>
      <c r="I263" s="34">
        <f t="shared" si="5"/>
        <v>15000</v>
      </c>
      <c r="K263" t="s">
        <v>15</v>
      </c>
    </row>
    <row r="264" spans="2:11" ht="13" x14ac:dyDescent="0.15">
      <c r="B264" s="33" t="s">
        <v>405</v>
      </c>
      <c r="C264" s="33" t="s">
        <v>30</v>
      </c>
      <c r="D264" s="35"/>
      <c r="E264" s="34">
        <f>SUMIFS(E265:E747,K265:K747,"0",B265:B747,"2 1 1 9 9 12 31111 6*")-SUMIFS(D265:D747,K265:K747,"0",B265:B747,"2 1 1 9 9 12 31111 6*")</f>
        <v>15000</v>
      </c>
      <c r="F264" s="34">
        <f>SUMIFS(F265:F747,K265:K747,"0",B265:B747,"2 1 1 9 9 12 31111 6*")</f>
        <v>400000</v>
      </c>
      <c r="G264" s="34">
        <f>SUMIFS(G265:G747,K265:K747,"0",B265:B747,"2 1 1 9 9 12 31111 6*")</f>
        <v>400000</v>
      </c>
      <c r="H264" s="34"/>
      <c r="I264" s="34">
        <f t="shared" si="5"/>
        <v>15000</v>
      </c>
      <c r="K264" t="s">
        <v>15</v>
      </c>
    </row>
    <row r="265" spans="2:11" ht="13" x14ac:dyDescent="0.15">
      <c r="B265" s="33" t="s">
        <v>406</v>
      </c>
      <c r="C265" s="33" t="s">
        <v>32</v>
      </c>
      <c r="D265" s="35"/>
      <c r="E265" s="34">
        <f>SUMIFS(E266:E747,K266:K747,"0",B266:B747,"2 1 1 9 9 12 31111 6 M78*")-SUMIFS(D266:D747,K266:K747,"0",B266:B747,"2 1 1 9 9 12 31111 6 M78*")</f>
        <v>15000</v>
      </c>
      <c r="F265" s="34">
        <f>SUMIFS(F266:F747,K266:K747,"0",B266:B747,"2 1 1 9 9 12 31111 6 M78*")</f>
        <v>400000</v>
      </c>
      <c r="G265" s="34">
        <f>SUMIFS(G266:G747,K266:K747,"0",B266:B747,"2 1 1 9 9 12 31111 6 M78*")</f>
        <v>400000</v>
      </c>
      <c r="H265" s="34"/>
      <c r="I265" s="34">
        <f t="shared" si="5"/>
        <v>15000</v>
      </c>
      <c r="K265" t="s">
        <v>15</v>
      </c>
    </row>
    <row r="266" spans="2:11" ht="13" x14ac:dyDescent="0.15">
      <c r="B266" s="33" t="s">
        <v>407</v>
      </c>
      <c r="C266" s="33" t="s">
        <v>408</v>
      </c>
      <c r="D266" s="35"/>
      <c r="E266" s="34">
        <f>SUMIFS(E267:E747,K267:K747,"0",B267:B747,"2 1 1 9 9 12 31111 6 M78 00003*")-SUMIFS(D267:D747,K267:K747,"0",B267:B747,"2 1 1 9 9 12 31111 6 M78 00003*")</f>
        <v>15000</v>
      </c>
      <c r="F266" s="34">
        <f>SUMIFS(F267:F747,K267:K747,"0",B267:B747,"2 1 1 9 9 12 31111 6 M78 00003*")</f>
        <v>400000</v>
      </c>
      <c r="G266" s="34">
        <f>SUMIFS(G267:G747,K267:K747,"0",B267:B747,"2 1 1 9 9 12 31111 6 M78 00003*")</f>
        <v>400000</v>
      </c>
      <c r="H266" s="34"/>
      <c r="I266" s="34">
        <f t="shared" si="5"/>
        <v>15000</v>
      </c>
      <c r="K266" t="s">
        <v>15</v>
      </c>
    </row>
    <row r="267" spans="2:11" ht="22" x14ac:dyDescent="0.15">
      <c r="B267" s="33" t="s">
        <v>409</v>
      </c>
      <c r="C267" s="33" t="s">
        <v>36</v>
      </c>
      <c r="D267" s="35"/>
      <c r="E267" s="34">
        <f>SUMIFS(E268:E747,K268:K747,"0",B268:B747,"2 1 1 9 9 12 31111 6 M78 00003 001*")-SUMIFS(D268:D747,K268:K747,"0",B268:B747,"2 1 1 9 9 12 31111 6 M78 00003 001*")</f>
        <v>15000</v>
      </c>
      <c r="F267" s="34">
        <f>SUMIFS(F268:F747,K268:K747,"0",B268:B747,"2 1 1 9 9 12 31111 6 M78 00003 001*")</f>
        <v>400000</v>
      </c>
      <c r="G267" s="34">
        <f>SUMIFS(G268:G747,K268:K747,"0",B268:B747,"2 1 1 9 9 12 31111 6 M78 00003 001*")</f>
        <v>400000</v>
      </c>
      <c r="H267" s="34"/>
      <c r="I267" s="34">
        <f t="shared" si="5"/>
        <v>15000</v>
      </c>
      <c r="K267" t="s">
        <v>15</v>
      </c>
    </row>
    <row r="268" spans="2:11" ht="22" x14ac:dyDescent="0.15">
      <c r="B268" s="36" t="s">
        <v>410</v>
      </c>
      <c r="C268" s="36" t="s">
        <v>411</v>
      </c>
      <c r="D268" s="37"/>
      <c r="E268" s="37">
        <v>15000</v>
      </c>
      <c r="F268" s="37">
        <v>0</v>
      </c>
      <c r="G268" s="37">
        <v>0</v>
      </c>
      <c r="H268" s="37"/>
      <c r="I268" s="37">
        <f t="shared" si="5"/>
        <v>15000</v>
      </c>
      <c r="K268" t="s">
        <v>39</v>
      </c>
    </row>
    <row r="269" spans="2:11" ht="22" x14ac:dyDescent="0.15">
      <c r="B269" s="36" t="s">
        <v>412</v>
      </c>
      <c r="C269" s="36" t="s">
        <v>413</v>
      </c>
      <c r="D269" s="37"/>
      <c r="E269" s="37">
        <v>0</v>
      </c>
      <c r="F269" s="37">
        <v>400000</v>
      </c>
      <c r="G269" s="37">
        <v>400000</v>
      </c>
      <c r="H269" s="37"/>
      <c r="I269" s="37">
        <f t="shared" si="5"/>
        <v>0</v>
      </c>
      <c r="K269" t="s">
        <v>39</v>
      </c>
    </row>
    <row r="270" spans="2:11" ht="13" x14ac:dyDescent="0.15">
      <c r="B270" s="33" t="s">
        <v>414</v>
      </c>
      <c r="C270" s="33" t="s">
        <v>415</v>
      </c>
      <c r="D270" s="35"/>
      <c r="E270" s="34">
        <f>SUMIFS(E271:E747,K271:K747,"0",B271:B747,"3*")-SUMIFS(D271:D747,K271:K747,"0",B271:B747,"3*")</f>
        <v>2801274.31</v>
      </c>
      <c r="F270" s="34">
        <f>SUMIFS(F271:F747,K271:K747,"0",B271:B747,"3*")</f>
        <v>729256.88</v>
      </c>
      <c r="G270" s="34">
        <f>SUMIFS(G271:G747,K271:K747,"0",B271:B747,"3*")</f>
        <v>152454.82999999999</v>
      </c>
      <c r="H270" s="34"/>
      <c r="I270" s="34">
        <f t="shared" si="5"/>
        <v>2224472.2600000002</v>
      </c>
      <c r="K270" t="s">
        <v>15</v>
      </c>
    </row>
    <row r="271" spans="2:11" ht="13" x14ac:dyDescent="0.15">
      <c r="B271" s="33" t="s">
        <v>416</v>
      </c>
      <c r="C271" s="33" t="s">
        <v>417</v>
      </c>
      <c r="D271" s="35"/>
      <c r="E271" s="34">
        <f>SUMIFS(E272:E747,K272:K747,"0",B272:B747,"3 1*")-SUMIFS(D272:D747,K272:K747,"0",B272:B747,"3 1*")</f>
        <v>1479343.47</v>
      </c>
      <c r="F271" s="34">
        <f>SUMIFS(F272:F747,K272:K747,"0",B272:B747,"3 1*")</f>
        <v>0</v>
      </c>
      <c r="G271" s="34">
        <f>SUMIFS(G272:G747,K272:K747,"0",B272:B747,"3 1*")</f>
        <v>0</v>
      </c>
      <c r="H271" s="34"/>
      <c r="I271" s="34">
        <f t="shared" si="5"/>
        <v>1479343.47</v>
      </c>
      <c r="K271" t="s">
        <v>15</v>
      </c>
    </row>
    <row r="272" spans="2:11" ht="13" x14ac:dyDescent="0.15">
      <c r="B272" s="33" t="s">
        <v>418</v>
      </c>
      <c r="C272" s="33" t="s">
        <v>419</v>
      </c>
      <c r="D272" s="35"/>
      <c r="E272" s="34">
        <f>SUMIFS(E273:E747,K273:K747,"0",B273:B747,"3 1 1*")-SUMIFS(D273:D747,K273:K747,"0",B273:B747,"3 1 1*")</f>
        <v>1479343.47</v>
      </c>
      <c r="F272" s="34">
        <f>SUMIFS(F273:F747,K273:K747,"0",B273:B747,"3 1 1*")</f>
        <v>0</v>
      </c>
      <c r="G272" s="34">
        <f>SUMIFS(G273:G747,K273:K747,"0",B273:B747,"3 1 1*")</f>
        <v>0</v>
      </c>
      <c r="H272" s="34"/>
      <c r="I272" s="34">
        <f t="shared" si="5"/>
        <v>1479343.47</v>
      </c>
      <c r="K272" t="s">
        <v>15</v>
      </c>
    </row>
    <row r="273" spans="2:11" ht="13" x14ac:dyDescent="0.15">
      <c r="B273" s="33" t="s">
        <v>420</v>
      </c>
      <c r="C273" s="33" t="s">
        <v>419</v>
      </c>
      <c r="D273" s="35"/>
      <c r="E273" s="34">
        <f>SUMIFS(E274:E747,K274:K747,"0",B274:B747,"3 1 1 1*")-SUMIFS(D274:D747,K274:K747,"0",B274:B747,"3 1 1 1*")</f>
        <v>1479343.47</v>
      </c>
      <c r="F273" s="34">
        <f>SUMIFS(F274:F747,K274:K747,"0",B274:B747,"3 1 1 1*")</f>
        <v>0</v>
      </c>
      <c r="G273" s="34">
        <f>SUMIFS(G274:G747,K274:K747,"0",B274:B747,"3 1 1 1*")</f>
        <v>0</v>
      </c>
      <c r="H273" s="34"/>
      <c r="I273" s="34">
        <f t="shared" si="5"/>
        <v>1479343.47</v>
      </c>
      <c r="K273" t="s">
        <v>15</v>
      </c>
    </row>
    <row r="274" spans="2:11" ht="13" x14ac:dyDescent="0.15">
      <c r="B274" s="33" t="s">
        <v>421</v>
      </c>
      <c r="C274" s="33" t="s">
        <v>419</v>
      </c>
      <c r="D274" s="35"/>
      <c r="E274" s="34">
        <f>SUMIFS(E275:E747,K275:K747,"0",B275:B747,"3 1 1 1 1*")-SUMIFS(D275:D747,K275:K747,"0",B275:B747,"3 1 1 1 1*")</f>
        <v>1479343.47</v>
      </c>
      <c r="F274" s="34">
        <f>SUMIFS(F275:F747,K275:K747,"0",B275:B747,"3 1 1 1 1*")</f>
        <v>0</v>
      </c>
      <c r="G274" s="34">
        <f>SUMIFS(G275:G747,K275:K747,"0",B275:B747,"3 1 1 1 1*")</f>
        <v>0</v>
      </c>
      <c r="H274" s="34"/>
      <c r="I274" s="34">
        <f t="shared" si="5"/>
        <v>1479343.47</v>
      </c>
      <c r="K274" t="s">
        <v>15</v>
      </c>
    </row>
    <row r="275" spans="2:11" ht="13" x14ac:dyDescent="0.15">
      <c r="B275" s="33" t="s">
        <v>422</v>
      </c>
      <c r="C275" s="33" t="s">
        <v>26</v>
      </c>
      <c r="D275" s="35"/>
      <c r="E275" s="34">
        <f>SUMIFS(E276:E747,K276:K747,"0",B276:B747,"3 1 1 1 1 12*")-SUMIFS(D276:D747,K276:K747,"0",B276:B747,"3 1 1 1 1 12*")</f>
        <v>1479343.47</v>
      </c>
      <c r="F275" s="34">
        <f>SUMIFS(F276:F747,K276:K747,"0",B276:B747,"3 1 1 1 1 12*")</f>
        <v>0</v>
      </c>
      <c r="G275" s="34">
        <f>SUMIFS(G276:G747,K276:K747,"0",B276:B747,"3 1 1 1 1 12*")</f>
        <v>0</v>
      </c>
      <c r="H275" s="34"/>
      <c r="I275" s="34">
        <f t="shared" si="5"/>
        <v>1479343.47</v>
      </c>
      <c r="K275" t="s">
        <v>15</v>
      </c>
    </row>
    <row r="276" spans="2:11" ht="13" x14ac:dyDescent="0.15">
      <c r="B276" s="33" t="s">
        <v>423</v>
      </c>
      <c r="C276" s="33" t="s">
        <v>28</v>
      </c>
      <c r="D276" s="35"/>
      <c r="E276" s="34">
        <f>SUMIFS(E277:E747,K277:K747,"0",B277:B747,"3 1 1 1 1 12 31111*")-SUMIFS(D277:D747,K277:K747,"0",B277:B747,"3 1 1 1 1 12 31111*")</f>
        <v>1479343.47</v>
      </c>
      <c r="F276" s="34">
        <f>SUMIFS(F277:F747,K277:K747,"0",B277:B747,"3 1 1 1 1 12 31111*")</f>
        <v>0</v>
      </c>
      <c r="G276" s="34">
        <f>SUMIFS(G277:G747,K277:K747,"0",B277:B747,"3 1 1 1 1 12 31111*")</f>
        <v>0</v>
      </c>
      <c r="H276" s="34"/>
      <c r="I276" s="34">
        <f t="shared" si="5"/>
        <v>1479343.47</v>
      </c>
      <c r="K276" t="s">
        <v>15</v>
      </c>
    </row>
    <row r="277" spans="2:11" ht="13" x14ac:dyDescent="0.15">
      <c r="B277" s="33" t="s">
        <v>424</v>
      </c>
      <c r="C277" s="33" t="s">
        <v>30</v>
      </c>
      <c r="D277" s="35"/>
      <c r="E277" s="34">
        <f>SUMIFS(E278:E747,K278:K747,"0",B278:B747,"3 1 1 1 1 12 31111 6*")-SUMIFS(D278:D747,K278:K747,"0",B278:B747,"3 1 1 1 1 12 31111 6*")</f>
        <v>1479343.47</v>
      </c>
      <c r="F277" s="34">
        <f>SUMIFS(F278:F747,K278:K747,"0",B278:B747,"3 1 1 1 1 12 31111 6*")</f>
        <v>0</v>
      </c>
      <c r="G277" s="34">
        <f>SUMIFS(G278:G747,K278:K747,"0",B278:B747,"3 1 1 1 1 12 31111 6*")</f>
        <v>0</v>
      </c>
      <c r="H277" s="34"/>
      <c r="I277" s="34">
        <f t="shared" si="5"/>
        <v>1479343.47</v>
      </c>
      <c r="K277" t="s">
        <v>15</v>
      </c>
    </row>
    <row r="278" spans="2:11" ht="13" x14ac:dyDescent="0.15">
      <c r="B278" s="33" t="s">
        <v>425</v>
      </c>
      <c r="C278" s="33" t="s">
        <v>32</v>
      </c>
      <c r="D278" s="35"/>
      <c r="E278" s="34">
        <f>SUMIFS(E279:E747,K279:K747,"0",B279:B747,"3 1 1 1 1 12 31111 6 M78*")-SUMIFS(D279:D747,K279:K747,"0",B279:B747,"3 1 1 1 1 12 31111 6 M78*")</f>
        <v>1479343.47</v>
      </c>
      <c r="F278" s="34">
        <f>SUMIFS(F279:F747,K279:K747,"0",B279:B747,"3 1 1 1 1 12 31111 6 M78*")</f>
        <v>0</v>
      </c>
      <c r="G278" s="34">
        <f>SUMIFS(G279:G747,K279:K747,"0",B279:B747,"3 1 1 1 1 12 31111 6 M78*")</f>
        <v>0</v>
      </c>
      <c r="H278" s="34"/>
      <c r="I278" s="34">
        <f t="shared" si="5"/>
        <v>1479343.47</v>
      </c>
      <c r="K278" t="s">
        <v>15</v>
      </c>
    </row>
    <row r="279" spans="2:11" ht="13" x14ac:dyDescent="0.15">
      <c r="B279" s="36" t="s">
        <v>426</v>
      </c>
      <c r="C279" s="36" t="s">
        <v>111</v>
      </c>
      <c r="D279" s="37"/>
      <c r="E279" s="37">
        <v>1479343.47</v>
      </c>
      <c r="F279" s="37">
        <v>0</v>
      </c>
      <c r="G279" s="37">
        <v>0</v>
      </c>
      <c r="H279" s="37"/>
      <c r="I279" s="37">
        <f t="shared" si="5"/>
        <v>1479343.47</v>
      </c>
      <c r="K279" t="s">
        <v>39</v>
      </c>
    </row>
    <row r="280" spans="2:11" ht="13" x14ac:dyDescent="0.15">
      <c r="B280" s="33" t="s">
        <v>427</v>
      </c>
      <c r="C280" s="33" t="s">
        <v>428</v>
      </c>
      <c r="D280" s="35"/>
      <c r="E280" s="34">
        <f>SUMIFS(E281:E747,K281:K747,"0",B281:B747,"3 2*")-SUMIFS(D281:D747,K281:K747,"0",B281:B747,"3 2*")</f>
        <v>1321930.8400000001</v>
      </c>
      <c r="F280" s="34">
        <f>SUMIFS(F281:F747,K281:K747,"0",B281:B747,"3 2*")</f>
        <v>729256.88</v>
      </c>
      <c r="G280" s="34">
        <f>SUMIFS(G281:G747,K281:K747,"0",B281:B747,"3 2*")</f>
        <v>152454.82999999999</v>
      </c>
      <c r="H280" s="34"/>
      <c r="I280" s="34">
        <f t="shared" si="5"/>
        <v>745128.79</v>
      </c>
      <c r="K280" t="s">
        <v>15</v>
      </c>
    </row>
    <row r="281" spans="2:11" ht="13" x14ac:dyDescent="0.15">
      <c r="B281" s="33" t="s">
        <v>429</v>
      </c>
      <c r="C281" s="33" t="s">
        <v>430</v>
      </c>
      <c r="D281" s="35"/>
      <c r="E281" s="34">
        <f>SUMIFS(E282:E747,K282:K747,"0",B282:B747,"3 2 2*")-SUMIFS(D282:D747,K282:K747,"0",B282:B747,"3 2 2*")</f>
        <v>1321930.8400000001</v>
      </c>
      <c r="F281" s="34">
        <f>SUMIFS(F282:F747,K282:K747,"0",B282:B747,"3 2 2*")</f>
        <v>729256.88</v>
      </c>
      <c r="G281" s="34">
        <f>SUMIFS(G282:G747,K282:K747,"0",B282:B747,"3 2 2*")</f>
        <v>152454.82999999999</v>
      </c>
      <c r="H281" s="34"/>
      <c r="I281" s="34">
        <f t="shared" ref="I281:I312" si="6">E281 - F281 + G281</f>
        <v>745128.79</v>
      </c>
      <c r="K281" t="s">
        <v>15</v>
      </c>
    </row>
    <row r="282" spans="2:11" ht="13" x14ac:dyDescent="0.15">
      <c r="B282" s="33" t="s">
        <v>431</v>
      </c>
      <c r="C282" s="33" t="s">
        <v>430</v>
      </c>
      <c r="D282" s="35"/>
      <c r="E282" s="34">
        <f>SUMIFS(E283:E747,K283:K747,"0",B283:B747,"3 2 2 1*")-SUMIFS(D283:D747,K283:K747,"0",B283:B747,"3 2 2 1*")</f>
        <v>1321930.8400000001</v>
      </c>
      <c r="F282" s="34">
        <f>SUMIFS(F283:F747,K283:K747,"0",B283:B747,"3 2 2 1*")</f>
        <v>729256.88</v>
      </c>
      <c r="G282" s="34">
        <f>SUMIFS(G283:G747,K283:K747,"0",B283:B747,"3 2 2 1*")</f>
        <v>152454.82999999999</v>
      </c>
      <c r="H282" s="34"/>
      <c r="I282" s="34">
        <f t="shared" si="6"/>
        <v>745128.79</v>
      </c>
      <c r="K282" t="s">
        <v>15</v>
      </c>
    </row>
    <row r="283" spans="2:11" ht="13" x14ac:dyDescent="0.15">
      <c r="B283" s="33" t="s">
        <v>432</v>
      </c>
      <c r="C283" s="33" t="s">
        <v>433</v>
      </c>
      <c r="D283" s="35"/>
      <c r="E283" s="34">
        <f>SUMIFS(E284:E747,K284:K747,"0",B284:B747,"3 2 2 1 1*")-SUMIFS(D284:D747,K284:K747,"0",B284:B747,"3 2 2 1 1*")</f>
        <v>1321930.8400000001</v>
      </c>
      <c r="F283" s="34">
        <f>SUMIFS(F284:F747,K284:K747,"0",B284:B747,"3 2 2 1 1*")</f>
        <v>729256.88</v>
      </c>
      <c r="G283" s="34">
        <f>SUMIFS(G284:G747,K284:K747,"0",B284:B747,"3 2 2 1 1*")</f>
        <v>152454.82999999999</v>
      </c>
      <c r="H283" s="34"/>
      <c r="I283" s="34">
        <f t="shared" si="6"/>
        <v>745128.79</v>
      </c>
      <c r="K283" t="s">
        <v>15</v>
      </c>
    </row>
    <row r="284" spans="2:11" ht="13" x14ac:dyDescent="0.15">
      <c r="B284" s="33" t="s">
        <v>434</v>
      </c>
      <c r="C284" s="33" t="s">
        <v>26</v>
      </c>
      <c r="D284" s="35"/>
      <c r="E284" s="34">
        <f>SUMIFS(E285:E747,K285:K747,"0",B285:B747,"3 2 2 1 1 12*")-SUMIFS(D285:D747,K285:K747,"0",B285:B747,"3 2 2 1 1 12*")</f>
        <v>1321930.8400000001</v>
      </c>
      <c r="F284" s="34">
        <f>SUMIFS(F285:F747,K285:K747,"0",B285:B747,"3 2 2 1 1 12*")</f>
        <v>729256.88</v>
      </c>
      <c r="G284" s="34">
        <f>SUMIFS(G285:G747,K285:K747,"0",B285:B747,"3 2 2 1 1 12*")</f>
        <v>152454.82999999999</v>
      </c>
      <c r="H284" s="34"/>
      <c r="I284" s="34">
        <f t="shared" si="6"/>
        <v>745128.79</v>
      </c>
      <c r="K284" t="s">
        <v>15</v>
      </c>
    </row>
    <row r="285" spans="2:11" ht="13" x14ac:dyDescent="0.15">
      <c r="B285" s="33" t="s">
        <v>435</v>
      </c>
      <c r="C285" s="33" t="s">
        <v>28</v>
      </c>
      <c r="D285" s="35"/>
      <c r="E285" s="34">
        <f>SUMIFS(E286:E747,K286:K747,"0",B286:B747,"3 2 2 1 1 12 31111*")-SUMIFS(D286:D747,K286:K747,"0",B286:B747,"3 2 2 1 1 12 31111*")</f>
        <v>1321930.8400000001</v>
      </c>
      <c r="F285" s="34">
        <f>SUMIFS(F286:F747,K286:K747,"0",B286:B747,"3 2 2 1 1 12 31111*")</f>
        <v>729256.88</v>
      </c>
      <c r="G285" s="34">
        <f>SUMIFS(G286:G747,K286:K747,"0",B286:B747,"3 2 2 1 1 12 31111*")</f>
        <v>152454.82999999999</v>
      </c>
      <c r="H285" s="34"/>
      <c r="I285" s="34">
        <f t="shared" si="6"/>
        <v>745128.79</v>
      </c>
      <c r="K285" t="s">
        <v>15</v>
      </c>
    </row>
    <row r="286" spans="2:11" ht="13" x14ac:dyDescent="0.15">
      <c r="B286" s="33" t="s">
        <v>436</v>
      </c>
      <c r="C286" s="33" t="s">
        <v>30</v>
      </c>
      <c r="D286" s="35"/>
      <c r="E286" s="34">
        <f>SUMIFS(E287:E747,K287:K747,"0",B287:B747,"3 2 2 1 1 12 31111 6*")-SUMIFS(D287:D747,K287:K747,"0",B287:B747,"3 2 2 1 1 12 31111 6*")</f>
        <v>1321930.8400000001</v>
      </c>
      <c r="F286" s="34">
        <f>SUMIFS(F287:F747,K287:K747,"0",B287:B747,"3 2 2 1 1 12 31111 6*")</f>
        <v>729256.88</v>
      </c>
      <c r="G286" s="34">
        <f>SUMIFS(G287:G747,K287:K747,"0",B287:B747,"3 2 2 1 1 12 31111 6*")</f>
        <v>152454.82999999999</v>
      </c>
      <c r="H286" s="34"/>
      <c r="I286" s="34">
        <f t="shared" si="6"/>
        <v>745128.79</v>
      </c>
      <c r="K286" t="s">
        <v>15</v>
      </c>
    </row>
    <row r="287" spans="2:11" ht="13" x14ac:dyDescent="0.15">
      <c r="B287" s="33" t="s">
        <v>437</v>
      </c>
      <c r="C287" s="33" t="s">
        <v>32</v>
      </c>
      <c r="D287" s="35"/>
      <c r="E287" s="34">
        <f>SUMIFS(E288:E747,K288:K747,"0",B288:B747,"3 2 2 1 1 12 31111 6 M78*")-SUMIFS(D288:D747,K288:K747,"0",B288:B747,"3 2 2 1 1 12 31111 6 M78*")</f>
        <v>1321930.8400000001</v>
      </c>
      <c r="F287" s="34">
        <f>SUMIFS(F288:F747,K288:K747,"0",B288:B747,"3 2 2 1 1 12 31111 6 M78*")</f>
        <v>729256.88</v>
      </c>
      <c r="G287" s="34">
        <f>SUMIFS(G288:G747,K288:K747,"0",B288:B747,"3 2 2 1 1 12 31111 6 M78*")</f>
        <v>152454.82999999999</v>
      </c>
      <c r="H287" s="34"/>
      <c r="I287" s="34">
        <f t="shared" si="6"/>
        <v>745128.79</v>
      </c>
      <c r="K287" t="s">
        <v>15</v>
      </c>
    </row>
    <row r="288" spans="2:11" ht="13" x14ac:dyDescent="0.15">
      <c r="B288" s="36" t="s">
        <v>438</v>
      </c>
      <c r="C288" s="36" t="s">
        <v>111</v>
      </c>
      <c r="D288" s="37"/>
      <c r="E288" s="37">
        <v>1321930.8400000001</v>
      </c>
      <c r="F288" s="37">
        <v>729256.88</v>
      </c>
      <c r="G288" s="37">
        <v>152454.82999999999</v>
      </c>
      <c r="H288" s="37"/>
      <c r="I288" s="37">
        <f t="shared" si="6"/>
        <v>745128.79</v>
      </c>
      <c r="K288" t="s">
        <v>39</v>
      </c>
    </row>
    <row r="289" spans="2:11" ht="13" x14ac:dyDescent="0.15">
      <c r="B289" s="33" t="s">
        <v>439</v>
      </c>
      <c r="C289" s="33" t="s">
        <v>440</v>
      </c>
      <c r="D289" s="35"/>
      <c r="E289" s="34">
        <f>SUMIFS(E290:E747,K290:K747,"0",B290:B747,"4*")-SUMIFS(D290:D747,K290:K747,"0",B290:B747,"4*")</f>
        <v>0</v>
      </c>
      <c r="F289" s="34">
        <f>SUMIFS(F290:F747,K290:K747,"0",B290:B747,"4*")</f>
        <v>0</v>
      </c>
      <c r="G289" s="34">
        <f>SUMIFS(G290:G747,K290:K747,"0",B290:B747,"4*")</f>
        <v>8378383.3300000001</v>
      </c>
      <c r="H289" s="34"/>
      <c r="I289" s="34">
        <f t="shared" si="6"/>
        <v>8378383.3300000001</v>
      </c>
      <c r="K289" t="s">
        <v>15</v>
      </c>
    </row>
    <row r="290" spans="2:11" ht="13" x14ac:dyDescent="0.15">
      <c r="B290" s="33" t="s">
        <v>441</v>
      </c>
      <c r="C290" s="33" t="s">
        <v>442</v>
      </c>
      <c r="D290" s="35"/>
      <c r="E290" s="34">
        <f>SUMIFS(E291:E747,K291:K747,"0",B291:B747,"4 1*")-SUMIFS(D291:D747,K291:K747,"0",B291:B747,"4 1*")</f>
        <v>0</v>
      </c>
      <c r="F290" s="34">
        <f>SUMIFS(F291:F747,K291:K747,"0",B291:B747,"4 1*")</f>
        <v>0</v>
      </c>
      <c r="G290" s="34">
        <f>SUMIFS(G291:G747,K291:K747,"0",B291:B747,"4 1*")</f>
        <v>8703.5499999999993</v>
      </c>
      <c r="H290" s="34"/>
      <c r="I290" s="34">
        <f t="shared" si="6"/>
        <v>8703.5499999999993</v>
      </c>
      <c r="K290" t="s">
        <v>15</v>
      </c>
    </row>
    <row r="291" spans="2:11" ht="13" x14ac:dyDescent="0.15">
      <c r="B291" s="33" t="s">
        <v>443</v>
      </c>
      <c r="C291" s="33" t="s">
        <v>99</v>
      </c>
      <c r="D291" s="35"/>
      <c r="E291" s="34">
        <f>SUMIFS(E292:E747,K292:K747,"0",B292:B747,"4 1 5*")-SUMIFS(D292:D747,K292:K747,"0",B292:B747,"4 1 5*")</f>
        <v>0</v>
      </c>
      <c r="F291" s="34">
        <f>SUMIFS(F292:F747,K292:K747,"0",B292:B747,"4 1 5*")</f>
        <v>0</v>
      </c>
      <c r="G291" s="34">
        <f>SUMIFS(G292:G747,K292:K747,"0",B292:B747,"4 1 5*")</f>
        <v>8703.5499999999993</v>
      </c>
      <c r="H291" s="34"/>
      <c r="I291" s="34">
        <f t="shared" si="6"/>
        <v>8703.5499999999993</v>
      </c>
      <c r="K291" t="s">
        <v>15</v>
      </c>
    </row>
    <row r="292" spans="2:11" ht="13" x14ac:dyDescent="0.15">
      <c r="B292" s="33" t="s">
        <v>444</v>
      </c>
      <c r="C292" s="33" t="s">
        <v>99</v>
      </c>
      <c r="D292" s="35"/>
      <c r="E292" s="34">
        <f>SUMIFS(E293:E747,K293:K747,"0",B293:B747,"4 1 5 1*")-SUMIFS(D293:D747,K293:K747,"0",B293:B747,"4 1 5 1*")</f>
        <v>0</v>
      </c>
      <c r="F292" s="34">
        <f>SUMIFS(F293:F747,K293:K747,"0",B293:B747,"4 1 5 1*")</f>
        <v>0</v>
      </c>
      <c r="G292" s="34">
        <f>SUMIFS(G293:G747,K293:K747,"0",B293:B747,"4 1 5 1*")</f>
        <v>8703.5499999999993</v>
      </c>
      <c r="H292" s="34"/>
      <c r="I292" s="34">
        <f t="shared" si="6"/>
        <v>8703.5499999999993</v>
      </c>
      <c r="K292" t="s">
        <v>15</v>
      </c>
    </row>
    <row r="293" spans="2:11" ht="22" x14ac:dyDescent="0.15">
      <c r="B293" s="33" t="s">
        <v>445</v>
      </c>
      <c r="C293" s="33" t="s">
        <v>446</v>
      </c>
      <c r="D293" s="35"/>
      <c r="E293" s="34">
        <f>SUMIFS(E294:E747,K294:K747,"0",B294:B747,"4 1 5 1 1*")-SUMIFS(D294:D747,K294:K747,"0",B294:B747,"4 1 5 1 1*")</f>
        <v>0</v>
      </c>
      <c r="F293" s="34">
        <f>SUMIFS(F294:F747,K294:K747,"0",B294:B747,"4 1 5 1 1*")</f>
        <v>0</v>
      </c>
      <c r="G293" s="34">
        <f>SUMIFS(G294:G747,K294:K747,"0",B294:B747,"4 1 5 1 1*")</f>
        <v>8703.5499999999993</v>
      </c>
      <c r="H293" s="34"/>
      <c r="I293" s="34">
        <f t="shared" si="6"/>
        <v>8703.5499999999993</v>
      </c>
      <c r="K293" t="s">
        <v>15</v>
      </c>
    </row>
    <row r="294" spans="2:11" ht="13" x14ac:dyDescent="0.15">
      <c r="B294" s="33" t="s">
        <v>447</v>
      </c>
      <c r="C294" s="33" t="s">
        <v>26</v>
      </c>
      <c r="D294" s="35"/>
      <c r="E294" s="34">
        <f>SUMIFS(E295:E747,K295:K747,"0",B295:B747,"4 1 5 1 1 12*")-SUMIFS(D295:D747,K295:K747,"0",B295:B747,"4 1 5 1 1 12*")</f>
        <v>0</v>
      </c>
      <c r="F294" s="34">
        <f>SUMIFS(F295:F747,K295:K747,"0",B295:B747,"4 1 5 1 1 12*")</f>
        <v>0</v>
      </c>
      <c r="G294" s="34">
        <f>SUMIFS(G295:G747,K295:K747,"0",B295:B747,"4 1 5 1 1 12*")</f>
        <v>8703.5499999999993</v>
      </c>
      <c r="H294" s="34"/>
      <c r="I294" s="34">
        <f t="shared" si="6"/>
        <v>8703.5499999999993</v>
      </c>
      <c r="K294" t="s">
        <v>15</v>
      </c>
    </row>
    <row r="295" spans="2:11" ht="13" x14ac:dyDescent="0.15">
      <c r="B295" s="33" t="s">
        <v>448</v>
      </c>
      <c r="C295" s="33" t="s">
        <v>28</v>
      </c>
      <c r="D295" s="35"/>
      <c r="E295" s="34">
        <f>SUMIFS(E296:E747,K296:K747,"0",B296:B747,"4 1 5 1 1 12 31111*")-SUMIFS(D296:D747,K296:K747,"0",B296:B747,"4 1 5 1 1 12 31111*")</f>
        <v>0</v>
      </c>
      <c r="F295" s="34">
        <f>SUMIFS(F296:F747,K296:K747,"0",B296:B747,"4 1 5 1 1 12 31111*")</f>
        <v>0</v>
      </c>
      <c r="G295" s="34">
        <f>SUMIFS(G296:G747,K296:K747,"0",B296:B747,"4 1 5 1 1 12 31111*")</f>
        <v>8703.5499999999993</v>
      </c>
      <c r="H295" s="34"/>
      <c r="I295" s="34">
        <f t="shared" si="6"/>
        <v>8703.5499999999993</v>
      </c>
      <c r="K295" t="s">
        <v>15</v>
      </c>
    </row>
    <row r="296" spans="2:11" ht="13" x14ac:dyDescent="0.15">
      <c r="B296" s="33" t="s">
        <v>449</v>
      </c>
      <c r="C296" s="33" t="s">
        <v>30</v>
      </c>
      <c r="D296" s="35"/>
      <c r="E296" s="34">
        <f>SUMIFS(E297:E747,K297:K747,"0",B297:B747,"4 1 5 1 1 12 31111 6*")-SUMIFS(D297:D747,K297:K747,"0",B297:B747,"4 1 5 1 1 12 31111 6*")</f>
        <v>0</v>
      </c>
      <c r="F296" s="34">
        <f>SUMIFS(F297:F747,K297:K747,"0",B297:B747,"4 1 5 1 1 12 31111 6*")</f>
        <v>0</v>
      </c>
      <c r="G296" s="34">
        <f>SUMIFS(G297:G747,K297:K747,"0",B297:B747,"4 1 5 1 1 12 31111 6*")</f>
        <v>8703.5499999999993</v>
      </c>
      <c r="H296" s="34"/>
      <c r="I296" s="34">
        <f t="shared" si="6"/>
        <v>8703.5499999999993</v>
      </c>
      <c r="K296" t="s">
        <v>15</v>
      </c>
    </row>
    <row r="297" spans="2:11" ht="13" x14ac:dyDescent="0.15">
      <c r="B297" s="33" t="s">
        <v>450</v>
      </c>
      <c r="C297" s="33" t="s">
        <v>32</v>
      </c>
      <c r="D297" s="35"/>
      <c r="E297" s="34">
        <f>SUMIFS(E298:E747,K298:K747,"0",B298:B747,"4 1 5 1 1 12 31111 6 M78*")-SUMIFS(D298:D747,K298:K747,"0",B298:B747,"4 1 5 1 1 12 31111 6 M78*")</f>
        <v>0</v>
      </c>
      <c r="F297" s="34">
        <f>SUMIFS(F298:F747,K298:K747,"0",B298:B747,"4 1 5 1 1 12 31111 6 M78*")</f>
        <v>0</v>
      </c>
      <c r="G297" s="34">
        <f>SUMIFS(G298:G747,K298:K747,"0",B298:B747,"4 1 5 1 1 12 31111 6 M78*")</f>
        <v>8703.5499999999993</v>
      </c>
      <c r="H297" s="34"/>
      <c r="I297" s="34">
        <f t="shared" si="6"/>
        <v>8703.5499999999993</v>
      </c>
      <c r="K297" t="s">
        <v>15</v>
      </c>
    </row>
    <row r="298" spans="2:11" ht="13" x14ac:dyDescent="0.15">
      <c r="B298" s="33" t="s">
        <v>451</v>
      </c>
      <c r="C298" s="33" t="s">
        <v>163</v>
      </c>
      <c r="D298" s="35"/>
      <c r="E298" s="34">
        <f>SUMIFS(E299:E747,K299:K747,"0",B299:B747,"4 1 5 1 1 12 31111 6 M78 15000*")-SUMIFS(D299:D747,K299:K747,"0",B299:B747,"4 1 5 1 1 12 31111 6 M78 15000*")</f>
        <v>0</v>
      </c>
      <c r="F298" s="34">
        <f>SUMIFS(F299:F747,K299:K747,"0",B299:B747,"4 1 5 1 1 12 31111 6 M78 15000*")</f>
        <v>0</v>
      </c>
      <c r="G298" s="34">
        <f>SUMIFS(G299:G747,K299:K747,"0",B299:B747,"4 1 5 1 1 12 31111 6 M78 15000*")</f>
        <v>8703.5499999999993</v>
      </c>
      <c r="H298" s="34"/>
      <c r="I298" s="34">
        <f t="shared" si="6"/>
        <v>8703.5499999999993</v>
      </c>
      <c r="K298" t="s">
        <v>15</v>
      </c>
    </row>
    <row r="299" spans="2:11" ht="22" x14ac:dyDescent="0.15">
      <c r="B299" s="33" t="s">
        <v>452</v>
      </c>
      <c r="C299" s="33" t="s">
        <v>165</v>
      </c>
      <c r="D299" s="35"/>
      <c r="E299" s="34">
        <f>SUMIFS(E300:E747,K300:K747,"0",B300:B747,"4 1 5 1 1 12 31111 6 M78 15000 171*")-SUMIFS(D300:D747,K300:K747,"0",B300:B747,"4 1 5 1 1 12 31111 6 M78 15000 171*")</f>
        <v>0</v>
      </c>
      <c r="F299" s="34">
        <f>SUMIFS(F300:F747,K300:K747,"0",B300:B747,"4 1 5 1 1 12 31111 6 M78 15000 171*")</f>
        <v>0</v>
      </c>
      <c r="G299" s="34">
        <f>SUMIFS(G300:G747,K300:K747,"0",B300:B747,"4 1 5 1 1 12 31111 6 M78 15000 171*")</f>
        <v>8703.5499999999993</v>
      </c>
      <c r="H299" s="34"/>
      <c r="I299" s="34">
        <f t="shared" si="6"/>
        <v>8703.5499999999993</v>
      </c>
      <c r="K299" t="s">
        <v>15</v>
      </c>
    </row>
    <row r="300" spans="2:11" ht="22" x14ac:dyDescent="0.15">
      <c r="B300" s="33" t="s">
        <v>453</v>
      </c>
      <c r="C300" s="33" t="s">
        <v>167</v>
      </c>
      <c r="D300" s="35"/>
      <c r="E300" s="34">
        <f>SUMIFS(E301:E747,K301:K747,"0",B301:B747,"4 1 5 1 1 12 31111 6 M78 15000 171 00I*")-SUMIFS(D301:D747,K301:K747,"0",B301:B747,"4 1 5 1 1 12 31111 6 M78 15000 171 00I*")</f>
        <v>0</v>
      </c>
      <c r="F300" s="34">
        <f>SUMIFS(F301:F747,K301:K747,"0",B301:B747,"4 1 5 1 1 12 31111 6 M78 15000 171 00I*")</f>
        <v>0</v>
      </c>
      <c r="G300" s="34">
        <f>SUMIFS(G301:G747,K301:K747,"0",B301:B747,"4 1 5 1 1 12 31111 6 M78 15000 171 00I*")</f>
        <v>8703.5499999999993</v>
      </c>
      <c r="H300" s="34"/>
      <c r="I300" s="34">
        <f t="shared" si="6"/>
        <v>8703.5499999999993</v>
      </c>
      <c r="K300" t="s">
        <v>15</v>
      </c>
    </row>
    <row r="301" spans="2:11" ht="22" x14ac:dyDescent="0.15">
      <c r="B301" s="33" t="s">
        <v>454</v>
      </c>
      <c r="C301" s="33" t="s">
        <v>455</v>
      </c>
      <c r="D301" s="35"/>
      <c r="E301" s="34">
        <f>SUMIFS(E302:E747,K302:K747,"0",B302:B747,"4 1 5 1 1 12 31111 6 M78 15000 171 00I 001*")-SUMIFS(D302:D747,K302:K747,"0",B302:B747,"4 1 5 1 1 12 31111 6 M78 15000 171 00I 001*")</f>
        <v>0</v>
      </c>
      <c r="F301" s="34">
        <f>SUMIFS(F302:F747,K302:K747,"0",B302:B747,"4 1 5 1 1 12 31111 6 M78 15000 171 00I 001*")</f>
        <v>0</v>
      </c>
      <c r="G301" s="34">
        <f>SUMIFS(G302:G747,K302:K747,"0",B302:B747,"4 1 5 1 1 12 31111 6 M78 15000 171 00I 001*")</f>
        <v>8703.5499999999993</v>
      </c>
      <c r="H301" s="34"/>
      <c r="I301" s="34">
        <f t="shared" si="6"/>
        <v>8703.5499999999993</v>
      </c>
      <c r="K301" t="s">
        <v>15</v>
      </c>
    </row>
    <row r="302" spans="2:11" ht="22" x14ac:dyDescent="0.15">
      <c r="B302" s="33" t="s">
        <v>456</v>
      </c>
      <c r="C302" s="33" t="s">
        <v>99</v>
      </c>
      <c r="D302" s="35"/>
      <c r="E302" s="34">
        <f>SUMIFS(E303:E747,K303:K747,"0",B303:B747,"4 1 5 1 1 12 31111 6 M78 15000 171 00I 001 00051*")-SUMIFS(D303:D747,K303:K747,"0",B303:B747,"4 1 5 1 1 12 31111 6 M78 15000 171 00I 001 00051*")</f>
        <v>0</v>
      </c>
      <c r="F302" s="34">
        <f>SUMIFS(F303:F747,K303:K747,"0",B303:B747,"4 1 5 1 1 12 31111 6 M78 15000 171 00I 001 00051*")</f>
        <v>0</v>
      </c>
      <c r="G302" s="34">
        <f>SUMIFS(G303:G747,K303:K747,"0",B303:B747,"4 1 5 1 1 12 31111 6 M78 15000 171 00I 001 00051*")</f>
        <v>8703.5499999999993</v>
      </c>
      <c r="H302" s="34"/>
      <c r="I302" s="34">
        <f t="shared" si="6"/>
        <v>8703.5499999999993</v>
      </c>
      <c r="K302" t="s">
        <v>15</v>
      </c>
    </row>
    <row r="303" spans="2:11" ht="22" x14ac:dyDescent="0.15">
      <c r="B303" s="33" t="s">
        <v>457</v>
      </c>
      <c r="C303" s="33" t="s">
        <v>173</v>
      </c>
      <c r="D303" s="35"/>
      <c r="E303" s="34">
        <f>SUMIFS(E304:E747,K304:K747,"0",B304:B747,"4 1 5 1 1 12 31111 6 M78 15000 171 00I 001 00051 025*")-SUMIFS(D304:D747,K304:K747,"0",B304:B747,"4 1 5 1 1 12 31111 6 M78 15000 171 00I 001 00051 025*")</f>
        <v>0</v>
      </c>
      <c r="F303" s="34">
        <f>SUMIFS(F304:F747,K304:K747,"0",B304:B747,"4 1 5 1 1 12 31111 6 M78 15000 171 00I 001 00051 025*")</f>
        <v>0</v>
      </c>
      <c r="G303" s="34">
        <f>SUMIFS(G304:G747,K304:K747,"0",B304:B747,"4 1 5 1 1 12 31111 6 M78 15000 171 00I 001 00051 025*")</f>
        <v>8703.5499999999993</v>
      </c>
      <c r="H303" s="34"/>
      <c r="I303" s="34">
        <f t="shared" si="6"/>
        <v>8703.5499999999993</v>
      </c>
      <c r="K303" t="s">
        <v>15</v>
      </c>
    </row>
    <row r="304" spans="2:11" ht="22" x14ac:dyDescent="0.15">
      <c r="B304" s="33" t="s">
        <v>458</v>
      </c>
      <c r="C304" s="33" t="s">
        <v>459</v>
      </c>
      <c r="D304" s="35"/>
      <c r="E304" s="34">
        <f>SUMIFS(E305:E747,K305:K747,"0",B305:B747,"4 1 5 1 1 12 31111 6 M78 15000 171 00I 001 00051 025 1151100*")-SUMIFS(D305:D747,K305:K747,"0",B305:B747,"4 1 5 1 1 12 31111 6 M78 15000 171 00I 001 00051 025 1151100*")</f>
        <v>0</v>
      </c>
      <c r="F304" s="34">
        <f>SUMIFS(F305:F747,K305:K747,"0",B305:B747,"4 1 5 1 1 12 31111 6 M78 15000 171 00I 001 00051 025 1151100*")</f>
        <v>0</v>
      </c>
      <c r="G304" s="34">
        <f>SUMIFS(G305:G747,K305:K747,"0",B305:B747,"4 1 5 1 1 12 31111 6 M78 15000 171 00I 001 00051 025 1151100*")</f>
        <v>8703.5499999999993</v>
      </c>
      <c r="H304" s="34"/>
      <c r="I304" s="34">
        <f t="shared" si="6"/>
        <v>8703.5499999999993</v>
      </c>
      <c r="K304" t="s">
        <v>15</v>
      </c>
    </row>
    <row r="305" spans="2:11" ht="33" x14ac:dyDescent="0.15">
      <c r="B305" s="33" t="s">
        <v>460</v>
      </c>
      <c r="C305" s="33" t="s">
        <v>318</v>
      </c>
      <c r="D305" s="35"/>
      <c r="E305" s="34">
        <f>SUMIFS(E306:E747,K306:K747,"0",B306:B747,"4 1 5 1 1 12 31111 6 M78 15000 171 00I 001 00051 025 1151100 2024*")-SUMIFS(D306:D747,K306:K747,"0",B306:B747,"4 1 5 1 1 12 31111 6 M78 15000 171 00I 001 00051 025 1151100 2024*")</f>
        <v>0</v>
      </c>
      <c r="F305" s="34">
        <f>SUMIFS(F306:F747,K306:K747,"0",B306:B747,"4 1 5 1 1 12 31111 6 M78 15000 171 00I 001 00051 025 1151100 2024*")</f>
        <v>0</v>
      </c>
      <c r="G305" s="34">
        <f>SUMIFS(G306:G747,K306:K747,"0",B306:B747,"4 1 5 1 1 12 31111 6 M78 15000 171 00I 001 00051 025 1151100 2024*")</f>
        <v>8703.5499999999993</v>
      </c>
      <c r="H305" s="34"/>
      <c r="I305" s="34">
        <f t="shared" si="6"/>
        <v>8703.5499999999993</v>
      </c>
      <c r="K305" t="s">
        <v>15</v>
      </c>
    </row>
    <row r="306" spans="2:11" ht="33" x14ac:dyDescent="0.15">
      <c r="B306" s="33" t="s">
        <v>461</v>
      </c>
      <c r="C306" s="33" t="s">
        <v>462</v>
      </c>
      <c r="D306" s="35"/>
      <c r="E306" s="34">
        <f>SUMIFS(E307:E747,K307:K747,"0",B307:B747,"4 1 5 1 1 12 31111 6 M78 15000 171 00I 001 00051 025 1151100 2024 00000000*")-SUMIFS(D307:D747,K307:K747,"0",B307:B747,"4 1 5 1 1 12 31111 6 M78 15000 171 00I 001 00051 025 1151100 2024 00000000*")</f>
        <v>0</v>
      </c>
      <c r="F306" s="34">
        <f>SUMIFS(F307:F747,K307:K747,"0",B307:B747,"4 1 5 1 1 12 31111 6 M78 15000 171 00I 001 00051 025 1151100 2024 00000000*")</f>
        <v>0</v>
      </c>
      <c r="G306" s="34">
        <f>SUMIFS(G307:G747,K307:K747,"0",B307:B747,"4 1 5 1 1 12 31111 6 M78 15000 171 00I 001 00051 025 1151100 2024 00000000*")</f>
        <v>8703.5499999999993</v>
      </c>
      <c r="H306" s="34"/>
      <c r="I306" s="34">
        <f t="shared" si="6"/>
        <v>8703.5499999999993</v>
      </c>
      <c r="K306" t="s">
        <v>15</v>
      </c>
    </row>
    <row r="307" spans="2:11" ht="33" x14ac:dyDescent="0.15">
      <c r="B307" s="33" t="s">
        <v>463</v>
      </c>
      <c r="C307" s="33" t="s">
        <v>9</v>
      </c>
      <c r="D307" s="35"/>
      <c r="E307" s="34">
        <f>SUMIFS(E308:E747,K308:K747,"0",B308:B747,"4 1 5 1 1 12 31111 6 M78 15000 171 00I 001 00051 025 1151100 2024 00000000 003*")-SUMIFS(D308:D747,K308:K747,"0",B308:B747,"4 1 5 1 1 12 31111 6 M78 15000 171 00I 001 00051 025 1151100 2024 00000000 003*")</f>
        <v>0</v>
      </c>
      <c r="F307" s="34">
        <f>SUMIFS(F308:F747,K308:K747,"0",B308:B747,"4 1 5 1 1 12 31111 6 M78 15000 171 00I 001 00051 025 1151100 2024 00000000 003*")</f>
        <v>0</v>
      </c>
      <c r="G307" s="34">
        <f>SUMIFS(G308:G747,K308:K747,"0",B308:B747,"4 1 5 1 1 12 31111 6 M78 15000 171 00I 001 00051 025 1151100 2024 00000000 003*")</f>
        <v>8703.5499999999993</v>
      </c>
      <c r="H307" s="34"/>
      <c r="I307" s="34">
        <f t="shared" si="6"/>
        <v>8703.5499999999993</v>
      </c>
      <c r="K307" t="s">
        <v>15</v>
      </c>
    </row>
    <row r="308" spans="2:11" ht="33" x14ac:dyDescent="0.15">
      <c r="B308" s="36" t="s">
        <v>464</v>
      </c>
      <c r="C308" s="36" t="s">
        <v>465</v>
      </c>
      <c r="D308" s="37"/>
      <c r="E308" s="37">
        <v>0</v>
      </c>
      <c r="F308" s="37">
        <v>0</v>
      </c>
      <c r="G308" s="37">
        <v>8703.5499999999993</v>
      </c>
      <c r="H308" s="37"/>
      <c r="I308" s="37">
        <f t="shared" si="6"/>
        <v>8703.5499999999993</v>
      </c>
      <c r="K308" t="s">
        <v>39</v>
      </c>
    </row>
    <row r="309" spans="2:11" ht="44" x14ac:dyDescent="0.15">
      <c r="B309" s="33" t="s">
        <v>466</v>
      </c>
      <c r="C309" s="33" t="s">
        <v>467</v>
      </c>
      <c r="D309" s="35"/>
      <c r="E309" s="34">
        <f>SUMIFS(E310:E747,K310:K747,"0",B310:B747,"4 2*")-SUMIFS(D310:D747,K310:K747,"0",B310:B747,"4 2*")</f>
        <v>0</v>
      </c>
      <c r="F309" s="34">
        <f>SUMIFS(F310:F747,K310:K747,"0",B310:B747,"4 2*")</f>
        <v>0</v>
      </c>
      <c r="G309" s="34">
        <f>SUMIFS(G310:G747,K310:K747,"0",B310:B747,"4 2*")</f>
        <v>8369679.7800000003</v>
      </c>
      <c r="H309" s="34"/>
      <c r="I309" s="34">
        <f t="shared" si="6"/>
        <v>8369679.7800000003</v>
      </c>
      <c r="K309" t="s">
        <v>15</v>
      </c>
    </row>
    <row r="310" spans="2:11" ht="22" x14ac:dyDescent="0.15">
      <c r="B310" s="33" t="s">
        <v>468</v>
      </c>
      <c r="C310" s="33" t="s">
        <v>469</v>
      </c>
      <c r="D310" s="35"/>
      <c r="E310" s="34">
        <f>SUMIFS(E311:E747,K311:K747,"0",B311:B747,"4 2 1*")-SUMIFS(D311:D747,K311:K747,"0",B311:B747,"4 2 1*")</f>
        <v>0</v>
      </c>
      <c r="F310" s="34">
        <f>SUMIFS(F311:F747,K311:K747,"0",B311:B747,"4 2 1*")</f>
        <v>0</v>
      </c>
      <c r="G310" s="34">
        <f>SUMIFS(G311:G747,K311:K747,"0",B311:B747,"4 2 1*")</f>
        <v>8369679.7800000003</v>
      </c>
      <c r="H310" s="34"/>
      <c r="I310" s="34">
        <f t="shared" si="6"/>
        <v>8369679.7800000003</v>
      </c>
      <c r="K310" t="s">
        <v>15</v>
      </c>
    </row>
    <row r="311" spans="2:11" ht="13" x14ac:dyDescent="0.15">
      <c r="B311" s="33" t="s">
        <v>470</v>
      </c>
      <c r="C311" s="33" t="s">
        <v>419</v>
      </c>
      <c r="D311" s="35"/>
      <c r="E311" s="34">
        <f>SUMIFS(E312:E747,K312:K747,"0",B312:B747,"4 2 1 2*")-SUMIFS(D312:D747,K312:K747,"0",B312:B747,"4 2 1 2*")</f>
        <v>0</v>
      </c>
      <c r="F311" s="34">
        <f>SUMIFS(F312:F747,K312:K747,"0",B312:B747,"4 2 1 2*")</f>
        <v>0</v>
      </c>
      <c r="G311" s="34">
        <f>SUMIFS(G312:G747,K312:K747,"0",B312:B747,"4 2 1 2*")</f>
        <v>8369679.7800000003</v>
      </c>
      <c r="H311" s="34"/>
      <c r="I311" s="34">
        <f t="shared" si="6"/>
        <v>8369679.7800000003</v>
      </c>
      <c r="K311" t="s">
        <v>15</v>
      </c>
    </row>
    <row r="312" spans="2:11" ht="13" x14ac:dyDescent="0.15">
      <c r="B312" s="33" t="s">
        <v>471</v>
      </c>
      <c r="C312" s="33" t="s">
        <v>419</v>
      </c>
      <c r="D312" s="35"/>
      <c r="E312" s="34">
        <f>SUMIFS(E313:E747,K313:K747,"0",B313:B747,"4 2 1 2 1*")-SUMIFS(D313:D747,K313:K747,"0",B313:B747,"4 2 1 2 1*")</f>
        <v>0</v>
      </c>
      <c r="F312" s="34">
        <f>SUMIFS(F313:F747,K313:K747,"0",B313:B747,"4 2 1 2 1*")</f>
        <v>0</v>
      </c>
      <c r="G312" s="34">
        <f>SUMIFS(G313:G747,K313:K747,"0",B313:B747,"4 2 1 2 1*")</f>
        <v>8369679.7800000003</v>
      </c>
      <c r="H312" s="34"/>
      <c r="I312" s="34">
        <f t="shared" si="6"/>
        <v>8369679.7800000003</v>
      </c>
      <c r="K312" t="s">
        <v>15</v>
      </c>
    </row>
    <row r="313" spans="2:11" ht="13" x14ac:dyDescent="0.15">
      <c r="B313" s="33" t="s">
        <v>472</v>
      </c>
      <c r="C313" s="33" t="s">
        <v>26</v>
      </c>
      <c r="D313" s="35"/>
      <c r="E313" s="34">
        <f>SUMIFS(E314:E747,K314:K747,"0",B314:B747,"4 2 1 2 1 12*")-SUMIFS(D314:D747,K314:K747,"0",B314:B747,"4 2 1 2 1 12*")</f>
        <v>0</v>
      </c>
      <c r="F313" s="34">
        <f>SUMIFS(F314:F747,K314:K747,"0",B314:B747,"4 2 1 2 1 12*")</f>
        <v>0</v>
      </c>
      <c r="G313" s="34">
        <f>SUMIFS(G314:G747,K314:K747,"0",B314:B747,"4 2 1 2 1 12*")</f>
        <v>8369679.7800000003</v>
      </c>
      <c r="H313" s="34"/>
      <c r="I313" s="34">
        <f t="shared" ref="I313:I327" si="7">E313 - F313 + G313</f>
        <v>8369679.7800000003</v>
      </c>
      <c r="K313" t="s">
        <v>15</v>
      </c>
    </row>
    <row r="314" spans="2:11" ht="13" x14ac:dyDescent="0.15">
      <c r="B314" s="33" t="s">
        <v>473</v>
      </c>
      <c r="C314" s="33" t="s">
        <v>28</v>
      </c>
      <c r="D314" s="35"/>
      <c r="E314" s="34">
        <f>SUMIFS(E315:E747,K315:K747,"0",B315:B747,"4 2 1 2 1 12 31111*")-SUMIFS(D315:D747,K315:K747,"0",B315:B747,"4 2 1 2 1 12 31111*")</f>
        <v>0</v>
      </c>
      <c r="F314" s="34">
        <f>SUMIFS(F315:F747,K315:K747,"0",B315:B747,"4 2 1 2 1 12 31111*")</f>
        <v>0</v>
      </c>
      <c r="G314" s="34">
        <f>SUMIFS(G315:G747,K315:K747,"0",B315:B747,"4 2 1 2 1 12 31111*")</f>
        <v>8369679.7800000003</v>
      </c>
      <c r="H314" s="34"/>
      <c r="I314" s="34">
        <f t="shared" si="7"/>
        <v>8369679.7800000003</v>
      </c>
      <c r="K314" t="s">
        <v>15</v>
      </c>
    </row>
    <row r="315" spans="2:11" ht="13" x14ac:dyDescent="0.15">
      <c r="B315" s="33" t="s">
        <v>474</v>
      </c>
      <c r="C315" s="33" t="s">
        <v>30</v>
      </c>
      <c r="D315" s="35"/>
      <c r="E315" s="34">
        <f>SUMIFS(E316:E747,K316:K747,"0",B316:B747,"4 2 1 2 1 12 31111 6*")-SUMIFS(D316:D747,K316:K747,"0",B316:B747,"4 2 1 2 1 12 31111 6*")</f>
        <v>0</v>
      </c>
      <c r="F315" s="34">
        <f>SUMIFS(F316:F747,K316:K747,"0",B316:B747,"4 2 1 2 1 12 31111 6*")</f>
        <v>0</v>
      </c>
      <c r="G315" s="34">
        <f>SUMIFS(G316:G747,K316:K747,"0",B316:B747,"4 2 1 2 1 12 31111 6*")</f>
        <v>8369679.7800000003</v>
      </c>
      <c r="H315" s="34"/>
      <c r="I315" s="34">
        <f t="shared" si="7"/>
        <v>8369679.7800000003</v>
      </c>
      <c r="K315" t="s">
        <v>15</v>
      </c>
    </row>
    <row r="316" spans="2:11" ht="13" x14ac:dyDescent="0.15">
      <c r="B316" s="33" t="s">
        <v>475</v>
      </c>
      <c r="C316" s="33" t="s">
        <v>32</v>
      </c>
      <c r="D316" s="35"/>
      <c r="E316" s="34">
        <f>SUMIFS(E317:E747,K317:K747,"0",B317:B747,"4 2 1 2 1 12 31111 6 M78*")-SUMIFS(D317:D747,K317:K747,"0",B317:B747,"4 2 1 2 1 12 31111 6 M78*")</f>
        <v>0</v>
      </c>
      <c r="F316" s="34">
        <f>SUMIFS(F317:F747,K317:K747,"0",B317:B747,"4 2 1 2 1 12 31111 6 M78*")</f>
        <v>0</v>
      </c>
      <c r="G316" s="34">
        <f>SUMIFS(G317:G747,K317:K747,"0",B317:B747,"4 2 1 2 1 12 31111 6 M78*")</f>
        <v>8369679.7800000003</v>
      </c>
      <c r="H316" s="34"/>
      <c r="I316" s="34">
        <f t="shared" si="7"/>
        <v>8369679.7800000003</v>
      </c>
      <c r="K316" t="s">
        <v>15</v>
      </c>
    </row>
    <row r="317" spans="2:11" ht="13" x14ac:dyDescent="0.15">
      <c r="B317" s="33" t="s">
        <v>476</v>
      </c>
      <c r="C317" s="33" t="s">
        <v>163</v>
      </c>
      <c r="D317" s="35"/>
      <c r="E317" s="34">
        <f>SUMIFS(E318:E747,K318:K747,"0",B318:B747,"4 2 1 2 1 12 31111 6 M78 15000*")-SUMIFS(D318:D747,K318:K747,"0",B318:B747,"4 2 1 2 1 12 31111 6 M78 15000*")</f>
        <v>0</v>
      </c>
      <c r="F317" s="34">
        <f>SUMIFS(F318:F747,K318:K747,"0",B318:B747,"4 2 1 2 1 12 31111 6 M78 15000*")</f>
        <v>0</v>
      </c>
      <c r="G317" s="34">
        <f>SUMIFS(G318:G747,K318:K747,"0",B318:B747,"4 2 1 2 1 12 31111 6 M78 15000*")</f>
        <v>8369679.7800000003</v>
      </c>
      <c r="H317" s="34"/>
      <c r="I317" s="34">
        <f t="shared" si="7"/>
        <v>8369679.7800000003</v>
      </c>
      <c r="K317" t="s">
        <v>15</v>
      </c>
    </row>
    <row r="318" spans="2:11" ht="22" x14ac:dyDescent="0.15">
      <c r="B318" s="33" t="s">
        <v>477</v>
      </c>
      <c r="C318" s="33" t="s">
        <v>165</v>
      </c>
      <c r="D318" s="35"/>
      <c r="E318" s="34">
        <f>SUMIFS(E319:E747,K319:K747,"0",B319:B747,"4 2 1 2 1 12 31111 6 M78 15000 171*")-SUMIFS(D319:D747,K319:K747,"0",B319:B747,"4 2 1 2 1 12 31111 6 M78 15000 171*")</f>
        <v>0</v>
      </c>
      <c r="F318" s="34">
        <f>SUMIFS(F319:F747,K319:K747,"0",B319:B747,"4 2 1 2 1 12 31111 6 M78 15000 171*")</f>
        <v>0</v>
      </c>
      <c r="G318" s="34">
        <f>SUMIFS(G319:G747,K319:K747,"0",B319:B747,"4 2 1 2 1 12 31111 6 M78 15000 171*")</f>
        <v>8369679.7800000003</v>
      </c>
      <c r="H318" s="34"/>
      <c r="I318" s="34">
        <f t="shared" si="7"/>
        <v>8369679.7800000003</v>
      </c>
      <c r="K318" t="s">
        <v>15</v>
      </c>
    </row>
    <row r="319" spans="2:11" ht="22" x14ac:dyDescent="0.15">
      <c r="B319" s="33" t="s">
        <v>478</v>
      </c>
      <c r="C319" s="33" t="s">
        <v>167</v>
      </c>
      <c r="D319" s="35"/>
      <c r="E319" s="34">
        <f>SUMIFS(E320:E747,K320:K747,"0",B320:B747,"4 2 1 2 1 12 31111 6 M78 15000 171 00I*")-SUMIFS(D320:D747,K320:K747,"0",B320:B747,"4 2 1 2 1 12 31111 6 M78 15000 171 00I*")</f>
        <v>0</v>
      </c>
      <c r="F319" s="34">
        <f>SUMIFS(F320:F747,K320:K747,"0",B320:B747,"4 2 1 2 1 12 31111 6 M78 15000 171 00I*")</f>
        <v>0</v>
      </c>
      <c r="G319" s="34">
        <f>SUMIFS(G320:G747,K320:K747,"0",B320:B747,"4 2 1 2 1 12 31111 6 M78 15000 171 00I*")</f>
        <v>8369679.7800000003</v>
      </c>
      <c r="H319" s="34"/>
      <c r="I319" s="34">
        <f t="shared" si="7"/>
        <v>8369679.7800000003</v>
      </c>
      <c r="K319" t="s">
        <v>15</v>
      </c>
    </row>
    <row r="320" spans="2:11" ht="22" x14ac:dyDescent="0.15">
      <c r="B320" s="33" t="s">
        <v>479</v>
      </c>
      <c r="C320" s="33" t="s">
        <v>455</v>
      </c>
      <c r="D320" s="35"/>
      <c r="E320" s="34">
        <f>SUMIFS(E321:E747,K321:K747,"0",B321:B747,"4 2 1 2 1 12 31111 6 M78 15000 171 00I 001*")-SUMIFS(D321:D747,K321:K747,"0",B321:B747,"4 2 1 2 1 12 31111 6 M78 15000 171 00I 001*")</f>
        <v>0</v>
      </c>
      <c r="F320" s="34">
        <f>SUMIFS(F321:F747,K321:K747,"0",B321:B747,"4 2 1 2 1 12 31111 6 M78 15000 171 00I 001*")</f>
        <v>0</v>
      </c>
      <c r="G320" s="34">
        <f>SUMIFS(G321:G747,K321:K747,"0",B321:B747,"4 2 1 2 1 12 31111 6 M78 15000 171 00I 001*")</f>
        <v>8369679.7800000003</v>
      </c>
      <c r="H320" s="34"/>
      <c r="I320" s="34">
        <f t="shared" si="7"/>
        <v>8369679.7800000003</v>
      </c>
      <c r="K320" t="s">
        <v>15</v>
      </c>
    </row>
    <row r="321" spans="2:11" ht="22" x14ac:dyDescent="0.15">
      <c r="B321" s="33" t="s">
        <v>480</v>
      </c>
      <c r="C321" s="33" t="s">
        <v>419</v>
      </c>
      <c r="D321" s="35"/>
      <c r="E321" s="34">
        <f>SUMIFS(E322:E747,K322:K747,"0",B322:B747,"4 2 1 2 1 12 31111 6 M78 15000 171 00I 001 00082*")-SUMIFS(D322:D747,K322:K747,"0",B322:B747,"4 2 1 2 1 12 31111 6 M78 15000 171 00I 001 00082*")</f>
        <v>0</v>
      </c>
      <c r="F321" s="34">
        <f>SUMIFS(F322:F747,K322:K747,"0",B322:B747,"4 2 1 2 1 12 31111 6 M78 15000 171 00I 001 00082*")</f>
        <v>0</v>
      </c>
      <c r="G321" s="34">
        <f>SUMIFS(G322:G747,K322:K747,"0",B322:B747,"4 2 1 2 1 12 31111 6 M78 15000 171 00I 001 00082*")</f>
        <v>8369679.7800000003</v>
      </c>
      <c r="H321" s="34"/>
      <c r="I321" s="34">
        <f t="shared" si="7"/>
        <v>8369679.7800000003</v>
      </c>
      <c r="K321" t="s">
        <v>15</v>
      </c>
    </row>
    <row r="322" spans="2:11" ht="22" x14ac:dyDescent="0.15">
      <c r="B322" s="33" t="s">
        <v>481</v>
      </c>
      <c r="C322" s="33" t="s">
        <v>173</v>
      </c>
      <c r="D322" s="35"/>
      <c r="E322" s="34">
        <f>SUMIFS(E323:E747,K323:K747,"0",B323:B747,"4 2 1 2 1 12 31111 6 M78 15000 171 00I 001 00082 025*")-SUMIFS(D323:D747,K323:K747,"0",B323:B747,"4 2 1 2 1 12 31111 6 M78 15000 171 00I 001 00082 025*")</f>
        <v>0</v>
      </c>
      <c r="F322" s="34">
        <f>SUMIFS(F323:F747,K323:K747,"0",B323:B747,"4 2 1 2 1 12 31111 6 M78 15000 171 00I 001 00082 025*")</f>
        <v>0</v>
      </c>
      <c r="G322" s="34">
        <f>SUMIFS(G323:G747,K323:K747,"0",B323:B747,"4 2 1 2 1 12 31111 6 M78 15000 171 00I 001 00082 025*")</f>
        <v>8369679.7800000003</v>
      </c>
      <c r="H322" s="34"/>
      <c r="I322" s="34">
        <f t="shared" si="7"/>
        <v>8369679.7800000003</v>
      </c>
      <c r="K322" t="s">
        <v>15</v>
      </c>
    </row>
    <row r="323" spans="2:11" ht="22" x14ac:dyDescent="0.15">
      <c r="B323" s="33" t="s">
        <v>482</v>
      </c>
      <c r="C323" s="33" t="s">
        <v>483</v>
      </c>
      <c r="D323" s="35"/>
      <c r="E323" s="34">
        <f>SUMIFS(E324:E747,K324:K747,"0",B324:B747,"4 2 1 2 1 12 31111 6 M78 15000 171 00I 001 00082 025 1182200*")-SUMIFS(D324:D747,K324:K747,"0",B324:B747,"4 2 1 2 1 12 31111 6 M78 15000 171 00I 001 00082 025 1182200*")</f>
        <v>0</v>
      </c>
      <c r="F323" s="34">
        <f>SUMIFS(F324:F747,K324:K747,"0",B324:B747,"4 2 1 2 1 12 31111 6 M78 15000 171 00I 001 00082 025 1182200*")</f>
        <v>0</v>
      </c>
      <c r="G323" s="34">
        <f>SUMIFS(G324:G747,K324:K747,"0",B324:B747,"4 2 1 2 1 12 31111 6 M78 15000 171 00I 001 00082 025 1182200*")</f>
        <v>8369679.7800000003</v>
      </c>
      <c r="H323" s="34"/>
      <c r="I323" s="34">
        <f t="shared" si="7"/>
        <v>8369679.7800000003</v>
      </c>
      <c r="K323" t="s">
        <v>15</v>
      </c>
    </row>
    <row r="324" spans="2:11" ht="33" x14ac:dyDescent="0.15">
      <c r="B324" s="33" t="s">
        <v>484</v>
      </c>
      <c r="C324" s="33" t="s">
        <v>318</v>
      </c>
      <c r="D324" s="35"/>
      <c r="E324" s="34">
        <f>SUMIFS(E325:E747,K325:K747,"0",B325:B747,"4 2 1 2 1 12 31111 6 M78 15000 171 00I 001 00082 025 1182200 2024*")-SUMIFS(D325:D747,K325:K747,"0",B325:B747,"4 2 1 2 1 12 31111 6 M78 15000 171 00I 001 00082 025 1182200 2024*")</f>
        <v>0</v>
      </c>
      <c r="F324" s="34">
        <f>SUMIFS(F325:F747,K325:K747,"0",B325:B747,"4 2 1 2 1 12 31111 6 M78 15000 171 00I 001 00082 025 1182200 2024*")</f>
        <v>0</v>
      </c>
      <c r="G324" s="34">
        <f>SUMIFS(G325:G747,K325:K747,"0",B325:B747,"4 2 1 2 1 12 31111 6 M78 15000 171 00I 001 00082 025 1182200 2024*")</f>
        <v>8369679.7800000003</v>
      </c>
      <c r="H324" s="34"/>
      <c r="I324" s="34">
        <f t="shared" si="7"/>
        <v>8369679.7800000003</v>
      </c>
      <c r="K324" t="s">
        <v>15</v>
      </c>
    </row>
    <row r="325" spans="2:11" ht="33" x14ac:dyDescent="0.15">
      <c r="B325" s="33" t="s">
        <v>485</v>
      </c>
      <c r="C325" s="33" t="s">
        <v>462</v>
      </c>
      <c r="D325" s="35"/>
      <c r="E325" s="34">
        <f>SUMIFS(E326:E747,K326:K747,"0",B326:B747,"4 2 1 2 1 12 31111 6 M78 15000 171 00I 001 00082 025 1182200 2024 00000000*")-SUMIFS(D326:D747,K326:K747,"0",B326:B747,"4 2 1 2 1 12 31111 6 M78 15000 171 00I 001 00082 025 1182200 2024 00000000*")</f>
        <v>0</v>
      </c>
      <c r="F325" s="34">
        <f>SUMIFS(F326:F747,K326:K747,"0",B326:B747,"4 2 1 2 1 12 31111 6 M78 15000 171 00I 001 00082 025 1182200 2024 00000000*")</f>
        <v>0</v>
      </c>
      <c r="G325" s="34">
        <f>SUMIFS(G326:G747,K326:K747,"0",B326:B747,"4 2 1 2 1 12 31111 6 M78 15000 171 00I 001 00082 025 1182200 2024 00000000*")</f>
        <v>8369679.7800000003</v>
      </c>
      <c r="H325" s="34"/>
      <c r="I325" s="34">
        <f t="shared" si="7"/>
        <v>8369679.7800000003</v>
      </c>
      <c r="K325" t="s">
        <v>15</v>
      </c>
    </row>
    <row r="326" spans="2:11" ht="33" x14ac:dyDescent="0.15">
      <c r="B326" s="33" t="s">
        <v>486</v>
      </c>
      <c r="C326" s="33" t="s">
        <v>9</v>
      </c>
      <c r="D326" s="35"/>
      <c r="E326" s="34">
        <f>SUMIFS(E327:E747,K327:K747,"0",B327:B747,"4 2 1 2 1 12 31111 6 M78 15000 171 00I 001 00082 025 1182200 2024 00000000 003*")-SUMIFS(D327:D747,K327:K747,"0",B327:B747,"4 2 1 2 1 12 31111 6 M78 15000 171 00I 001 00082 025 1182200 2024 00000000 003*")</f>
        <v>0</v>
      </c>
      <c r="F326" s="34">
        <f>SUMIFS(F327:F747,K327:K747,"0",B327:B747,"4 2 1 2 1 12 31111 6 M78 15000 171 00I 001 00082 025 1182200 2024 00000000 003*")</f>
        <v>0</v>
      </c>
      <c r="G326" s="34">
        <f>SUMIFS(G327:G747,K327:K747,"0",B327:B747,"4 2 1 2 1 12 31111 6 M78 15000 171 00I 001 00082 025 1182200 2024 00000000 003*")</f>
        <v>8369679.7800000003</v>
      </c>
      <c r="H326" s="34"/>
      <c r="I326" s="34">
        <f t="shared" si="7"/>
        <v>8369679.7800000003</v>
      </c>
      <c r="K326" t="s">
        <v>15</v>
      </c>
    </row>
    <row r="327" spans="2:11" ht="33" x14ac:dyDescent="0.15">
      <c r="B327" s="36" t="s">
        <v>487</v>
      </c>
      <c r="C327" s="36" t="s">
        <v>488</v>
      </c>
      <c r="D327" s="37"/>
      <c r="E327" s="37">
        <v>0</v>
      </c>
      <c r="F327" s="37">
        <v>0</v>
      </c>
      <c r="G327" s="37">
        <v>8369679.7800000003</v>
      </c>
      <c r="H327" s="37"/>
      <c r="I327" s="37">
        <f t="shared" si="7"/>
        <v>8369679.7800000003</v>
      </c>
      <c r="K327" t="s">
        <v>39</v>
      </c>
    </row>
    <row r="328" spans="2:11" ht="13" x14ac:dyDescent="0.15">
      <c r="B328" s="33" t="s">
        <v>489</v>
      </c>
      <c r="C328" s="33" t="s">
        <v>490</v>
      </c>
      <c r="D328" s="34">
        <f>SUMIFS(D329:D747,K329:K747,"0",B329:B747,"5*")-SUMIFS(E329:E747,K329:K747,"0",B329:B747,"5*")</f>
        <v>0</v>
      </c>
      <c r="E328" s="35"/>
      <c r="F328" s="34">
        <f>SUMIFS(F329:F747,K329:K747,"0",B329:B747,"5*")</f>
        <v>6818644.3699999992</v>
      </c>
      <c r="G328" s="34">
        <f>SUMIFS(G329:G747,K329:K747,"0",B329:B747,"5*")</f>
        <v>0</v>
      </c>
      <c r="H328" s="34">
        <f t="shared" ref="H328:H391" si="8">D328 + F328 - G328</f>
        <v>6818644.3699999992</v>
      </c>
      <c r="I328" s="34"/>
      <c r="K328" t="s">
        <v>15</v>
      </c>
    </row>
    <row r="329" spans="2:11" ht="13" x14ac:dyDescent="0.15">
      <c r="B329" s="33" t="s">
        <v>491</v>
      </c>
      <c r="C329" s="33" t="s">
        <v>492</v>
      </c>
      <c r="D329" s="34">
        <f>SUMIFS(D330:D747,K330:K747,"0",B330:B747,"5 1*")-SUMIFS(E330:E747,K330:K747,"0",B330:B747,"5 1*")</f>
        <v>0</v>
      </c>
      <c r="E329" s="35"/>
      <c r="F329" s="34">
        <f>SUMIFS(F330:F747,K330:K747,"0",B330:B747,"5 1*")</f>
        <v>6818644.3699999992</v>
      </c>
      <c r="G329" s="34">
        <f>SUMIFS(G330:G747,K330:K747,"0",B330:B747,"5 1*")</f>
        <v>0</v>
      </c>
      <c r="H329" s="34">
        <f t="shared" si="8"/>
        <v>6818644.3699999992</v>
      </c>
      <c r="I329" s="34"/>
      <c r="K329" t="s">
        <v>15</v>
      </c>
    </row>
    <row r="330" spans="2:11" ht="13" x14ac:dyDescent="0.15">
      <c r="B330" s="33" t="s">
        <v>493</v>
      </c>
      <c r="C330" s="33" t="s">
        <v>494</v>
      </c>
      <c r="D330" s="34">
        <f>SUMIFS(D331:D747,K331:K747,"0",B331:B747,"5 1 1*")-SUMIFS(E331:E747,K331:K747,"0",B331:B747,"5 1 1*")</f>
        <v>0</v>
      </c>
      <c r="E330" s="35"/>
      <c r="F330" s="34">
        <f>SUMIFS(F331:F747,K331:K747,"0",B331:B747,"5 1 1*")</f>
        <v>4004118.2099999995</v>
      </c>
      <c r="G330" s="34">
        <f>SUMIFS(G331:G747,K331:K747,"0",B331:B747,"5 1 1*")</f>
        <v>0</v>
      </c>
      <c r="H330" s="34">
        <f t="shared" si="8"/>
        <v>4004118.2099999995</v>
      </c>
      <c r="I330" s="34"/>
      <c r="K330" t="s">
        <v>15</v>
      </c>
    </row>
    <row r="331" spans="2:11" ht="13" x14ac:dyDescent="0.15">
      <c r="B331" s="33" t="s">
        <v>495</v>
      </c>
      <c r="C331" s="33" t="s">
        <v>496</v>
      </c>
      <c r="D331" s="34">
        <f>SUMIFS(D332:D747,K332:K747,"0",B332:B747,"5 1 1 1*")-SUMIFS(E332:E747,K332:K747,"0",B332:B747,"5 1 1 1*")</f>
        <v>0</v>
      </c>
      <c r="E331" s="35"/>
      <c r="F331" s="34">
        <f>SUMIFS(F332:F747,K332:K747,"0",B332:B747,"5 1 1 1*")</f>
        <v>3523616.4299999997</v>
      </c>
      <c r="G331" s="34">
        <f>SUMIFS(G332:G747,K332:K747,"0",B332:B747,"5 1 1 1*")</f>
        <v>0</v>
      </c>
      <c r="H331" s="34">
        <f t="shared" si="8"/>
        <v>3523616.4299999997</v>
      </c>
      <c r="I331" s="34"/>
      <c r="K331" t="s">
        <v>15</v>
      </c>
    </row>
    <row r="332" spans="2:11" ht="13" x14ac:dyDescent="0.15">
      <c r="B332" s="33" t="s">
        <v>497</v>
      </c>
      <c r="C332" s="33" t="s">
        <v>498</v>
      </c>
      <c r="D332" s="34">
        <f>SUMIFS(D333:D747,K333:K747,"0",B333:B747,"5 1 1 1 3*")-SUMIFS(E333:E747,K333:K747,"0",B333:B747,"5 1 1 1 3*")</f>
        <v>0</v>
      </c>
      <c r="E332" s="35"/>
      <c r="F332" s="34">
        <f>SUMIFS(F333:F747,K333:K747,"0",B333:B747,"5 1 1 1 3*")</f>
        <v>3523616.4299999997</v>
      </c>
      <c r="G332" s="34">
        <f>SUMIFS(G333:G747,K333:K747,"0",B333:B747,"5 1 1 1 3*")</f>
        <v>0</v>
      </c>
      <c r="H332" s="34">
        <f t="shared" si="8"/>
        <v>3523616.4299999997</v>
      </c>
      <c r="I332" s="34"/>
      <c r="K332" t="s">
        <v>15</v>
      </c>
    </row>
    <row r="333" spans="2:11" ht="13" x14ac:dyDescent="0.15">
      <c r="B333" s="33" t="s">
        <v>499</v>
      </c>
      <c r="C333" s="33" t="s">
        <v>26</v>
      </c>
      <c r="D333" s="34">
        <f>SUMIFS(D334:D747,K334:K747,"0",B334:B747,"5 1 1 1 3 12*")-SUMIFS(E334:E747,K334:K747,"0",B334:B747,"5 1 1 1 3 12*")</f>
        <v>0</v>
      </c>
      <c r="E333" s="35"/>
      <c r="F333" s="34">
        <f>SUMIFS(F334:F747,K334:K747,"0",B334:B747,"5 1 1 1 3 12*")</f>
        <v>3523616.4299999997</v>
      </c>
      <c r="G333" s="34">
        <f>SUMIFS(G334:G747,K334:K747,"0",B334:B747,"5 1 1 1 3 12*")</f>
        <v>0</v>
      </c>
      <c r="H333" s="34">
        <f t="shared" si="8"/>
        <v>3523616.4299999997</v>
      </c>
      <c r="I333" s="34"/>
      <c r="K333" t="s">
        <v>15</v>
      </c>
    </row>
    <row r="334" spans="2:11" ht="13" x14ac:dyDescent="0.15">
      <c r="B334" s="33" t="s">
        <v>500</v>
      </c>
      <c r="C334" s="33" t="s">
        <v>28</v>
      </c>
      <c r="D334" s="34">
        <f>SUMIFS(D335:D747,K335:K747,"0",B335:B747,"5 1 1 1 3 12 31111*")-SUMIFS(E335:E747,K335:K747,"0",B335:B747,"5 1 1 1 3 12 31111*")</f>
        <v>0</v>
      </c>
      <c r="E334" s="35"/>
      <c r="F334" s="34">
        <f>SUMIFS(F335:F747,K335:K747,"0",B335:B747,"5 1 1 1 3 12 31111*")</f>
        <v>3523616.4299999997</v>
      </c>
      <c r="G334" s="34">
        <f>SUMIFS(G335:G747,K335:K747,"0",B335:B747,"5 1 1 1 3 12 31111*")</f>
        <v>0</v>
      </c>
      <c r="H334" s="34">
        <f t="shared" si="8"/>
        <v>3523616.4299999997</v>
      </c>
      <c r="I334" s="34"/>
      <c r="K334" t="s">
        <v>15</v>
      </c>
    </row>
    <row r="335" spans="2:11" ht="13" x14ac:dyDescent="0.15">
      <c r="B335" s="33" t="s">
        <v>501</v>
      </c>
      <c r="C335" s="33" t="s">
        <v>30</v>
      </c>
      <c r="D335" s="34">
        <f>SUMIFS(D336:D747,K336:K747,"0",B336:B747,"5 1 1 1 3 12 31111 6*")-SUMIFS(E336:E747,K336:K747,"0",B336:B747,"5 1 1 1 3 12 31111 6*")</f>
        <v>0</v>
      </c>
      <c r="E335" s="35"/>
      <c r="F335" s="34">
        <f>SUMIFS(F336:F747,K336:K747,"0",B336:B747,"5 1 1 1 3 12 31111 6*")</f>
        <v>3523616.4299999997</v>
      </c>
      <c r="G335" s="34">
        <f>SUMIFS(G336:G747,K336:K747,"0",B336:B747,"5 1 1 1 3 12 31111 6*")</f>
        <v>0</v>
      </c>
      <c r="H335" s="34">
        <f t="shared" si="8"/>
        <v>3523616.4299999997</v>
      </c>
      <c r="I335" s="34"/>
      <c r="K335" t="s">
        <v>15</v>
      </c>
    </row>
    <row r="336" spans="2:11" ht="13" x14ac:dyDescent="0.15">
      <c r="B336" s="33" t="s">
        <v>502</v>
      </c>
      <c r="C336" s="33" t="s">
        <v>503</v>
      </c>
      <c r="D336" s="34">
        <f>SUMIFS(D337:D747,K337:K747,"0",B337:B747,"5 1 1 1 3 12 31111 6 M78*")-SUMIFS(E337:E747,K337:K747,"0",B337:B747,"5 1 1 1 3 12 31111 6 M78*")</f>
        <v>0</v>
      </c>
      <c r="E336" s="35"/>
      <c r="F336" s="34">
        <f>SUMIFS(F337:F747,K337:K747,"0",B337:B747,"5 1 1 1 3 12 31111 6 M78*")</f>
        <v>3523616.4299999997</v>
      </c>
      <c r="G336" s="34">
        <f>SUMIFS(G337:G747,K337:K747,"0",B337:B747,"5 1 1 1 3 12 31111 6 M78*")</f>
        <v>0</v>
      </c>
      <c r="H336" s="34">
        <f t="shared" si="8"/>
        <v>3523616.4299999997</v>
      </c>
      <c r="I336" s="34"/>
      <c r="K336" t="s">
        <v>15</v>
      </c>
    </row>
    <row r="337" spans="2:11" ht="13" x14ac:dyDescent="0.15">
      <c r="B337" s="33" t="s">
        <v>504</v>
      </c>
      <c r="C337" s="33" t="s">
        <v>505</v>
      </c>
      <c r="D337" s="34">
        <f>SUMIFS(D338:D747,K338:K747,"0",B338:B747,"5 1 1 1 3 12 31111 6 M78 03000*")-SUMIFS(E338:E747,K338:K747,"0",B338:B747,"5 1 1 1 3 12 31111 6 M78 03000*")</f>
        <v>0</v>
      </c>
      <c r="E337" s="35"/>
      <c r="F337" s="34">
        <f>SUMIFS(F338:F747,K338:K747,"0",B338:B747,"5 1 1 1 3 12 31111 6 M78 03000*")</f>
        <v>402917.3</v>
      </c>
      <c r="G337" s="34">
        <f>SUMIFS(G338:G747,K338:K747,"0",B338:B747,"5 1 1 1 3 12 31111 6 M78 03000*")</f>
        <v>0</v>
      </c>
      <c r="H337" s="34">
        <f t="shared" si="8"/>
        <v>402917.3</v>
      </c>
      <c r="I337" s="34"/>
      <c r="K337" t="s">
        <v>15</v>
      </c>
    </row>
    <row r="338" spans="2:11" ht="22" x14ac:dyDescent="0.15">
      <c r="B338" s="33" t="s">
        <v>506</v>
      </c>
      <c r="C338" s="33" t="s">
        <v>507</v>
      </c>
      <c r="D338" s="34">
        <f>SUMIFS(D339:D747,K339:K747,"0",B339:B747,"5 1 1 1 3 12 31111 6 M78 03000 135*")-SUMIFS(E339:E747,K339:K747,"0",B339:B747,"5 1 1 1 3 12 31111 6 M78 03000 135*")</f>
        <v>0</v>
      </c>
      <c r="E338" s="35"/>
      <c r="F338" s="34">
        <f>SUMIFS(F339:F747,K339:K747,"0",B339:B747,"5 1 1 1 3 12 31111 6 M78 03000 135*")</f>
        <v>402917.3</v>
      </c>
      <c r="G338" s="34">
        <f>SUMIFS(G339:G747,K339:K747,"0",B339:B747,"5 1 1 1 3 12 31111 6 M78 03000 135*")</f>
        <v>0</v>
      </c>
      <c r="H338" s="34">
        <f t="shared" si="8"/>
        <v>402917.3</v>
      </c>
      <c r="I338" s="34"/>
      <c r="K338" t="s">
        <v>15</v>
      </c>
    </row>
    <row r="339" spans="2:11" ht="22" x14ac:dyDescent="0.15">
      <c r="B339" s="33" t="s">
        <v>508</v>
      </c>
      <c r="C339" s="33" t="s">
        <v>167</v>
      </c>
      <c r="D339" s="34">
        <f>SUMIFS(D340:D747,K340:K747,"0",B340:B747,"5 1 1 1 3 12 31111 6 M78 03000 135 00I*")-SUMIFS(E340:E747,K340:K747,"0",B340:B747,"5 1 1 1 3 12 31111 6 M78 03000 135 00I*")</f>
        <v>0</v>
      </c>
      <c r="E339" s="35"/>
      <c r="F339" s="34">
        <f>SUMIFS(F340:F747,K340:K747,"0",B340:B747,"5 1 1 1 3 12 31111 6 M78 03000 135 00I*")</f>
        <v>402917.3</v>
      </c>
      <c r="G339" s="34">
        <f>SUMIFS(G340:G747,K340:K747,"0",B340:B747,"5 1 1 1 3 12 31111 6 M78 03000 135 00I*")</f>
        <v>0</v>
      </c>
      <c r="H339" s="34">
        <f t="shared" si="8"/>
        <v>402917.3</v>
      </c>
      <c r="I339" s="34"/>
      <c r="K339" t="s">
        <v>15</v>
      </c>
    </row>
    <row r="340" spans="2:11" ht="22" x14ac:dyDescent="0.15">
      <c r="B340" s="33" t="s">
        <v>509</v>
      </c>
      <c r="C340" s="33" t="s">
        <v>455</v>
      </c>
      <c r="D340" s="34">
        <f>SUMIFS(D341:D747,K341:K747,"0",B341:B747,"5 1 1 1 3 12 31111 6 M78 03000 135 00I 001*")-SUMIFS(E341:E747,K341:K747,"0",B341:B747,"5 1 1 1 3 12 31111 6 M78 03000 135 00I 001*")</f>
        <v>0</v>
      </c>
      <c r="E340" s="35"/>
      <c r="F340" s="34">
        <f>SUMIFS(F341:F747,K341:K747,"0",B341:B747,"5 1 1 1 3 12 31111 6 M78 03000 135 00I 001*")</f>
        <v>402917.3</v>
      </c>
      <c r="G340" s="34">
        <f>SUMIFS(G341:G747,K341:K747,"0",B341:B747,"5 1 1 1 3 12 31111 6 M78 03000 135 00I 001*")</f>
        <v>0</v>
      </c>
      <c r="H340" s="34">
        <f t="shared" si="8"/>
        <v>402917.3</v>
      </c>
      <c r="I340" s="34"/>
      <c r="K340" t="s">
        <v>15</v>
      </c>
    </row>
    <row r="341" spans="2:11" ht="22" x14ac:dyDescent="0.15">
      <c r="B341" s="33" t="s">
        <v>510</v>
      </c>
      <c r="C341" s="33" t="s">
        <v>511</v>
      </c>
      <c r="D341" s="34">
        <f>SUMIFS(D342:D747,K342:K747,"0",B342:B747,"5 1 1 1 3 12 31111 6 M78 03000 135 00I 001 11301*")-SUMIFS(E342:E747,K342:K747,"0",B342:B747,"5 1 1 1 3 12 31111 6 M78 03000 135 00I 001 11301*")</f>
        <v>0</v>
      </c>
      <c r="E341" s="35"/>
      <c r="F341" s="34">
        <f>SUMIFS(F342:F747,K342:K747,"0",B342:B747,"5 1 1 1 3 12 31111 6 M78 03000 135 00I 001 11301*")</f>
        <v>402917.3</v>
      </c>
      <c r="G341" s="34">
        <f>SUMIFS(G342:G747,K342:K747,"0",B342:B747,"5 1 1 1 3 12 31111 6 M78 03000 135 00I 001 11301*")</f>
        <v>0</v>
      </c>
      <c r="H341" s="34">
        <f t="shared" si="8"/>
        <v>402917.3</v>
      </c>
      <c r="I341" s="34"/>
      <c r="K341" t="s">
        <v>15</v>
      </c>
    </row>
    <row r="342" spans="2:11" ht="22" x14ac:dyDescent="0.15">
      <c r="B342" s="33" t="s">
        <v>512</v>
      </c>
      <c r="C342" s="33" t="s">
        <v>173</v>
      </c>
      <c r="D342" s="34">
        <f>SUMIFS(D343:D747,K343:K747,"0",B343:B747,"5 1 1 1 3 12 31111 6 M78 03000 135 00I 001 11301 025*")-SUMIFS(E343:E747,K343:K747,"0",B343:B747,"5 1 1 1 3 12 31111 6 M78 03000 135 00I 001 11301 025*")</f>
        <v>0</v>
      </c>
      <c r="E342" s="35"/>
      <c r="F342" s="34">
        <f>SUMIFS(F343:F747,K343:K747,"0",B343:B747,"5 1 1 1 3 12 31111 6 M78 03000 135 00I 001 11301 025*")</f>
        <v>402917.3</v>
      </c>
      <c r="G342" s="34">
        <f>SUMIFS(G343:G747,K343:K747,"0",B343:B747,"5 1 1 1 3 12 31111 6 M78 03000 135 00I 001 11301 025*")</f>
        <v>0</v>
      </c>
      <c r="H342" s="34">
        <f t="shared" si="8"/>
        <v>402917.3</v>
      </c>
      <c r="I342" s="34"/>
      <c r="K342" t="s">
        <v>15</v>
      </c>
    </row>
    <row r="343" spans="2:11" ht="22" x14ac:dyDescent="0.15">
      <c r="B343" s="33" t="s">
        <v>513</v>
      </c>
      <c r="C343" s="33" t="s">
        <v>514</v>
      </c>
      <c r="D343" s="34">
        <f>SUMIFS(D344:D747,K344:K747,"0",B344:B747,"5 1 1 1 3 12 31111 6 M78 03000 135 00I 001 11301 025 2111100*")-SUMIFS(E344:E747,K344:K747,"0",B344:B747,"5 1 1 1 3 12 31111 6 M78 03000 135 00I 001 11301 025 2111100*")</f>
        <v>0</v>
      </c>
      <c r="E343" s="35"/>
      <c r="F343" s="34">
        <f>SUMIFS(F344:F747,K344:K747,"0",B344:B747,"5 1 1 1 3 12 31111 6 M78 03000 135 00I 001 11301 025 2111100*")</f>
        <v>402917.3</v>
      </c>
      <c r="G343" s="34">
        <f>SUMIFS(G344:G747,K344:K747,"0",B344:B747,"5 1 1 1 3 12 31111 6 M78 03000 135 00I 001 11301 025 2111100*")</f>
        <v>0</v>
      </c>
      <c r="H343" s="34">
        <f t="shared" si="8"/>
        <v>402917.3</v>
      </c>
      <c r="I343" s="34"/>
      <c r="K343" t="s">
        <v>15</v>
      </c>
    </row>
    <row r="344" spans="2:11" ht="33" x14ac:dyDescent="0.15">
      <c r="B344" s="33" t="s">
        <v>515</v>
      </c>
      <c r="C344" s="33" t="s">
        <v>318</v>
      </c>
      <c r="D344" s="34">
        <f>SUMIFS(D345:D747,K345:K747,"0",B345:B747,"5 1 1 1 3 12 31111 6 M78 03000 135 00I 001 11301 025 2111100 2024*")-SUMIFS(E345:E747,K345:K747,"0",B345:B747,"5 1 1 1 3 12 31111 6 M78 03000 135 00I 001 11301 025 2111100 2024*")</f>
        <v>0</v>
      </c>
      <c r="E344" s="35"/>
      <c r="F344" s="34">
        <f>SUMIFS(F345:F747,K345:K747,"0",B345:B747,"5 1 1 1 3 12 31111 6 M78 03000 135 00I 001 11301 025 2111100 2024*")</f>
        <v>402917.3</v>
      </c>
      <c r="G344" s="34">
        <f>SUMIFS(G345:G747,K345:K747,"0",B345:B747,"5 1 1 1 3 12 31111 6 M78 03000 135 00I 001 11301 025 2111100 2024*")</f>
        <v>0</v>
      </c>
      <c r="H344" s="34">
        <f t="shared" si="8"/>
        <v>402917.3</v>
      </c>
      <c r="I344" s="34"/>
      <c r="K344" t="s">
        <v>15</v>
      </c>
    </row>
    <row r="345" spans="2:11" ht="33" x14ac:dyDescent="0.15">
      <c r="B345" s="33" t="s">
        <v>516</v>
      </c>
      <c r="C345" s="33" t="s">
        <v>179</v>
      </c>
      <c r="D345" s="34">
        <f>SUMIFS(D346:D747,K346:K747,"0",B346:B747,"5 1 1 1 3 12 31111 6 M78 03000 135 00I 001 11301 025 2111100 2024 00000000*")-SUMIFS(E346:E747,K346:K747,"0",B346:B747,"5 1 1 1 3 12 31111 6 M78 03000 135 00I 001 11301 025 2111100 2024 00000000*")</f>
        <v>0</v>
      </c>
      <c r="E345" s="35"/>
      <c r="F345" s="34">
        <f>SUMIFS(F346:F747,K346:K747,"0",B346:B747,"5 1 1 1 3 12 31111 6 M78 03000 135 00I 001 11301 025 2111100 2024 00000000*")</f>
        <v>402917.3</v>
      </c>
      <c r="G345" s="34">
        <f>SUMIFS(G346:G747,K346:K747,"0",B346:B747,"5 1 1 1 3 12 31111 6 M78 03000 135 00I 001 11301 025 2111100 2024 00000000*")</f>
        <v>0</v>
      </c>
      <c r="H345" s="34">
        <f t="shared" si="8"/>
        <v>402917.3</v>
      </c>
      <c r="I345" s="34"/>
      <c r="K345" t="s">
        <v>15</v>
      </c>
    </row>
    <row r="346" spans="2:11" ht="33" x14ac:dyDescent="0.15">
      <c r="B346" s="33" t="s">
        <v>517</v>
      </c>
      <c r="C346" s="33" t="s">
        <v>9</v>
      </c>
      <c r="D346" s="34">
        <f>SUMIFS(D347:D747,K347:K747,"0",B347:B747,"5 1 1 1 3 12 31111 6 M78 03000 135 00I 001 11301 025 2111100 2024 00000000 003*")-SUMIFS(E347:E747,K347:K747,"0",B347:B747,"5 1 1 1 3 12 31111 6 M78 03000 135 00I 001 11301 025 2111100 2024 00000000 003*")</f>
        <v>0</v>
      </c>
      <c r="E346" s="35"/>
      <c r="F346" s="34">
        <f>SUMIFS(F347:F747,K347:K747,"0",B347:B747,"5 1 1 1 3 12 31111 6 M78 03000 135 00I 001 11301 025 2111100 2024 00000000 003*")</f>
        <v>402917.3</v>
      </c>
      <c r="G346" s="34">
        <f>SUMIFS(G347:G747,K347:K747,"0",B347:B747,"5 1 1 1 3 12 31111 6 M78 03000 135 00I 001 11301 025 2111100 2024 00000000 003*")</f>
        <v>0</v>
      </c>
      <c r="H346" s="34">
        <f t="shared" si="8"/>
        <v>402917.3</v>
      </c>
      <c r="I346" s="34"/>
      <c r="K346" t="s">
        <v>15</v>
      </c>
    </row>
    <row r="347" spans="2:11" ht="33" x14ac:dyDescent="0.15">
      <c r="B347" s="33" t="s">
        <v>518</v>
      </c>
      <c r="C347" s="33" t="s">
        <v>519</v>
      </c>
      <c r="D347" s="34">
        <f>SUMIFS(D348:D747,K348:K747,"0",B348:B747,"5 1 1 1 3 12 31111 6 M78 03000 135 00I 001 11301 025 2111100 2024 00000000 003 001*")-SUMIFS(E348:E747,K348:K747,"0",B348:B747,"5 1 1 1 3 12 31111 6 M78 03000 135 00I 001 11301 025 2111100 2024 00000000 003 001*")</f>
        <v>0</v>
      </c>
      <c r="E347" s="35"/>
      <c r="F347" s="34">
        <f>SUMIFS(F348:F747,K348:K747,"0",B348:B747,"5 1 1 1 3 12 31111 6 M78 03000 135 00I 001 11301 025 2111100 2024 00000000 003 001*")</f>
        <v>402917.3</v>
      </c>
      <c r="G347" s="34">
        <f>SUMIFS(G348:G747,K348:K747,"0",B348:B747,"5 1 1 1 3 12 31111 6 M78 03000 135 00I 001 11301 025 2111100 2024 00000000 003 001*")</f>
        <v>0</v>
      </c>
      <c r="H347" s="34">
        <f t="shared" si="8"/>
        <v>402917.3</v>
      </c>
      <c r="I347" s="34"/>
      <c r="K347" t="s">
        <v>15</v>
      </c>
    </row>
    <row r="348" spans="2:11" ht="33" x14ac:dyDescent="0.15">
      <c r="B348" s="36" t="s">
        <v>520</v>
      </c>
      <c r="C348" s="36" t="s">
        <v>521</v>
      </c>
      <c r="D348" s="37">
        <v>0</v>
      </c>
      <c r="E348" s="37"/>
      <c r="F348" s="37">
        <v>402917.3</v>
      </c>
      <c r="G348" s="37">
        <v>0</v>
      </c>
      <c r="H348" s="37">
        <f t="shared" si="8"/>
        <v>402917.3</v>
      </c>
      <c r="I348" s="37"/>
      <c r="K348" t="s">
        <v>39</v>
      </c>
    </row>
    <row r="349" spans="2:11" ht="13" x14ac:dyDescent="0.15">
      <c r="B349" s="33" t="s">
        <v>522</v>
      </c>
      <c r="C349" s="33" t="s">
        <v>523</v>
      </c>
      <c r="D349" s="34">
        <f>SUMIFS(D350:D747,K350:K747,"0",B350:B747,"5 1 1 1 3 12 31111 6 M78 04000*")-SUMIFS(E350:E747,K350:K747,"0",B350:B747,"5 1 1 1 3 12 31111 6 M78 04000*")</f>
        <v>0</v>
      </c>
      <c r="E349" s="35"/>
      <c r="F349" s="34">
        <f>SUMIFS(F350:F747,K350:K747,"0",B350:B747,"5 1 1 1 3 12 31111 6 M78 04000*")</f>
        <v>467983.8</v>
      </c>
      <c r="G349" s="34">
        <f>SUMIFS(G350:G747,K350:K747,"0",B350:B747,"5 1 1 1 3 12 31111 6 M78 04000*")</f>
        <v>0</v>
      </c>
      <c r="H349" s="34">
        <f t="shared" si="8"/>
        <v>467983.8</v>
      </c>
      <c r="I349" s="34"/>
      <c r="K349" t="s">
        <v>15</v>
      </c>
    </row>
    <row r="350" spans="2:11" ht="22" x14ac:dyDescent="0.15">
      <c r="B350" s="33" t="s">
        <v>524</v>
      </c>
      <c r="C350" s="33" t="s">
        <v>525</v>
      </c>
      <c r="D350" s="34">
        <f>SUMIFS(D351:D747,K351:K747,"0",B351:B747,"5 1 1 1 3 12 31111 6 M78 04000 152*")-SUMIFS(E351:E747,K351:K747,"0",B351:B747,"5 1 1 1 3 12 31111 6 M78 04000 152*")</f>
        <v>0</v>
      </c>
      <c r="E350" s="35"/>
      <c r="F350" s="34">
        <f>SUMIFS(F351:F747,K351:K747,"0",B351:B747,"5 1 1 1 3 12 31111 6 M78 04000 152*")</f>
        <v>467983.8</v>
      </c>
      <c r="G350" s="34">
        <f>SUMIFS(G351:G747,K351:K747,"0",B351:B747,"5 1 1 1 3 12 31111 6 M78 04000 152*")</f>
        <v>0</v>
      </c>
      <c r="H350" s="34">
        <f t="shared" si="8"/>
        <v>467983.8</v>
      </c>
      <c r="I350" s="34"/>
      <c r="K350" t="s">
        <v>15</v>
      </c>
    </row>
    <row r="351" spans="2:11" ht="22" x14ac:dyDescent="0.15">
      <c r="B351" s="33" t="s">
        <v>526</v>
      </c>
      <c r="C351" s="33" t="s">
        <v>167</v>
      </c>
      <c r="D351" s="34">
        <f>SUMIFS(D352:D747,K352:K747,"0",B352:B747,"5 1 1 1 3 12 31111 6 M78 04000 152 00I*")-SUMIFS(E352:E747,K352:K747,"0",B352:B747,"5 1 1 1 3 12 31111 6 M78 04000 152 00I*")</f>
        <v>0</v>
      </c>
      <c r="E351" s="35"/>
      <c r="F351" s="34">
        <f>SUMIFS(F352:F747,K352:K747,"0",B352:B747,"5 1 1 1 3 12 31111 6 M78 04000 152 00I*")</f>
        <v>467983.8</v>
      </c>
      <c r="G351" s="34">
        <f>SUMIFS(G352:G747,K352:K747,"0",B352:B747,"5 1 1 1 3 12 31111 6 M78 04000 152 00I*")</f>
        <v>0</v>
      </c>
      <c r="H351" s="34">
        <f t="shared" si="8"/>
        <v>467983.8</v>
      </c>
      <c r="I351" s="34"/>
      <c r="K351" t="s">
        <v>15</v>
      </c>
    </row>
    <row r="352" spans="2:11" ht="22" x14ac:dyDescent="0.15">
      <c r="B352" s="33" t="s">
        <v>527</v>
      </c>
      <c r="C352" s="33" t="s">
        <v>455</v>
      </c>
      <c r="D352" s="34">
        <f>SUMIFS(D353:D747,K353:K747,"0",B353:B747,"5 1 1 1 3 12 31111 6 M78 04000 152 00I 001*")-SUMIFS(E353:E747,K353:K747,"0",B353:B747,"5 1 1 1 3 12 31111 6 M78 04000 152 00I 001*")</f>
        <v>0</v>
      </c>
      <c r="E352" s="35"/>
      <c r="F352" s="34">
        <f>SUMIFS(F353:F747,K353:K747,"0",B353:B747,"5 1 1 1 3 12 31111 6 M78 04000 152 00I 001*")</f>
        <v>467983.8</v>
      </c>
      <c r="G352" s="34">
        <f>SUMIFS(G353:G747,K353:K747,"0",B353:B747,"5 1 1 1 3 12 31111 6 M78 04000 152 00I 001*")</f>
        <v>0</v>
      </c>
      <c r="H352" s="34">
        <f t="shared" si="8"/>
        <v>467983.8</v>
      </c>
      <c r="I352" s="34"/>
      <c r="K352" t="s">
        <v>15</v>
      </c>
    </row>
    <row r="353" spans="2:11" ht="22" x14ac:dyDescent="0.15">
      <c r="B353" s="33" t="s">
        <v>528</v>
      </c>
      <c r="C353" s="33" t="s">
        <v>511</v>
      </c>
      <c r="D353" s="34">
        <f>SUMIFS(D354:D747,K354:K747,"0",B354:B747,"5 1 1 1 3 12 31111 6 M78 04000 152 00I 001 11301*")-SUMIFS(E354:E747,K354:K747,"0",B354:B747,"5 1 1 1 3 12 31111 6 M78 04000 152 00I 001 11301*")</f>
        <v>0</v>
      </c>
      <c r="E353" s="35"/>
      <c r="F353" s="34">
        <f>SUMIFS(F354:F747,K354:K747,"0",B354:B747,"5 1 1 1 3 12 31111 6 M78 04000 152 00I 001 11301*")</f>
        <v>467983.8</v>
      </c>
      <c r="G353" s="34">
        <f>SUMIFS(G354:G747,K354:K747,"0",B354:B747,"5 1 1 1 3 12 31111 6 M78 04000 152 00I 001 11301*")</f>
        <v>0</v>
      </c>
      <c r="H353" s="34">
        <f t="shared" si="8"/>
        <v>467983.8</v>
      </c>
      <c r="I353" s="34"/>
      <c r="K353" t="s">
        <v>15</v>
      </c>
    </row>
    <row r="354" spans="2:11" ht="22" x14ac:dyDescent="0.15">
      <c r="B354" s="33" t="s">
        <v>529</v>
      </c>
      <c r="C354" s="33" t="s">
        <v>173</v>
      </c>
      <c r="D354" s="34">
        <f>SUMIFS(D355:D747,K355:K747,"0",B355:B747,"5 1 1 1 3 12 31111 6 M78 04000 152 00I 001 11301 025*")-SUMIFS(E355:E747,K355:K747,"0",B355:B747,"5 1 1 1 3 12 31111 6 M78 04000 152 00I 001 11301 025*")</f>
        <v>0</v>
      </c>
      <c r="E354" s="35"/>
      <c r="F354" s="34">
        <f>SUMIFS(F355:F747,K355:K747,"0",B355:B747,"5 1 1 1 3 12 31111 6 M78 04000 152 00I 001 11301 025*")</f>
        <v>467983.8</v>
      </c>
      <c r="G354" s="34">
        <f>SUMIFS(G355:G747,K355:K747,"0",B355:B747,"5 1 1 1 3 12 31111 6 M78 04000 152 00I 001 11301 025*")</f>
        <v>0</v>
      </c>
      <c r="H354" s="34">
        <f t="shared" si="8"/>
        <v>467983.8</v>
      </c>
      <c r="I354" s="34"/>
      <c r="K354" t="s">
        <v>15</v>
      </c>
    </row>
    <row r="355" spans="2:11" ht="22" x14ac:dyDescent="0.15">
      <c r="B355" s="33" t="s">
        <v>530</v>
      </c>
      <c r="C355" s="33" t="s">
        <v>514</v>
      </c>
      <c r="D355" s="34">
        <f>SUMIFS(D356:D747,K356:K747,"0",B356:B747,"5 1 1 1 3 12 31111 6 M78 04000 152 00I 001 11301 025 2111100*")-SUMIFS(E356:E747,K356:K747,"0",B356:B747,"5 1 1 1 3 12 31111 6 M78 04000 152 00I 001 11301 025 2111100*")</f>
        <v>0</v>
      </c>
      <c r="E355" s="35"/>
      <c r="F355" s="34">
        <f>SUMIFS(F356:F747,K356:K747,"0",B356:B747,"5 1 1 1 3 12 31111 6 M78 04000 152 00I 001 11301 025 2111100*")</f>
        <v>467983.8</v>
      </c>
      <c r="G355" s="34">
        <f>SUMIFS(G356:G747,K356:K747,"0",B356:B747,"5 1 1 1 3 12 31111 6 M78 04000 152 00I 001 11301 025 2111100*")</f>
        <v>0</v>
      </c>
      <c r="H355" s="34">
        <f t="shared" si="8"/>
        <v>467983.8</v>
      </c>
      <c r="I355" s="34"/>
      <c r="K355" t="s">
        <v>15</v>
      </c>
    </row>
    <row r="356" spans="2:11" ht="33" x14ac:dyDescent="0.15">
      <c r="B356" s="33" t="s">
        <v>531</v>
      </c>
      <c r="C356" s="33" t="s">
        <v>318</v>
      </c>
      <c r="D356" s="34">
        <f>SUMIFS(D357:D747,K357:K747,"0",B357:B747,"5 1 1 1 3 12 31111 6 M78 04000 152 00I 001 11301 025 2111100 2024*")-SUMIFS(E357:E747,K357:K747,"0",B357:B747,"5 1 1 1 3 12 31111 6 M78 04000 152 00I 001 11301 025 2111100 2024*")</f>
        <v>0</v>
      </c>
      <c r="E356" s="35"/>
      <c r="F356" s="34">
        <f>SUMIFS(F357:F747,K357:K747,"0",B357:B747,"5 1 1 1 3 12 31111 6 M78 04000 152 00I 001 11301 025 2111100 2024*")</f>
        <v>467983.8</v>
      </c>
      <c r="G356" s="34">
        <f>SUMIFS(G357:G747,K357:K747,"0",B357:B747,"5 1 1 1 3 12 31111 6 M78 04000 152 00I 001 11301 025 2111100 2024*")</f>
        <v>0</v>
      </c>
      <c r="H356" s="34">
        <f t="shared" si="8"/>
        <v>467983.8</v>
      </c>
      <c r="I356" s="34"/>
      <c r="K356" t="s">
        <v>15</v>
      </c>
    </row>
    <row r="357" spans="2:11" ht="33" x14ac:dyDescent="0.15">
      <c r="B357" s="33" t="s">
        <v>532</v>
      </c>
      <c r="C357" s="33" t="s">
        <v>179</v>
      </c>
      <c r="D357" s="34">
        <f>SUMIFS(D358:D747,K358:K747,"0",B358:B747,"5 1 1 1 3 12 31111 6 M78 04000 152 00I 001 11301 025 2111100 2024 00000000*")-SUMIFS(E358:E747,K358:K747,"0",B358:B747,"5 1 1 1 3 12 31111 6 M78 04000 152 00I 001 11301 025 2111100 2024 00000000*")</f>
        <v>0</v>
      </c>
      <c r="E357" s="35"/>
      <c r="F357" s="34">
        <f>SUMIFS(F358:F747,K358:K747,"0",B358:B747,"5 1 1 1 3 12 31111 6 M78 04000 152 00I 001 11301 025 2111100 2024 00000000*")</f>
        <v>467983.8</v>
      </c>
      <c r="G357" s="34">
        <f>SUMIFS(G358:G747,K358:K747,"0",B358:B747,"5 1 1 1 3 12 31111 6 M78 04000 152 00I 001 11301 025 2111100 2024 00000000*")</f>
        <v>0</v>
      </c>
      <c r="H357" s="34">
        <f t="shared" si="8"/>
        <v>467983.8</v>
      </c>
      <c r="I357" s="34"/>
      <c r="K357" t="s">
        <v>15</v>
      </c>
    </row>
    <row r="358" spans="2:11" ht="33" x14ac:dyDescent="0.15">
      <c r="B358" s="33" t="s">
        <v>533</v>
      </c>
      <c r="C358" s="33" t="s">
        <v>9</v>
      </c>
      <c r="D358" s="34">
        <f>SUMIFS(D359:D747,K359:K747,"0",B359:B747,"5 1 1 1 3 12 31111 6 M78 04000 152 00I 001 11301 025 2111100 2024 00000000 003*")-SUMIFS(E359:E747,K359:K747,"0",B359:B747,"5 1 1 1 3 12 31111 6 M78 04000 152 00I 001 11301 025 2111100 2024 00000000 003*")</f>
        <v>0</v>
      </c>
      <c r="E358" s="35"/>
      <c r="F358" s="34">
        <f>SUMIFS(F359:F747,K359:K747,"0",B359:B747,"5 1 1 1 3 12 31111 6 M78 04000 152 00I 001 11301 025 2111100 2024 00000000 003*")</f>
        <v>467983.8</v>
      </c>
      <c r="G358" s="34">
        <f>SUMIFS(G359:G747,K359:K747,"0",B359:B747,"5 1 1 1 3 12 31111 6 M78 04000 152 00I 001 11301 025 2111100 2024 00000000 003*")</f>
        <v>0</v>
      </c>
      <c r="H358" s="34">
        <f t="shared" si="8"/>
        <v>467983.8</v>
      </c>
      <c r="I358" s="34"/>
      <c r="K358" t="s">
        <v>15</v>
      </c>
    </row>
    <row r="359" spans="2:11" ht="33" x14ac:dyDescent="0.15">
      <c r="B359" s="33" t="s">
        <v>534</v>
      </c>
      <c r="C359" s="33" t="s">
        <v>535</v>
      </c>
      <c r="D359" s="34">
        <f>SUMIFS(D360:D747,K360:K747,"0",B360:B747,"5 1 1 1 3 12 31111 6 M78 04000 152 00I 001 11301 025 2111100 2024 00000000 003 001*")-SUMIFS(E360:E747,K360:K747,"0",B360:B747,"5 1 1 1 3 12 31111 6 M78 04000 152 00I 001 11301 025 2111100 2024 00000000 003 001*")</f>
        <v>0</v>
      </c>
      <c r="E359" s="35"/>
      <c r="F359" s="34">
        <f>SUMIFS(F360:F747,K360:K747,"0",B360:B747,"5 1 1 1 3 12 31111 6 M78 04000 152 00I 001 11301 025 2111100 2024 00000000 003 001*")</f>
        <v>467983.8</v>
      </c>
      <c r="G359" s="34">
        <f>SUMIFS(G360:G747,K360:K747,"0",B360:B747,"5 1 1 1 3 12 31111 6 M78 04000 152 00I 001 11301 025 2111100 2024 00000000 003 001*")</f>
        <v>0</v>
      </c>
      <c r="H359" s="34">
        <f t="shared" si="8"/>
        <v>467983.8</v>
      </c>
      <c r="I359" s="34"/>
      <c r="K359" t="s">
        <v>15</v>
      </c>
    </row>
    <row r="360" spans="2:11" ht="33" x14ac:dyDescent="0.15">
      <c r="B360" s="36" t="s">
        <v>536</v>
      </c>
      <c r="C360" s="36" t="s">
        <v>537</v>
      </c>
      <c r="D360" s="37">
        <v>0</v>
      </c>
      <c r="E360" s="37"/>
      <c r="F360" s="37">
        <v>467983.8</v>
      </c>
      <c r="G360" s="37">
        <v>0</v>
      </c>
      <c r="H360" s="37">
        <f t="shared" si="8"/>
        <v>467983.8</v>
      </c>
      <c r="I360" s="37"/>
      <c r="K360" t="s">
        <v>39</v>
      </c>
    </row>
    <row r="361" spans="2:11" ht="13" x14ac:dyDescent="0.15">
      <c r="B361" s="33" t="s">
        <v>538</v>
      </c>
      <c r="C361" s="33" t="s">
        <v>163</v>
      </c>
      <c r="D361" s="34">
        <f>SUMIFS(D362:D747,K362:K747,"0",B362:B747,"5 1 1 1 3 12 31111 6 M78 15000*")-SUMIFS(E362:E747,K362:K747,"0",B362:B747,"5 1 1 1 3 12 31111 6 M78 15000*")</f>
        <v>0</v>
      </c>
      <c r="E361" s="35"/>
      <c r="F361" s="34">
        <f>SUMIFS(F362:F747,K362:K747,"0",B362:B747,"5 1 1 1 3 12 31111 6 M78 15000*")</f>
        <v>1391678.18</v>
      </c>
      <c r="G361" s="34">
        <f>SUMIFS(G362:G747,K362:K747,"0",B362:B747,"5 1 1 1 3 12 31111 6 M78 15000*")</f>
        <v>0</v>
      </c>
      <c r="H361" s="34">
        <f t="shared" si="8"/>
        <v>1391678.18</v>
      </c>
      <c r="I361" s="34"/>
      <c r="K361" t="s">
        <v>15</v>
      </c>
    </row>
    <row r="362" spans="2:11" ht="22" x14ac:dyDescent="0.15">
      <c r="B362" s="33" t="s">
        <v>539</v>
      </c>
      <c r="C362" s="33" t="s">
        <v>165</v>
      </c>
      <c r="D362" s="34">
        <f>SUMIFS(D363:D747,K363:K747,"0",B363:B747,"5 1 1 1 3 12 31111 6 M78 15000 171*")-SUMIFS(E363:E747,K363:K747,"0",B363:B747,"5 1 1 1 3 12 31111 6 M78 15000 171*")</f>
        <v>0</v>
      </c>
      <c r="E362" s="35"/>
      <c r="F362" s="34">
        <f>SUMIFS(F363:F747,K363:K747,"0",B363:B747,"5 1 1 1 3 12 31111 6 M78 15000 171*")</f>
        <v>1391678.18</v>
      </c>
      <c r="G362" s="34">
        <f>SUMIFS(G363:G747,K363:K747,"0",B363:B747,"5 1 1 1 3 12 31111 6 M78 15000 171*")</f>
        <v>0</v>
      </c>
      <c r="H362" s="34">
        <f t="shared" si="8"/>
        <v>1391678.18</v>
      </c>
      <c r="I362" s="34"/>
      <c r="K362" t="s">
        <v>15</v>
      </c>
    </row>
    <row r="363" spans="2:11" ht="22" x14ac:dyDescent="0.15">
      <c r="B363" s="33" t="s">
        <v>540</v>
      </c>
      <c r="C363" s="33" t="s">
        <v>167</v>
      </c>
      <c r="D363" s="34">
        <f>SUMIFS(D364:D747,K364:K747,"0",B364:B747,"5 1 1 1 3 12 31111 6 M78 15000 171 00I*")-SUMIFS(E364:E747,K364:K747,"0",B364:B747,"5 1 1 1 3 12 31111 6 M78 15000 171 00I*")</f>
        <v>0</v>
      </c>
      <c r="E363" s="35"/>
      <c r="F363" s="34">
        <f>SUMIFS(F364:F747,K364:K747,"0",B364:B747,"5 1 1 1 3 12 31111 6 M78 15000 171 00I*")</f>
        <v>1391678.18</v>
      </c>
      <c r="G363" s="34">
        <f>SUMIFS(G364:G747,K364:K747,"0",B364:B747,"5 1 1 1 3 12 31111 6 M78 15000 171 00I*")</f>
        <v>0</v>
      </c>
      <c r="H363" s="34">
        <f t="shared" si="8"/>
        <v>1391678.18</v>
      </c>
      <c r="I363" s="34"/>
      <c r="K363" t="s">
        <v>15</v>
      </c>
    </row>
    <row r="364" spans="2:11" ht="22" x14ac:dyDescent="0.15">
      <c r="B364" s="33" t="s">
        <v>541</v>
      </c>
      <c r="C364" s="33" t="s">
        <v>455</v>
      </c>
      <c r="D364" s="34">
        <f>SUMIFS(D365:D747,K365:K747,"0",B365:B747,"5 1 1 1 3 12 31111 6 M78 15000 171 00I 001*")-SUMIFS(E365:E747,K365:K747,"0",B365:B747,"5 1 1 1 3 12 31111 6 M78 15000 171 00I 001*")</f>
        <v>0</v>
      </c>
      <c r="E364" s="35"/>
      <c r="F364" s="34">
        <f>SUMIFS(F365:F747,K365:K747,"0",B365:B747,"5 1 1 1 3 12 31111 6 M78 15000 171 00I 001*")</f>
        <v>1391678.18</v>
      </c>
      <c r="G364" s="34">
        <f>SUMIFS(G365:G747,K365:K747,"0",B365:B747,"5 1 1 1 3 12 31111 6 M78 15000 171 00I 001*")</f>
        <v>0</v>
      </c>
      <c r="H364" s="34">
        <f t="shared" si="8"/>
        <v>1391678.18</v>
      </c>
      <c r="I364" s="34"/>
      <c r="K364" t="s">
        <v>15</v>
      </c>
    </row>
    <row r="365" spans="2:11" ht="22" x14ac:dyDescent="0.15">
      <c r="B365" s="33" t="s">
        <v>542</v>
      </c>
      <c r="C365" s="33" t="s">
        <v>511</v>
      </c>
      <c r="D365" s="34">
        <f>SUMIFS(D366:D747,K366:K747,"0",B366:B747,"5 1 1 1 3 12 31111 6 M78 15000 171 00I 001 11301*")-SUMIFS(E366:E747,K366:K747,"0",B366:B747,"5 1 1 1 3 12 31111 6 M78 15000 171 00I 001 11301*")</f>
        <v>0</v>
      </c>
      <c r="E365" s="35"/>
      <c r="F365" s="34">
        <f>SUMIFS(F366:F747,K366:K747,"0",B366:B747,"5 1 1 1 3 12 31111 6 M78 15000 171 00I 001 11301*")</f>
        <v>1391678.18</v>
      </c>
      <c r="G365" s="34">
        <f>SUMIFS(G366:G747,K366:K747,"0",B366:B747,"5 1 1 1 3 12 31111 6 M78 15000 171 00I 001 11301*")</f>
        <v>0</v>
      </c>
      <c r="H365" s="34">
        <f t="shared" si="8"/>
        <v>1391678.18</v>
      </c>
      <c r="I365" s="34"/>
      <c r="K365" t="s">
        <v>15</v>
      </c>
    </row>
    <row r="366" spans="2:11" ht="22" x14ac:dyDescent="0.15">
      <c r="B366" s="33" t="s">
        <v>543</v>
      </c>
      <c r="C366" s="33" t="s">
        <v>173</v>
      </c>
      <c r="D366" s="34">
        <f>SUMIFS(D367:D747,K367:K747,"0",B367:B747,"5 1 1 1 3 12 31111 6 M78 15000 171 00I 001 11301 025*")-SUMIFS(E367:E747,K367:K747,"0",B367:B747,"5 1 1 1 3 12 31111 6 M78 15000 171 00I 001 11301 025*")</f>
        <v>0</v>
      </c>
      <c r="E366" s="35"/>
      <c r="F366" s="34">
        <f>SUMIFS(F367:F747,K367:K747,"0",B367:B747,"5 1 1 1 3 12 31111 6 M78 15000 171 00I 001 11301 025*")</f>
        <v>1391678.18</v>
      </c>
      <c r="G366" s="34">
        <f>SUMIFS(G367:G747,K367:K747,"0",B367:B747,"5 1 1 1 3 12 31111 6 M78 15000 171 00I 001 11301 025*")</f>
        <v>0</v>
      </c>
      <c r="H366" s="34">
        <f t="shared" si="8"/>
        <v>1391678.18</v>
      </c>
      <c r="I366" s="34"/>
      <c r="K366" t="s">
        <v>15</v>
      </c>
    </row>
    <row r="367" spans="2:11" ht="22" x14ac:dyDescent="0.15">
      <c r="B367" s="33" t="s">
        <v>544</v>
      </c>
      <c r="C367" s="33" t="s">
        <v>514</v>
      </c>
      <c r="D367" s="34">
        <f>SUMIFS(D368:D747,K368:K747,"0",B368:B747,"5 1 1 1 3 12 31111 6 M78 15000 171 00I 001 11301 025 2111100*")-SUMIFS(E368:E747,K368:K747,"0",B368:B747,"5 1 1 1 3 12 31111 6 M78 15000 171 00I 001 11301 025 2111100*")</f>
        <v>0</v>
      </c>
      <c r="E367" s="35"/>
      <c r="F367" s="34">
        <f>SUMIFS(F368:F747,K368:K747,"0",B368:B747,"5 1 1 1 3 12 31111 6 M78 15000 171 00I 001 11301 025 2111100*")</f>
        <v>1391678.18</v>
      </c>
      <c r="G367" s="34">
        <f>SUMIFS(G368:G747,K368:K747,"0",B368:B747,"5 1 1 1 3 12 31111 6 M78 15000 171 00I 001 11301 025 2111100*")</f>
        <v>0</v>
      </c>
      <c r="H367" s="34">
        <f t="shared" si="8"/>
        <v>1391678.18</v>
      </c>
      <c r="I367" s="34"/>
      <c r="K367" t="s">
        <v>15</v>
      </c>
    </row>
    <row r="368" spans="2:11" ht="33" x14ac:dyDescent="0.15">
      <c r="B368" s="33" t="s">
        <v>545</v>
      </c>
      <c r="C368" s="33" t="s">
        <v>318</v>
      </c>
      <c r="D368" s="34">
        <f>SUMIFS(D369:D747,K369:K747,"0",B369:B747,"5 1 1 1 3 12 31111 6 M78 15000 171 00I 001 11301 025 2111100 2024*")-SUMIFS(E369:E747,K369:K747,"0",B369:B747,"5 1 1 1 3 12 31111 6 M78 15000 171 00I 001 11301 025 2111100 2024*")</f>
        <v>0</v>
      </c>
      <c r="E368" s="35"/>
      <c r="F368" s="34">
        <f>SUMIFS(F369:F747,K369:K747,"0",B369:B747,"5 1 1 1 3 12 31111 6 M78 15000 171 00I 001 11301 025 2111100 2024*")</f>
        <v>1391678.18</v>
      </c>
      <c r="G368" s="34">
        <f>SUMIFS(G369:G747,K369:K747,"0",B369:B747,"5 1 1 1 3 12 31111 6 M78 15000 171 00I 001 11301 025 2111100 2024*")</f>
        <v>0</v>
      </c>
      <c r="H368" s="34">
        <f t="shared" si="8"/>
        <v>1391678.18</v>
      </c>
      <c r="I368" s="34"/>
      <c r="K368" t="s">
        <v>15</v>
      </c>
    </row>
    <row r="369" spans="2:11" ht="33" x14ac:dyDescent="0.15">
      <c r="B369" s="33" t="s">
        <v>546</v>
      </c>
      <c r="C369" s="33" t="s">
        <v>179</v>
      </c>
      <c r="D369" s="34">
        <f>SUMIFS(D370:D747,K370:K747,"0",B370:B747,"5 1 1 1 3 12 31111 6 M78 15000 171 00I 001 11301 025 2111100 2024 00000000*")-SUMIFS(E370:E747,K370:K747,"0",B370:B747,"5 1 1 1 3 12 31111 6 M78 15000 171 00I 001 11301 025 2111100 2024 00000000*")</f>
        <v>0</v>
      </c>
      <c r="E369" s="35"/>
      <c r="F369" s="34">
        <f>SUMIFS(F370:F747,K370:K747,"0",B370:B747,"5 1 1 1 3 12 31111 6 M78 15000 171 00I 001 11301 025 2111100 2024 00000000*")</f>
        <v>1391678.18</v>
      </c>
      <c r="G369" s="34">
        <f>SUMIFS(G370:G747,K370:K747,"0",B370:B747,"5 1 1 1 3 12 31111 6 M78 15000 171 00I 001 11301 025 2111100 2024 00000000*")</f>
        <v>0</v>
      </c>
      <c r="H369" s="34">
        <f t="shared" si="8"/>
        <v>1391678.18</v>
      </c>
      <c r="I369" s="34"/>
      <c r="K369" t="s">
        <v>15</v>
      </c>
    </row>
    <row r="370" spans="2:11" ht="33" x14ac:dyDescent="0.15">
      <c r="B370" s="33" t="s">
        <v>547</v>
      </c>
      <c r="C370" s="33" t="s">
        <v>9</v>
      </c>
      <c r="D370" s="34">
        <f>SUMIFS(D371:D747,K371:K747,"0",B371:B747,"5 1 1 1 3 12 31111 6 M78 15000 171 00I 001 11301 025 2111100 2024 00000000 003*")-SUMIFS(E371:E747,K371:K747,"0",B371:B747,"5 1 1 1 3 12 31111 6 M78 15000 171 00I 001 11301 025 2111100 2024 00000000 003*")</f>
        <v>0</v>
      </c>
      <c r="E370" s="35"/>
      <c r="F370" s="34">
        <f>SUMIFS(F371:F747,K371:K747,"0",B371:B747,"5 1 1 1 3 12 31111 6 M78 15000 171 00I 001 11301 025 2111100 2024 00000000 003*")</f>
        <v>1391678.18</v>
      </c>
      <c r="G370" s="34">
        <f>SUMIFS(G371:G747,K371:K747,"0",B371:B747,"5 1 1 1 3 12 31111 6 M78 15000 171 00I 001 11301 025 2111100 2024 00000000 003*")</f>
        <v>0</v>
      </c>
      <c r="H370" s="34">
        <f t="shared" si="8"/>
        <v>1391678.18</v>
      </c>
      <c r="I370" s="34"/>
      <c r="K370" t="s">
        <v>15</v>
      </c>
    </row>
    <row r="371" spans="2:11" ht="33" x14ac:dyDescent="0.15">
      <c r="B371" s="33" t="s">
        <v>548</v>
      </c>
      <c r="C371" s="33" t="s">
        <v>549</v>
      </c>
      <c r="D371" s="34">
        <f>SUMIFS(D372:D747,K372:K747,"0",B372:B747,"5 1 1 1 3 12 31111 6 M78 15000 171 00I 001 11301 025 2111100 2024 00000000 003 001*")-SUMIFS(E372:E747,K372:K747,"0",B372:B747,"5 1 1 1 3 12 31111 6 M78 15000 171 00I 001 11301 025 2111100 2024 00000000 003 001*")</f>
        <v>0</v>
      </c>
      <c r="E371" s="35"/>
      <c r="F371" s="34">
        <f>SUMIFS(F372:F747,K372:K747,"0",B372:B747,"5 1 1 1 3 12 31111 6 M78 15000 171 00I 001 11301 025 2111100 2024 00000000 003 001*")</f>
        <v>1391678.18</v>
      </c>
      <c r="G371" s="34">
        <f>SUMIFS(G372:G747,K372:K747,"0",B372:B747,"5 1 1 1 3 12 31111 6 M78 15000 171 00I 001 11301 025 2111100 2024 00000000 003 001*")</f>
        <v>0</v>
      </c>
      <c r="H371" s="34">
        <f t="shared" si="8"/>
        <v>1391678.18</v>
      </c>
      <c r="I371" s="34"/>
      <c r="K371" t="s">
        <v>15</v>
      </c>
    </row>
    <row r="372" spans="2:11" ht="33" x14ac:dyDescent="0.15">
      <c r="B372" s="36" t="s">
        <v>550</v>
      </c>
      <c r="C372" s="36" t="s">
        <v>537</v>
      </c>
      <c r="D372" s="37">
        <v>0</v>
      </c>
      <c r="E372" s="37"/>
      <c r="F372" s="37">
        <v>1391678.18</v>
      </c>
      <c r="G372" s="37">
        <v>0</v>
      </c>
      <c r="H372" s="37">
        <f t="shared" si="8"/>
        <v>1391678.18</v>
      </c>
      <c r="I372" s="37"/>
      <c r="K372" t="s">
        <v>39</v>
      </c>
    </row>
    <row r="373" spans="2:11" ht="13" x14ac:dyDescent="0.15">
      <c r="B373" s="33" t="s">
        <v>551</v>
      </c>
      <c r="C373" s="33" t="s">
        <v>552</v>
      </c>
      <c r="D373" s="34">
        <f>SUMIFS(D374:D747,K374:K747,"0",B374:B747,"5 1 1 1 3 12 31111 6 M78 16000*")-SUMIFS(E374:E747,K374:K747,"0",B374:B747,"5 1 1 1 3 12 31111 6 M78 16000*")</f>
        <v>0</v>
      </c>
      <c r="E373" s="35"/>
      <c r="F373" s="34">
        <f>SUMIFS(F374:F747,K374:K747,"0",B374:B747,"5 1 1 1 3 12 31111 6 M78 16000*")</f>
        <v>491600</v>
      </c>
      <c r="G373" s="34">
        <f>SUMIFS(G374:G747,K374:K747,"0",B374:B747,"5 1 1 1 3 12 31111 6 M78 16000*")</f>
        <v>0</v>
      </c>
      <c r="H373" s="34">
        <f t="shared" si="8"/>
        <v>491600</v>
      </c>
      <c r="I373" s="34"/>
      <c r="K373" t="s">
        <v>15</v>
      </c>
    </row>
    <row r="374" spans="2:11" ht="22" x14ac:dyDescent="0.15">
      <c r="B374" s="33" t="s">
        <v>553</v>
      </c>
      <c r="C374" s="33" t="s">
        <v>554</v>
      </c>
      <c r="D374" s="34">
        <f>SUMIFS(D375:D747,K375:K747,"0",B375:B747,"5 1 1 1 3 12 31111 6 M78 16000 173*")-SUMIFS(E375:E747,K375:K747,"0",B375:B747,"5 1 1 1 3 12 31111 6 M78 16000 173*")</f>
        <v>0</v>
      </c>
      <c r="E374" s="35"/>
      <c r="F374" s="34">
        <f>SUMIFS(F375:F747,K375:K747,"0",B375:B747,"5 1 1 1 3 12 31111 6 M78 16000 173*")</f>
        <v>491600</v>
      </c>
      <c r="G374" s="34">
        <f>SUMIFS(G375:G747,K375:K747,"0",B375:B747,"5 1 1 1 3 12 31111 6 M78 16000 173*")</f>
        <v>0</v>
      </c>
      <c r="H374" s="34">
        <f t="shared" si="8"/>
        <v>491600</v>
      </c>
      <c r="I374" s="34"/>
      <c r="K374" t="s">
        <v>15</v>
      </c>
    </row>
    <row r="375" spans="2:11" ht="22" x14ac:dyDescent="0.15">
      <c r="B375" s="33" t="s">
        <v>555</v>
      </c>
      <c r="C375" s="33" t="s">
        <v>167</v>
      </c>
      <c r="D375" s="34">
        <f>SUMIFS(D376:D747,K376:K747,"0",B376:B747,"5 1 1 1 3 12 31111 6 M78 16000 173 00I*")-SUMIFS(E376:E747,K376:K747,"0",B376:B747,"5 1 1 1 3 12 31111 6 M78 16000 173 00I*")</f>
        <v>0</v>
      </c>
      <c r="E375" s="35"/>
      <c r="F375" s="34">
        <f>SUMIFS(F376:F747,K376:K747,"0",B376:B747,"5 1 1 1 3 12 31111 6 M78 16000 173 00I*")</f>
        <v>491600</v>
      </c>
      <c r="G375" s="34">
        <f>SUMIFS(G376:G747,K376:K747,"0",B376:B747,"5 1 1 1 3 12 31111 6 M78 16000 173 00I*")</f>
        <v>0</v>
      </c>
      <c r="H375" s="34">
        <f t="shared" si="8"/>
        <v>491600</v>
      </c>
      <c r="I375" s="34"/>
      <c r="K375" t="s">
        <v>15</v>
      </c>
    </row>
    <row r="376" spans="2:11" ht="22" x14ac:dyDescent="0.15">
      <c r="B376" s="33" t="s">
        <v>556</v>
      </c>
      <c r="C376" s="33" t="s">
        <v>455</v>
      </c>
      <c r="D376" s="34">
        <f>SUMIFS(D377:D747,K377:K747,"0",B377:B747,"5 1 1 1 3 12 31111 6 M78 16000 173 00I 001*")-SUMIFS(E377:E747,K377:K747,"0",B377:B747,"5 1 1 1 3 12 31111 6 M78 16000 173 00I 001*")</f>
        <v>0</v>
      </c>
      <c r="E376" s="35"/>
      <c r="F376" s="34">
        <f>SUMIFS(F377:F747,K377:K747,"0",B377:B747,"5 1 1 1 3 12 31111 6 M78 16000 173 00I 001*")</f>
        <v>491600</v>
      </c>
      <c r="G376" s="34">
        <f>SUMIFS(G377:G747,K377:K747,"0",B377:B747,"5 1 1 1 3 12 31111 6 M78 16000 173 00I 001*")</f>
        <v>0</v>
      </c>
      <c r="H376" s="34">
        <f t="shared" si="8"/>
        <v>491600</v>
      </c>
      <c r="I376" s="34"/>
      <c r="K376" t="s">
        <v>15</v>
      </c>
    </row>
    <row r="377" spans="2:11" ht="22" x14ac:dyDescent="0.15">
      <c r="B377" s="33" t="s">
        <v>557</v>
      </c>
      <c r="C377" s="33" t="s">
        <v>511</v>
      </c>
      <c r="D377" s="34">
        <f>SUMIFS(D378:D747,K378:K747,"0",B378:B747,"5 1 1 1 3 12 31111 6 M78 16000 173 00I 001 11301*")-SUMIFS(E378:E747,K378:K747,"0",B378:B747,"5 1 1 1 3 12 31111 6 M78 16000 173 00I 001 11301*")</f>
        <v>0</v>
      </c>
      <c r="E377" s="35"/>
      <c r="F377" s="34">
        <f>SUMIFS(F378:F747,K378:K747,"0",B378:B747,"5 1 1 1 3 12 31111 6 M78 16000 173 00I 001 11301*")</f>
        <v>491600</v>
      </c>
      <c r="G377" s="34">
        <f>SUMIFS(G378:G747,K378:K747,"0",B378:B747,"5 1 1 1 3 12 31111 6 M78 16000 173 00I 001 11301*")</f>
        <v>0</v>
      </c>
      <c r="H377" s="34">
        <f t="shared" si="8"/>
        <v>491600</v>
      </c>
      <c r="I377" s="34"/>
      <c r="K377" t="s">
        <v>15</v>
      </c>
    </row>
    <row r="378" spans="2:11" ht="22" x14ac:dyDescent="0.15">
      <c r="B378" s="33" t="s">
        <v>558</v>
      </c>
      <c r="C378" s="33" t="s">
        <v>173</v>
      </c>
      <c r="D378" s="34">
        <f>SUMIFS(D379:D747,K379:K747,"0",B379:B747,"5 1 1 1 3 12 31111 6 M78 16000 173 00I 001 11301 025*")-SUMIFS(E379:E747,K379:K747,"0",B379:B747,"5 1 1 1 3 12 31111 6 M78 16000 173 00I 001 11301 025*")</f>
        <v>0</v>
      </c>
      <c r="E378" s="35"/>
      <c r="F378" s="34">
        <f>SUMIFS(F379:F747,K379:K747,"0",B379:B747,"5 1 1 1 3 12 31111 6 M78 16000 173 00I 001 11301 025*")</f>
        <v>491600</v>
      </c>
      <c r="G378" s="34">
        <f>SUMIFS(G379:G747,K379:K747,"0",B379:B747,"5 1 1 1 3 12 31111 6 M78 16000 173 00I 001 11301 025*")</f>
        <v>0</v>
      </c>
      <c r="H378" s="34">
        <f t="shared" si="8"/>
        <v>491600</v>
      </c>
      <c r="I378" s="34"/>
      <c r="K378" t="s">
        <v>15</v>
      </c>
    </row>
    <row r="379" spans="2:11" ht="22" x14ac:dyDescent="0.15">
      <c r="B379" s="33" t="s">
        <v>559</v>
      </c>
      <c r="C379" s="33" t="s">
        <v>514</v>
      </c>
      <c r="D379" s="34">
        <f>SUMIFS(D380:D747,K380:K747,"0",B380:B747,"5 1 1 1 3 12 31111 6 M78 16000 173 00I 001 11301 025 2111100*")-SUMIFS(E380:E747,K380:K747,"0",B380:B747,"5 1 1 1 3 12 31111 6 M78 16000 173 00I 001 11301 025 2111100*")</f>
        <v>0</v>
      </c>
      <c r="E379" s="35"/>
      <c r="F379" s="34">
        <f>SUMIFS(F380:F747,K380:K747,"0",B380:B747,"5 1 1 1 3 12 31111 6 M78 16000 173 00I 001 11301 025 2111100*")</f>
        <v>491600</v>
      </c>
      <c r="G379" s="34">
        <f>SUMIFS(G380:G747,K380:K747,"0",B380:B747,"5 1 1 1 3 12 31111 6 M78 16000 173 00I 001 11301 025 2111100*")</f>
        <v>0</v>
      </c>
      <c r="H379" s="34">
        <f t="shared" si="8"/>
        <v>491600</v>
      </c>
      <c r="I379" s="34"/>
      <c r="K379" t="s">
        <v>15</v>
      </c>
    </row>
    <row r="380" spans="2:11" ht="33" x14ac:dyDescent="0.15">
      <c r="B380" s="33" t="s">
        <v>560</v>
      </c>
      <c r="C380" s="33" t="s">
        <v>318</v>
      </c>
      <c r="D380" s="34">
        <f>SUMIFS(D381:D747,K381:K747,"0",B381:B747,"5 1 1 1 3 12 31111 6 M78 16000 173 00I 001 11301 025 2111100 2024*")-SUMIFS(E381:E747,K381:K747,"0",B381:B747,"5 1 1 1 3 12 31111 6 M78 16000 173 00I 001 11301 025 2111100 2024*")</f>
        <v>0</v>
      </c>
      <c r="E380" s="35"/>
      <c r="F380" s="34">
        <f>SUMIFS(F381:F747,K381:K747,"0",B381:B747,"5 1 1 1 3 12 31111 6 M78 16000 173 00I 001 11301 025 2111100 2024*")</f>
        <v>491600</v>
      </c>
      <c r="G380" s="34">
        <f>SUMIFS(G381:G747,K381:K747,"0",B381:B747,"5 1 1 1 3 12 31111 6 M78 16000 173 00I 001 11301 025 2111100 2024*")</f>
        <v>0</v>
      </c>
      <c r="H380" s="34">
        <f t="shared" si="8"/>
        <v>491600</v>
      </c>
      <c r="I380" s="34"/>
      <c r="K380" t="s">
        <v>15</v>
      </c>
    </row>
    <row r="381" spans="2:11" ht="33" x14ac:dyDescent="0.15">
      <c r="B381" s="33" t="s">
        <v>561</v>
      </c>
      <c r="C381" s="33" t="s">
        <v>179</v>
      </c>
      <c r="D381" s="34">
        <f>SUMIFS(D382:D747,K382:K747,"0",B382:B747,"5 1 1 1 3 12 31111 6 M78 16000 173 00I 001 11301 025 2111100 2024 00000000*")-SUMIFS(E382:E747,K382:K747,"0",B382:B747,"5 1 1 1 3 12 31111 6 M78 16000 173 00I 001 11301 025 2111100 2024 00000000*")</f>
        <v>0</v>
      </c>
      <c r="E381" s="35"/>
      <c r="F381" s="34">
        <f>SUMIFS(F382:F747,K382:K747,"0",B382:B747,"5 1 1 1 3 12 31111 6 M78 16000 173 00I 001 11301 025 2111100 2024 00000000*")</f>
        <v>491600</v>
      </c>
      <c r="G381" s="34">
        <f>SUMIFS(G382:G747,K382:K747,"0",B382:B747,"5 1 1 1 3 12 31111 6 M78 16000 173 00I 001 11301 025 2111100 2024 00000000*")</f>
        <v>0</v>
      </c>
      <c r="H381" s="34">
        <f t="shared" si="8"/>
        <v>491600</v>
      </c>
      <c r="I381" s="34"/>
      <c r="K381" t="s">
        <v>15</v>
      </c>
    </row>
    <row r="382" spans="2:11" ht="33" x14ac:dyDescent="0.15">
      <c r="B382" s="33" t="s">
        <v>562</v>
      </c>
      <c r="C382" s="33" t="s">
        <v>9</v>
      </c>
      <c r="D382" s="34">
        <f>SUMIFS(D383:D747,K383:K747,"0",B383:B747,"5 1 1 1 3 12 31111 6 M78 16000 173 00I 001 11301 025 2111100 2024 00000000 003*")-SUMIFS(E383:E747,K383:K747,"0",B383:B747,"5 1 1 1 3 12 31111 6 M78 16000 173 00I 001 11301 025 2111100 2024 00000000 003*")</f>
        <v>0</v>
      </c>
      <c r="E382" s="35"/>
      <c r="F382" s="34">
        <f>SUMIFS(F383:F747,K383:K747,"0",B383:B747,"5 1 1 1 3 12 31111 6 M78 16000 173 00I 001 11301 025 2111100 2024 00000000 003*")</f>
        <v>491600</v>
      </c>
      <c r="G382" s="34">
        <f>SUMIFS(G383:G747,K383:K747,"0",B383:B747,"5 1 1 1 3 12 31111 6 M78 16000 173 00I 001 11301 025 2111100 2024 00000000 003*")</f>
        <v>0</v>
      </c>
      <c r="H382" s="34">
        <f t="shared" si="8"/>
        <v>491600</v>
      </c>
      <c r="I382" s="34"/>
      <c r="K382" t="s">
        <v>15</v>
      </c>
    </row>
    <row r="383" spans="2:11" ht="33" x14ac:dyDescent="0.15">
      <c r="B383" s="33" t="s">
        <v>563</v>
      </c>
      <c r="C383" s="33" t="s">
        <v>564</v>
      </c>
      <c r="D383" s="34">
        <f>SUMIFS(D384:D747,K384:K747,"0",B384:B747,"5 1 1 1 3 12 31111 6 M78 16000 173 00I 001 11301 025 2111100 2024 00000000 003 001*")-SUMIFS(E384:E747,K384:K747,"0",B384:B747,"5 1 1 1 3 12 31111 6 M78 16000 173 00I 001 11301 025 2111100 2024 00000000 003 001*")</f>
        <v>0</v>
      </c>
      <c r="E383" s="35"/>
      <c r="F383" s="34">
        <f>SUMIFS(F384:F747,K384:K747,"0",B384:B747,"5 1 1 1 3 12 31111 6 M78 16000 173 00I 001 11301 025 2111100 2024 00000000 003 001*")</f>
        <v>491600</v>
      </c>
      <c r="G383" s="34">
        <f>SUMIFS(G384:G747,K384:K747,"0",B384:B747,"5 1 1 1 3 12 31111 6 M78 16000 173 00I 001 11301 025 2111100 2024 00000000 003 001*")</f>
        <v>0</v>
      </c>
      <c r="H383" s="34">
        <f t="shared" si="8"/>
        <v>491600</v>
      </c>
      <c r="I383" s="34"/>
      <c r="K383" t="s">
        <v>15</v>
      </c>
    </row>
    <row r="384" spans="2:11" ht="33" x14ac:dyDescent="0.15">
      <c r="B384" s="36" t="s">
        <v>565</v>
      </c>
      <c r="C384" s="36" t="s">
        <v>537</v>
      </c>
      <c r="D384" s="37">
        <v>0</v>
      </c>
      <c r="E384" s="37"/>
      <c r="F384" s="37">
        <v>491600</v>
      </c>
      <c r="G384" s="37">
        <v>0</v>
      </c>
      <c r="H384" s="37">
        <f t="shared" si="8"/>
        <v>491600</v>
      </c>
      <c r="I384" s="37"/>
      <c r="K384" t="s">
        <v>39</v>
      </c>
    </row>
    <row r="385" spans="2:11" ht="13" x14ac:dyDescent="0.15">
      <c r="B385" s="33" t="s">
        <v>566</v>
      </c>
      <c r="C385" s="33" t="s">
        <v>567</v>
      </c>
      <c r="D385" s="34">
        <f>SUMIFS(D386:D747,K386:K747,"0",B386:B747,"5 1 1 1 3 12 31111 6 M78 17000*")-SUMIFS(E386:E747,K386:K747,"0",B386:B747,"5 1 1 1 3 12 31111 6 M78 17000*")</f>
        <v>0</v>
      </c>
      <c r="E385" s="35"/>
      <c r="F385" s="34">
        <f>SUMIFS(F386:F747,K386:K747,"0",B386:B747,"5 1 1 1 3 12 31111 6 M78 17000*")</f>
        <v>769437.15</v>
      </c>
      <c r="G385" s="34">
        <f>SUMIFS(G386:G747,K386:K747,"0",B386:B747,"5 1 1 1 3 12 31111 6 M78 17000*")</f>
        <v>0</v>
      </c>
      <c r="H385" s="34">
        <f t="shared" si="8"/>
        <v>769437.15</v>
      </c>
      <c r="I385" s="34"/>
      <c r="K385" t="s">
        <v>15</v>
      </c>
    </row>
    <row r="386" spans="2:11" ht="22" x14ac:dyDescent="0.15">
      <c r="B386" s="33" t="s">
        <v>568</v>
      </c>
      <c r="C386" s="33" t="s">
        <v>569</v>
      </c>
      <c r="D386" s="34">
        <f>SUMIFS(D387:D747,K387:K747,"0",B387:B747,"5 1 1 1 3 12 31111 6 M78 17000 172*")-SUMIFS(E387:E747,K387:K747,"0",B387:B747,"5 1 1 1 3 12 31111 6 M78 17000 172*")</f>
        <v>0</v>
      </c>
      <c r="E386" s="35"/>
      <c r="F386" s="34">
        <f>SUMIFS(F387:F747,K387:K747,"0",B387:B747,"5 1 1 1 3 12 31111 6 M78 17000 172*")</f>
        <v>769437.15</v>
      </c>
      <c r="G386" s="34">
        <f>SUMIFS(G387:G747,K387:K747,"0",B387:B747,"5 1 1 1 3 12 31111 6 M78 17000 172*")</f>
        <v>0</v>
      </c>
      <c r="H386" s="34">
        <f t="shared" si="8"/>
        <v>769437.15</v>
      </c>
      <c r="I386" s="34"/>
      <c r="K386" t="s">
        <v>15</v>
      </c>
    </row>
    <row r="387" spans="2:11" ht="22" x14ac:dyDescent="0.15">
      <c r="B387" s="33" t="s">
        <v>570</v>
      </c>
      <c r="C387" s="33" t="s">
        <v>167</v>
      </c>
      <c r="D387" s="34">
        <f>SUMIFS(D388:D747,K388:K747,"0",B388:B747,"5 1 1 1 3 12 31111 6 M78 17000 172 00I*")-SUMIFS(E388:E747,K388:K747,"0",B388:B747,"5 1 1 1 3 12 31111 6 M78 17000 172 00I*")</f>
        <v>0</v>
      </c>
      <c r="E387" s="35"/>
      <c r="F387" s="34">
        <f>SUMIFS(F388:F747,K388:K747,"0",B388:B747,"5 1 1 1 3 12 31111 6 M78 17000 172 00I*")</f>
        <v>769437.15</v>
      </c>
      <c r="G387" s="34">
        <f>SUMIFS(G388:G747,K388:K747,"0",B388:B747,"5 1 1 1 3 12 31111 6 M78 17000 172 00I*")</f>
        <v>0</v>
      </c>
      <c r="H387" s="34">
        <f t="shared" si="8"/>
        <v>769437.15</v>
      </c>
      <c r="I387" s="34"/>
      <c r="K387" t="s">
        <v>15</v>
      </c>
    </row>
    <row r="388" spans="2:11" ht="22" x14ac:dyDescent="0.15">
      <c r="B388" s="33" t="s">
        <v>571</v>
      </c>
      <c r="C388" s="33" t="s">
        <v>455</v>
      </c>
      <c r="D388" s="34">
        <f>SUMIFS(D389:D747,K389:K747,"0",B389:B747,"5 1 1 1 3 12 31111 6 M78 17000 172 00I 001*")-SUMIFS(E389:E747,K389:K747,"0",B389:B747,"5 1 1 1 3 12 31111 6 M78 17000 172 00I 001*")</f>
        <v>0</v>
      </c>
      <c r="E388" s="35"/>
      <c r="F388" s="34">
        <f>SUMIFS(F389:F747,K389:K747,"0",B389:B747,"5 1 1 1 3 12 31111 6 M78 17000 172 00I 001*")</f>
        <v>769437.15</v>
      </c>
      <c r="G388" s="34">
        <f>SUMIFS(G389:G747,K389:K747,"0",B389:B747,"5 1 1 1 3 12 31111 6 M78 17000 172 00I 001*")</f>
        <v>0</v>
      </c>
      <c r="H388" s="34">
        <f t="shared" si="8"/>
        <v>769437.15</v>
      </c>
      <c r="I388" s="34"/>
      <c r="K388" t="s">
        <v>15</v>
      </c>
    </row>
    <row r="389" spans="2:11" ht="22" x14ac:dyDescent="0.15">
      <c r="B389" s="33" t="s">
        <v>572</v>
      </c>
      <c r="C389" s="33" t="s">
        <v>511</v>
      </c>
      <c r="D389" s="34">
        <f>SUMIFS(D390:D747,K390:K747,"0",B390:B747,"5 1 1 1 3 12 31111 6 M78 17000 172 00I 001 11301*")-SUMIFS(E390:E747,K390:K747,"0",B390:B747,"5 1 1 1 3 12 31111 6 M78 17000 172 00I 001 11301*")</f>
        <v>0</v>
      </c>
      <c r="E389" s="35"/>
      <c r="F389" s="34">
        <f>SUMIFS(F390:F747,K390:K747,"0",B390:B747,"5 1 1 1 3 12 31111 6 M78 17000 172 00I 001 11301*")</f>
        <v>769437.15</v>
      </c>
      <c r="G389" s="34">
        <f>SUMIFS(G390:G747,K390:K747,"0",B390:B747,"5 1 1 1 3 12 31111 6 M78 17000 172 00I 001 11301*")</f>
        <v>0</v>
      </c>
      <c r="H389" s="34">
        <f t="shared" si="8"/>
        <v>769437.15</v>
      </c>
      <c r="I389" s="34"/>
      <c r="K389" t="s">
        <v>15</v>
      </c>
    </row>
    <row r="390" spans="2:11" ht="22" x14ac:dyDescent="0.15">
      <c r="B390" s="33" t="s">
        <v>573</v>
      </c>
      <c r="C390" s="33" t="s">
        <v>173</v>
      </c>
      <c r="D390" s="34">
        <f>SUMIFS(D391:D747,K391:K747,"0",B391:B747,"5 1 1 1 3 12 31111 6 M78 17000 172 00I 001 11301 025*")-SUMIFS(E391:E747,K391:K747,"0",B391:B747,"5 1 1 1 3 12 31111 6 M78 17000 172 00I 001 11301 025*")</f>
        <v>0</v>
      </c>
      <c r="E390" s="35"/>
      <c r="F390" s="34">
        <f>SUMIFS(F391:F747,K391:K747,"0",B391:B747,"5 1 1 1 3 12 31111 6 M78 17000 172 00I 001 11301 025*")</f>
        <v>769437.15</v>
      </c>
      <c r="G390" s="34">
        <f>SUMIFS(G391:G747,K391:K747,"0",B391:B747,"5 1 1 1 3 12 31111 6 M78 17000 172 00I 001 11301 025*")</f>
        <v>0</v>
      </c>
      <c r="H390" s="34">
        <f t="shared" si="8"/>
        <v>769437.15</v>
      </c>
      <c r="I390" s="34"/>
      <c r="K390" t="s">
        <v>15</v>
      </c>
    </row>
    <row r="391" spans="2:11" ht="22" x14ac:dyDescent="0.15">
      <c r="B391" s="33" t="s">
        <v>574</v>
      </c>
      <c r="C391" s="33" t="s">
        <v>514</v>
      </c>
      <c r="D391" s="34">
        <f>SUMIFS(D392:D747,K392:K747,"0",B392:B747,"5 1 1 1 3 12 31111 6 M78 17000 172 00I 001 11301 025 2111100*")-SUMIFS(E392:E747,K392:K747,"0",B392:B747,"5 1 1 1 3 12 31111 6 M78 17000 172 00I 001 11301 025 2111100*")</f>
        <v>0</v>
      </c>
      <c r="E391" s="35"/>
      <c r="F391" s="34">
        <f>SUMIFS(F392:F747,K392:K747,"0",B392:B747,"5 1 1 1 3 12 31111 6 M78 17000 172 00I 001 11301 025 2111100*")</f>
        <v>769437.15</v>
      </c>
      <c r="G391" s="34">
        <f>SUMIFS(G392:G747,K392:K747,"0",B392:B747,"5 1 1 1 3 12 31111 6 M78 17000 172 00I 001 11301 025 2111100*")</f>
        <v>0</v>
      </c>
      <c r="H391" s="34">
        <f t="shared" si="8"/>
        <v>769437.15</v>
      </c>
      <c r="I391" s="34"/>
      <c r="K391" t="s">
        <v>15</v>
      </c>
    </row>
    <row r="392" spans="2:11" ht="33" x14ac:dyDescent="0.15">
      <c r="B392" s="33" t="s">
        <v>575</v>
      </c>
      <c r="C392" s="33" t="s">
        <v>318</v>
      </c>
      <c r="D392" s="34">
        <f>SUMIFS(D393:D747,K393:K747,"0",B393:B747,"5 1 1 1 3 12 31111 6 M78 17000 172 00I 001 11301 025 2111100 2024*")-SUMIFS(E393:E747,K393:K747,"0",B393:B747,"5 1 1 1 3 12 31111 6 M78 17000 172 00I 001 11301 025 2111100 2024*")</f>
        <v>0</v>
      </c>
      <c r="E392" s="35"/>
      <c r="F392" s="34">
        <f>SUMIFS(F393:F747,K393:K747,"0",B393:B747,"5 1 1 1 3 12 31111 6 M78 17000 172 00I 001 11301 025 2111100 2024*")</f>
        <v>769437.15</v>
      </c>
      <c r="G392" s="34">
        <f>SUMIFS(G393:G747,K393:K747,"0",B393:B747,"5 1 1 1 3 12 31111 6 M78 17000 172 00I 001 11301 025 2111100 2024*")</f>
        <v>0</v>
      </c>
      <c r="H392" s="34">
        <f t="shared" ref="H392:H455" si="9">D392 + F392 - G392</f>
        <v>769437.15</v>
      </c>
      <c r="I392" s="34"/>
      <c r="K392" t="s">
        <v>15</v>
      </c>
    </row>
    <row r="393" spans="2:11" ht="33" x14ac:dyDescent="0.15">
      <c r="B393" s="33" t="s">
        <v>576</v>
      </c>
      <c r="C393" s="33" t="s">
        <v>179</v>
      </c>
      <c r="D393" s="34">
        <f>SUMIFS(D394:D747,K394:K747,"0",B394:B747,"5 1 1 1 3 12 31111 6 M78 17000 172 00I 001 11301 025 2111100 2024 00000000*")-SUMIFS(E394:E747,K394:K747,"0",B394:B747,"5 1 1 1 3 12 31111 6 M78 17000 172 00I 001 11301 025 2111100 2024 00000000*")</f>
        <v>0</v>
      </c>
      <c r="E393" s="35"/>
      <c r="F393" s="34">
        <f>SUMIFS(F394:F747,K394:K747,"0",B394:B747,"5 1 1 1 3 12 31111 6 M78 17000 172 00I 001 11301 025 2111100 2024 00000000*")</f>
        <v>769437.15</v>
      </c>
      <c r="G393" s="34">
        <f>SUMIFS(G394:G747,K394:K747,"0",B394:B747,"5 1 1 1 3 12 31111 6 M78 17000 172 00I 001 11301 025 2111100 2024 00000000*")</f>
        <v>0</v>
      </c>
      <c r="H393" s="34">
        <f t="shared" si="9"/>
        <v>769437.15</v>
      </c>
      <c r="I393" s="34"/>
      <c r="K393" t="s">
        <v>15</v>
      </c>
    </row>
    <row r="394" spans="2:11" ht="33" x14ac:dyDescent="0.15">
      <c r="B394" s="33" t="s">
        <v>577</v>
      </c>
      <c r="C394" s="33" t="s">
        <v>9</v>
      </c>
      <c r="D394" s="34">
        <f>SUMIFS(D395:D747,K395:K747,"0",B395:B747,"5 1 1 1 3 12 31111 6 M78 17000 172 00I 001 11301 025 2111100 2024 00000000 003*")-SUMIFS(E395:E747,K395:K747,"0",B395:B747,"5 1 1 1 3 12 31111 6 M78 17000 172 00I 001 11301 025 2111100 2024 00000000 003*")</f>
        <v>0</v>
      </c>
      <c r="E394" s="35"/>
      <c r="F394" s="34">
        <f>SUMIFS(F395:F747,K395:K747,"0",B395:B747,"5 1 1 1 3 12 31111 6 M78 17000 172 00I 001 11301 025 2111100 2024 00000000 003*")</f>
        <v>769437.15</v>
      </c>
      <c r="G394" s="34">
        <f>SUMIFS(G395:G747,K395:K747,"0",B395:B747,"5 1 1 1 3 12 31111 6 M78 17000 172 00I 001 11301 025 2111100 2024 00000000 003*")</f>
        <v>0</v>
      </c>
      <c r="H394" s="34">
        <f t="shared" si="9"/>
        <v>769437.15</v>
      </c>
      <c r="I394" s="34"/>
      <c r="K394" t="s">
        <v>15</v>
      </c>
    </row>
    <row r="395" spans="2:11" ht="33" x14ac:dyDescent="0.15">
      <c r="B395" s="33" t="s">
        <v>578</v>
      </c>
      <c r="C395" s="33" t="s">
        <v>579</v>
      </c>
      <c r="D395" s="34">
        <f>SUMIFS(D396:D747,K396:K747,"0",B396:B747,"5 1 1 1 3 12 31111 6 M78 17000 172 00I 001 11301 025 2111100 2024 00000000 003 001*")-SUMIFS(E396:E747,K396:K747,"0",B396:B747,"5 1 1 1 3 12 31111 6 M78 17000 172 00I 001 11301 025 2111100 2024 00000000 003 001*")</f>
        <v>0</v>
      </c>
      <c r="E395" s="35"/>
      <c r="F395" s="34">
        <f>SUMIFS(F396:F747,K396:K747,"0",B396:B747,"5 1 1 1 3 12 31111 6 M78 17000 172 00I 001 11301 025 2111100 2024 00000000 003 001*")</f>
        <v>769437.15</v>
      </c>
      <c r="G395" s="34">
        <f>SUMIFS(G396:G747,K396:K747,"0",B396:B747,"5 1 1 1 3 12 31111 6 M78 17000 172 00I 001 11301 025 2111100 2024 00000000 003 001*")</f>
        <v>0</v>
      </c>
      <c r="H395" s="34">
        <f t="shared" si="9"/>
        <v>769437.15</v>
      </c>
      <c r="I395" s="34"/>
      <c r="K395" t="s">
        <v>15</v>
      </c>
    </row>
    <row r="396" spans="2:11" ht="33" x14ac:dyDescent="0.15">
      <c r="B396" s="36" t="s">
        <v>580</v>
      </c>
      <c r="C396" s="36" t="s">
        <v>537</v>
      </c>
      <c r="D396" s="37">
        <v>0</v>
      </c>
      <c r="E396" s="37"/>
      <c r="F396" s="37">
        <v>769437.15</v>
      </c>
      <c r="G396" s="37">
        <v>0</v>
      </c>
      <c r="H396" s="37">
        <f t="shared" si="9"/>
        <v>769437.15</v>
      </c>
      <c r="I396" s="37"/>
      <c r="K396" t="s">
        <v>39</v>
      </c>
    </row>
    <row r="397" spans="2:11" ht="13" x14ac:dyDescent="0.15">
      <c r="B397" s="33" t="s">
        <v>581</v>
      </c>
      <c r="C397" s="33" t="s">
        <v>582</v>
      </c>
      <c r="D397" s="34">
        <f>SUMIFS(D398:D747,K398:K747,"0",B398:B747,"5 1 1 3*")-SUMIFS(E398:E747,K398:K747,"0",B398:B747,"5 1 1 3*")</f>
        <v>0</v>
      </c>
      <c r="E397" s="35"/>
      <c r="F397" s="34">
        <f>SUMIFS(F398:F747,K398:K747,"0",B398:B747,"5 1 1 3*")</f>
        <v>265101.77999999997</v>
      </c>
      <c r="G397" s="34">
        <f>SUMIFS(G398:G747,K398:K747,"0",B398:B747,"5 1 1 3*")</f>
        <v>0</v>
      </c>
      <c r="H397" s="34">
        <f t="shared" si="9"/>
        <v>265101.77999999997</v>
      </c>
      <c r="I397" s="34"/>
      <c r="K397" t="s">
        <v>15</v>
      </c>
    </row>
    <row r="398" spans="2:11" ht="13" x14ac:dyDescent="0.15">
      <c r="B398" s="33" t="s">
        <v>583</v>
      </c>
      <c r="C398" s="33" t="s">
        <v>584</v>
      </c>
      <c r="D398" s="34">
        <f>SUMIFS(D399:D747,K399:K747,"0",B399:B747,"5 1 1 3 4*")-SUMIFS(E399:E747,K399:K747,"0",B399:B747,"5 1 1 3 4*")</f>
        <v>0</v>
      </c>
      <c r="E398" s="35"/>
      <c r="F398" s="34">
        <f>SUMIFS(F399:F747,K399:K747,"0",B399:B747,"5 1 1 3 4*")</f>
        <v>265101.77999999997</v>
      </c>
      <c r="G398" s="34">
        <f>SUMIFS(G399:G747,K399:K747,"0",B399:B747,"5 1 1 3 4*")</f>
        <v>0</v>
      </c>
      <c r="H398" s="34">
        <f t="shared" si="9"/>
        <v>265101.77999999997</v>
      </c>
      <c r="I398" s="34"/>
      <c r="K398" t="s">
        <v>15</v>
      </c>
    </row>
    <row r="399" spans="2:11" ht="13" x14ac:dyDescent="0.15">
      <c r="B399" s="33" t="s">
        <v>585</v>
      </c>
      <c r="C399" s="33" t="s">
        <v>26</v>
      </c>
      <c r="D399" s="34">
        <f>SUMIFS(D400:D747,K400:K747,"0",B400:B747,"5 1 1 3 4 12*")-SUMIFS(E400:E747,K400:K747,"0",B400:B747,"5 1 1 3 4 12*")</f>
        <v>0</v>
      </c>
      <c r="E399" s="35"/>
      <c r="F399" s="34">
        <f>SUMIFS(F400:F747,K400:K747,"0",B400:B747,"5 1 1 3 4 12*")</f>
        <v>265101.77999999997</v>
      </c>
      <c r="G399" s="34">
        <f>SUMIFS(G400:G747,K400:K747,"0",B400:B747,"5 1 1 3 4 12*")</f>
        <v>0</v>
      </c>
      <c r="H399" s="34">
        <f t="shared" si="9"/>
        <v>265101.77999999997</v>
      </c>
      <c r="I399" s="34"/>
      <c r="K399" t="s">
        <v>15</v>
      </c>
    </row>
    <row r="400" spans="2:11" ht="13" x14ac:dyDescent="0.15">
      <c r="B400" s="33" t="s">
        <v>586</v>
      </c>
      <c r="C400" s="33" t="s">
        <v>28</v>
      </c>
      <c r="D400" s="34">
        <f>SUMIFS(D401:D747,K401:K747,"0",B401:B747,"5 1 1 3 4 12 31111*")-SUMIFS(E401:E747,K401:K747,"0",B401:B747,"5 1 1 3 4 12 31111*")</f>
        <v>0</v>
      </c>
      <c r="E400" s="35"/>
      <c r="F400" s="34">
        <f>SUMIFS(F401:F747,K401:K747,"0",B401:B747,"5 1 1 3 4 12 31111*")</f>
        <v>265101.77999999997</v>
      </c>
      <c r="G400" s="34">
        <f>SUMIFS(G401:G747,K401:K747,"0",B401:B747,"5 1 1 3 4 12 31111*")</f>
        <v>0</v>
      </c>
      <c r="H400" s="34">
        <f t="shared" si="9"/>
        <v>265101.77999999997</v>
      </c>
      <c r="I400" s="34"/>
      <c r="K400" t="s">
        <v>15</v>
      </c>
    </row>
    <row r="401" spans="2:11" ht="13" x14ac:dyDescent="0.15">
      <c r="B401" s="33" t="s">
        <v>587</v>
      </c>
      <c r="C401" s="33" t="s">
        <v>30</v>
      </c>
      <c r="D401" s="34">
        <f>SUMIFS(D402:D747,K402:K747,"0",B402:B747,"5 1 1 3 4 12 31111 6*")-SUMIFS(E402:E747,K402:K747,"0",B402:B747,"5 1 1 3 4 12 31111 6*")</f>
        <v>0</v>
      </c>
      <c r="E401" s="35"/>
      <c r="F401" s="34">
        <f>SUMIFS(F402:F747,K402:K747,"0",B402:B747,"5 1 1 3 4 12 31111 6*")</f>
        <v>265101.77999999997</v>
      </c>
      <c r="G401" s="34">
        <f>SUMIFS(G402:G747,K402:K747,"0",B402:B747,"5 1 1 3 4 12 31111 6*")</f>
        <v>0</v>
      </c>
      <c r="H401" s="34">
        <f t="shared" si="9"/>
        <v>265101.77999999997</v>
      </c>
      <c r="I401" s="34"/>
      <c r="K401" t="s">
        <v>15</v>
      </c>
    </row>
    <row r="402" spans="2:11" ht="13" x14ac:dyDescent="0.15">
      <c r="B402" s="33" t="s">
        <v>588</v>
      </c>
      <c r="C402" s="33" t="s">
        <v>503</v>
      </c>
      <c r="D402" s="34">
        <f>SUMIFS(D403:D747,K403:K747,"0",B403:B747,"5 1 1 3 4 12 31111 6 M78*")-SUMIFS(E403:E747,K403:K747,"0",B403:B747,"5 1 1 3 4 12 31111 6 M78*")</f>
        <v>0</v>
      </c>
      <c r="E402" s="35"/>
      <c r="F402" s="34">
        <f>SUMIFS(F403:F747,K403:K747,"0",B403:B747,"5 1 1 3 4 12 31111 6 M78*")</f>
        <v>265101.77999999997</v>
      </c>
      <c r="G402" s="34">
        <f>SUMIFS(G403:G747,K403:K747,"0",B403:B747,"5 1 1 3 4 12 31111 6 M78*")</f>
        <v>0</v>
      </c>
      <c r="H402" s="34">
        <f t="shared" si="9"/>
        <v>265101.77999999997</v>
      </c>
      <c r="I402" s="34"/>
      <c r="K402" t="s">
        <v>15</v>
      </c>
    </row>
    <row r="403" spans="2:11" ht="13" x14ac:dyDescent="0.15">
      <c r="B403" s="33" t="s">
        <v>589</v>
      </c>
      <c r="C403" s="33" t="s">
        <v>505</v>
      </c>
      <c r="D403" s="34">
        <f>SUMIFS(D404:D747,K404:K747,"0",B404:B747,"5 1 1 3 4 12 31111 6 M78 03000*")-SUMIFS(E404:E747,K404:K747,"0",B404:B747,"5 1 1 3 4 12 31111 6 M78 03000*")</f>
        <v>0</v>
      </c>
      <c r="E403" s="35"/>
      <c r="F403" s="34">
        <f>SUMIFS(F404:F747,K404:K747,"0",B404:B747,"5 1 1 3 4 12 31111 6 M78 03000*")</f>
        <v>39739.919999999998</v>
      </c>
      <c r="G403" s="34">
        <f>SUMIFS(G404:G747,K404:K747,"0",B404:B747,"5 1 1 3 4 12 31111 6 M78 03000*")</f>
        <v>0</v>
      </c>
      <c r="H403" s="34">
        <f t="shared" si="9"/>
        <v>39739.919999999998</v>
      </c>
      <c r="I403" s="34"/>
      <c r="K403" t="s">
        <v>15</v>
      </c>
    </row>
    <row r="404" spans="2:11" ht="22" x14ac:dyDescent="0.15">
      <c r="B404" s="33" t="s">
        <v>590</v>
      </c>
      <c r="C404" s="33" t="s">
        <v>507</v>
      </c>
      <c r="D404" s="34">
        <f>SUMIFS(D405:D747,K405:K747,"0",B405:B747,"5 1 1 3 4 12 31111 6 M78 03000 135*")-SUMIFS(E405:E747,K405:K747,"0",B405:B747,"5 1 1 3 4 12 31111 6 M78 03000 135*")</f>
        <v>0</v>
      </c>
      <c r="E404" s="35"/>
      <c r="F404" s="34">
        <f>SUMIFS(F405:F747,K405:K747,"0",B405:B747,"5 1 1 3 4 12 31111 6 M78 03000 135*")</f>
        <v>39739.919999999998</v>
      </c>
      <c r="G404" s="34">
        <f>SUMIFS(G405:G747,K405:K747,"0",B405:B747,"5 1 1 3 4 12 31111 6 M78 03000 135*")</f>
        <v>0</v>
      </c>
      <c r="H404" s="34">
        <f t="shared" si="9"/>
        <v>39739.919999999998</v>
      </c>
      <c r="I404" s="34"/>
      <c r="K404" t="s">
        <v>15</v>
      </c>
    </row>
    <row r="405" spans="2:11" ht="22" x14ac:dyDescent="0.15">
      <c r="B405" s="33" t="s">
        <v>591</v>
      </c>
      <c r="C405" s="33" t="s">
        <v>167</v>
      </c>
      <c r="D405" s="34">
        <f>SUMIFS(D406:D747,K406:K747,"0",B406:B747,"5 1 1 3 4 12 31111 6 M78 03000 135 00I*")-SUMIFS(E406:E747,K406:K747,"0",B406:B747,"5 1 1 3 4 12 31111 6 M78 03000 135 00I*")</f>
        <v>0</v>
      </c>
      <c r="E405" s="35"/>
      <c r="F405" s="34">
        <f>SUMIFS(F406:F747,K406:K747,"0",B406:B747,"5 1 1 3 4 12 31111 6 M78 03000 135 00I*")</f>
        <v>39739.919999999998</v>
      </c>
      <c r="G405" s="34">
        <f>SUMIFS(G406:G747,K406:K747,"0",B406:B747,"5 1 1 3 4 12 31111 6 M78 03000 135 00I*")</f>
        <v>0</v>
      </c>
      <c r="H405" s="34">
        <f t="shared" si="9"/>
        <v>39739.919999999998</v>
      </c>
      <c r="I405" s="34"/>
      <c r="K405" t="s">
        <v>15</v>
      </c>
    </row>
    <row r="406" spans="2:11" ht="22" x14ac:dyDescent="0.15">
      <c r="B406" s="33" t="s">
        <v>592</v>
      </c>
      <c r="C406" s="33" t="s">
        <v>455</v>
      </c>
      <c r="D406" s="34">
        <f>SUMIFS(D407:D747,K407:K747,"0",B407:B747,"5 1 1 3 4 12 31111 6 M78 03000 135 00I 001*")-SUMIFS(E407:E747,K407:K747,"0",B407:B747,"5 1 1 3 4 12 31111 6 M78 03000 135 00I 001*")</f>
        <v>0</v>
      </c>
      <c r="E406" s="35"/>
      <c r="F406" s="34">
        <f>SUMIFS(F407:F747,K407:K747,"0",B407:B747,"5 1 1 3 4 12 31111 6 M78 03000 135 00I 001*")</f>
        <v>39739.919999999998</v>
      </c>
      <c r="G406" s="34">
        <f>SUMIFS(G407:G747,K407:K747,"0",B407:B747,"5 1 1 3 4 12 31111 6 M78 03000 135 00I 001*")</f>
        <v>0</v>
      </c>
      <c r="H406" s="34">
        <f t="shared" si="9"/>
        <v>39739.919999999998</v>
      </c>
      <c r="I406" s="34"/>
      <c r="K406" t="s">
        <v>15</v>
      </c>
    </row>
    <row r="407" spans="2:11" ht="22" x14ac:dyDescent="0.15">
      <c r="B407" s="33" t="s">
        <v>593</v>
      </c>
      <c r="C407" s="33" t="s">
        <v>594</v>
      </c>
      <c r="D407" s="34">
        <f>SUMIFS(D408:D747,K408:K747,"0",B408:B747,"5 1 1 3 4 12 31111 6 M78 03000 135 00I 001 13406*")-SUMIFS(E408:E747,K408:K747,"0",B408:B747,"5 1 1 3 4 12 31111 6 M78 03000 135 00I 001 13406*")</f>
        <v>0</v>
      </c>
      <c r="E407" s="35"/>
      <c r="F407" s="34">
        <f>SUMIFS(F408:F747,K408:K747,"0",B408:B747,"5 1 1 3 4 12 31111 6 M78 03000 135 00I 001 13406*")</f>
        <v>39739.919999999998</v>
      </c>
      <c r="G407" s="34">
        <f>SUMIFS(G408:G747,K408:K747,"0",B408:B747,"5 1 1 3 4 12 31111 6 M78 03000 135 00I 001 13406*")</f>
        <v>0</v>
      </c>
      <c r="H407" s="34">
        <f t="shared" si="9"/>
        <v>39739.919999999998</v>
      </c>
      <c r="I407" s="34"/>
      <c r="K407" t="s">
        <v>15</v>
      </c>
    </row>
    <row r="408" spans="2:11" ht="22" x14ac:dyDescent="0.15">
      <c r="B408" s="33" t="s">
        <v>595</v>
      </c>
      <c r="C408" s="33" t="s">
        <v>173</v>
      </c>
      <c r="D408" s="34">
        <f>SUMIFS(D409:D747,K409:K747,"0",B409:B747,"5 1 1 3 4 12 31111 6 M78 03000 135 00I 001 13406 025*")-SUMIFS(E409:E747,K409:K747,"0",B409:B747,"5 1 1 3 4 12 31111 6 M78 03000 135 00I 001 13406 025*")</f>
        <v>0</v>
      </c>
      <c r="E408" s="35"/>
      <c r="F408" s="34">
        <f>SUMIFS(F409:F747,K409:K747,"0",B409:B747,"5 1 1 3 4 12 31111 6 M78 03000 135 00I 001 13406 025*")</f>
        <v>39739.919999999998</v>
      </c>
      <c r="G408" s="34">
        <f>SUMIFS(G409:G747,K409:K747,"0",B409:B747,"5 1 1 3 4 12 31111 6 M78 03000 135 00I 001 13406 025*")</f>
        <v>0</v>
      </c>
      <c r="H408" s="34">
        <f t="shared" si="9"/>
        <v>39739.919999999998</v>
      </c>
      <c r="I408" s="34"/>
      <c r="K408" t="s">
        <v>15</v>
      </c>
    </row>
    <row r="409" spans="2:11" ht="22" x14ac:dyDescent="0.15">
      <c r="B409" s="33" t="s">
        <v>596</v>
      </c>
      <c r="C409" s="33" t="s">
        <v>514</v>
      </c>
      <c r="D409" s="34">
        <f>SUMIFS(D410:D747,K410:K747,"0",B410:B747,"5 1 1 3 4 12 31111 6 M78 03000 135 00I 001 13406 025 2111100*")-SUMIFS(E410:E747,K410:K747,"0",B410:B747,"5 1 1 3 4 12 31111 6 M78 03000 135 00I 001 13406 025 2111100*")</f>
        <v>0</v>
      </c>
      <c r="E409" s="35"/>
      <c r="F409" s="34">
        <f>SUMIFS(F410:F747,K410:K747,"0",B410:B747,"5 1 1 3 4 12 31111 6 M78 03000 135 00I 001 13406 025 2111100*")</f>
        <v>39739.919999999998</v>
      </c>
      <c r="G409" s="34">
        <f>SUMIFS(G410:G747,K410:K747,"0",B410:B747,"5 1 1 3 4 12 31111 6 M78 03000 135 00I 001 13406 025 2111100*")</f>
        <v>0</v>
      </c>
      <c r="H409" s="34">
        <f t="shared" si="9"/>
        <v>39739.919999999998</v>
      </c>
      <c r="I409" s="34"/>
      <c r="K409" t="s">
        <v>15</v>
      </c>
    </row>
    <row r="410" spans="2:11" ht="33" x14ac:dyDescent="0.15">
      <c r="B410" s="33" t="s">
        <v>597</v>
      </c>
      <c r="C410" s="33" t="s">
        <v>318</v>
      </c>
      <c r="D410" s="34">
        <f>SUMIFS(D411:D747,K411:K747,"0",B411:B747,"5 1 1 3 4 12 31111 6 M78 03000 135 00I 001 13406 025 2111100 2024*")-SUMIFS(E411:E747,K411:K747,"0",B411:B747,"5 1 1 3 4 12 31111 6 M78 03000 135 00I 001 13406 025 2111100 2024*")</f>
        <v>0</v>
      </c>
      <c r="E410" s="35"/>
      <c r="F410" s="34">
        <f>SUMIFS(F411:F747,K411:K747,"0",B411:B747,"5 1 1 3 4 12 31111 6 M78 03000 135 00I 001 13406 025 2111100 2024*")</f>
        <v>39739.919999999998</v>
      </c>
      <c r="G410" s="34">
        <f>SUMIFS(G411:G747,K411:K747,"0",B411:B747,"5 1 1 3 4 12 31111 6 M78 03000 135 00I 001 13406 025 2111100 2024*")</f>
        <v>0</v>
      </c>
      <c r="H410" s="34">
        <f t="shared" si="9"/>
        <v>39739.919999999998</v>
      </c>
      <c r="I410" s="34"/>
      <c r="K410" t="s">
        <v>15</v>
      </c>
    </row>
    <row r="411" spans="2:11" ht="33" x14ac:dyDescent="0.15">
      <c r="B411" s="33" t="s">
        <v>598</v>
      </c>
      <c r="C411" s="33" t="s">
        <v>179</v>
      </c>
      <c r="D411" s="34">
        <f>SUMIFS(D412:D747,K412:K747,"0",B412:B747,"5 1 1 3 4 12 31111 6 M78 03000 135 00I 001 13406 025 2111100 2024 00000000*")-SUMIFS(E412:E747,K412:K747,"0",B412:B747,"5 1 1 3 4 12 31111 6 M78 03000 135 00I 001 13406 025 2111100 2024 00000000*")</f>
        <v>0</v>
      </c>
      <c r="E411" s="35"/>
      <c r="F411" s="34">
        <f>SUMIFS(F412:F747,K412:K747,"0",B412:B747,"5 1 1 3 4 12 31111 6 M78 03000 135 00I 001 13406 025 2111100 2024 00000000*")</f>
        <v>39739.919999999998</v>
      </c>
      <c r="G411" s="34">
        <f>SUMIFS(G412:G747,K412:K747,"0",B412:B747,"5 1 1 3 4 12 31111 6 M78 03000 135 00I 001 13406 025 2111100 2024 00000000*")</f>
        <v>0</v>
      </c>
      <c r="H411" s="34">
        <f t="shared" si="9"/>
        <v>39739.919999999998</v>
      </c>
      <c r="I411" s="34"/>
      <c r="K411" t="s">
        <v>15</v>
      </c>
    </row>
    <row r="412" spans="2:11" ht="33" x14ac:dyDescent="0.15">
      <c r="B412" s="33" t="s">
        <v>599</v>
      </c>
      <c r="C412" s="33" t="s">
        <v>9</v>
      </c>
      <c r="D412" s="34">
        <f>SUMIFS(D413:D747,K413:K747,"0",B413:B747,"5 1 1 3 4 12 31111 6 M78 03000 135 00I 001 13406 025 2111100 2024 00000000 003*")-SUMIFS(E413:E747,K413:K747,"0",B413:B747,"5 1 1 3 4 12 31111 6 M78 03000 135 00I 001 13406 025 2111100 2024 00000000 003*")</f>
        <v>0</v>
      </c>
      <c r="E412" s="35"/>
      <c r="F412" s="34">
        <f>SUMIFS(F413:F747,K413:K747,"0",B413:B747,"5 1 1 3 4 12 31111 6 M78 03000 135 00I 001 13406 025 2111100 2024 00000000 003*")</f>
        <v>39739.919999999998</v>
      </c>
      <c r="G412" s="34">
        <f>SUMIFS(G413:G747,K413:K747,"0",B413:B747,"5 1 1 3 4 12 31111 6 M78 03000 135 00I 001 13406 025 2111100 2024 00000000 003*")</f>
        <v>0</v>
      </c>
      <c r="H412" s="34">
        <f t="shared" si="9"/>
        <v>39739.919999999998</v>
      </c>
      <c r="I412" s="34"/>
      <c r="K412" t="s">
        <v>15</v>
      </c>
    </row>
    <row r="413" spans="2:11" ht="33" x14ac:dyDescent="0.15">
      <c r="B413" s="33" t="s">
        <v>600</v>
      </c>
      <c r="C413" s="33" t="s">
        <v>519</v>
      </c>
      <c r="D413" s="34">
        <f>SUMIFS(D414:D747,K414:K747,"0",B414:B747,"5 1 1 3 4 12 31111 6 M78 03000 135 00I 001 13406 025 2111100 2024 00000000 003 001*")-SUMIFS(E414:E747,K414:K747,"0",B414:B747,"5 1 1 3 4 12 31111 6 M78 03000 135 00I 001 13406 025 2111100 2024 00000000 003 001*")</f>
        <v>0</v>
      </c>
      <c r="E413" s="35"/>
      <c r="F413" s="34">
        <f>SUMIFS(F414:F747,K414:K747,"0",B414:B747,"5 1 1 3 4 12 31111 6 M78 03000 135 00I 001 13406 025 2111100 2024 00000000 003 001*")</f>
        <v>39739.919999999998</v>
      </c>
      <c r="G413" s="34">
        <f>SUMIFS(G414:G747,K414:K747,"0",B414:B747,"5 1 1 3 4 12 31111 6 M78 03000 135 00I 001 13406 025 2111100 2024 00000000 003 001*")</f>
        <v>0</v>
      </c>
      <c r="H413" s="34">
        <f t="shared" si="9"/>
        <v>39739.919999999998</v>
      </c>
      <c r="I413" s="34"/>
      <c r="K413" t="s">
        <v>15</v>
      </c>
    </row>
    <row r="414" spans="2:11" ht="33" x14ac:dyDescent="0.15">
      <c r="B414" s="36" t="s">
        <v>601</v>
      </c>
      <c r="C414" s="36" t="s">
        <v>602</v>
      </c>
      <c r="D414" s="37">
        <v>0</v>
      </c>
      <c r="E414" s="37"/>
      <c r="F414" s="37">
        <v>39739.919999999998</v>
      </c>
      <c r="G414" s="37">
        <v>0</v>
      </c>
      <c r="H414" s="37">
        <f t="shared" si="9"/>
        <v>39739.919999999998</v>
      </c>
      <c r="I414" s="37"/>
      <c r="K414" t="s">
        <v>39</v>
      </c>
    </row>
    <row r="415" spans="2:11" ht="13" x14ac:dyDescent="0.15">
      <c r="B415" s="33" t="s">
        <v>603</v>
      </c>
      <c r="C415" s="33" t="s">
        <v>523</v>
      </c>
      <c r="D415" s="34">
        <f>SUMIFS(D416:D747,K416:K747,"0",B416:B747,"5 1 1 3 4 12 31111 6 M78 04000*")-SUMIFS(E416:E747,K416:K747,"0",B416:B747,"5 1 1 3 4 12 31111 6 M78 04000*")</f>
        <v>0</v>
      </c>
      <c r="E415" s="35"/>
      <c r="F415" s="34">
        <f>SUMIFS(F416:F747,K416:K747,"0",B416:B747,"5 1 1 3 4 12 31111 6 M78 04000*")</f>
        <v>28381.26</v>
      </c>
      <c r="G415" s="34">
        <f>SUMIFS(G416:G747,K416:K747,"0",B416:B747,"5 1 1 3 4 12 31111 6 M78 04000*")</f>
        <v>0</v>
      </c>
      <c r="H415" s="34">
        <f t="shared" si="9"/>
        <v>28381.26</v>
      </c>
      <c r="I415" s="34"/>
      <c r="K415" t="s">
        <v>15</v>
      </c>
    </row>
    <row r="416" spans="2:11" ht="22" x14ac:dyDescent="0.15">
      <c r="B416" s="33" t="s">
        <v>604</v>
      </c>
      <c r="C416" s="33" t="s">
        <v>525</v>
      </c>
      <c r="D416" s="34">
        <f>SUMIFS(D417:D747,K417:K747,"0",B417:B747,"5 1 1 3 4 12 31111 6 M78 04000 152*")-SUMIFS(E417:E747,K417:K747,"0",B417:B747,"5 1 1 3 4 12 31111 6 M78 04000 152*")</f>
        <v>0</v>
      </c>
      <c r="E416" s="35"/>
      <c r="F416" s="34">
        <f>SUMIFS(F417:F747,K417:K747,"0",B417:B747,"5 1 1 3 4 12 31111 6 M78 04000 152*")</f>
        <v>28381.26</v>
      </c>
      <c r="G416" s="34">
        <f>SUMIFS(G417:G747,K417:K747,"0",B417:B747,"5 1 1 3 4 12 31111 6 M78 04000 152*")</f>
        <v>0</v>
      </c>
      <c r="H416" s="34">
        <f t="shared" si="9"/>
        <v>28381.26</v>
      </c>
      <c r="I416" s="34"/>
      <c r="K416" t="s">
        <v>15</v>
      </c>
    </row>
    <row r="417" spans="2:11" ht="22" x14ac:dyDescent="0.15">
      <c r="B417" s="33" t="s">
        <v>605</v>
      </c>
      <c r="C417" s="33" t="s">
        <v>167</v>
      </c>
      <c r="D417" s="34">
        <f>SUMIFS(D418:D747,K418:K747,"0",B418:B747,"5 1 1 3 4 12 31111 6 M78 04000 152 00I*")-SUMIFS(E418:E747,K418:K747,"0",B418:B747,"5 1 1 3 4 12 31111 6 M78 04000 152 00I*")</f>
        <v>0</v>
      </c>
      <c r="E417" s="35"/>
      <c r="F417" s="34">
        <f>SUMIFS(F418:F747,K418:K747,"0",B418:B747,"5 1 1 3 4 12 31111 6 M78 04000 152 00I*")</f>
        <v>28381.26</v>
      </c>
      <c r="G417" s="34">
        <f>SUMIFS(G418:G747,K418:K747,"0",B418:B747,"5 1 1 3 4 12 31111 6 M78 04000 152 00I*")</f>
        <v>0</v>
      </c>
      <c r="H417" s="34">
        <f t="shared" si="9"/>
        <v>28381.26</v>
      </c>
      <c r="I417" s="34"/>
      <c r="K417" t="s">
        <v>15</v>
      </c>
    </row>
    <row r="418" spans="2:11" ht="22" x14ac:dyDescent="0.15">
      <c r="B418" s="33" t="s">
        <v>606</v>
      </c>
      <c r="C418" s="33" t="s">
        <v>455</v>
      </c>
      <c r="D418" s="34">
        <f>SUMIFS(D419:D747,K419:K747,"0",B419:B747,"5 1 1 3 4 12 31111 6 M78 04000 152 00I 001*")-SUMIFS(E419:E747,K419:K747,"0",B419:B747,"5 1 1 3 4 12 31111 6 M78 04000 152 00I 001*")</f>
        <v>0</v>
      </c>
      <c r="E418" s="35"/>
      <c r="F418" s="34">
        <f>SUMIFS(F419:F747,K419:K747,"0",B419:B747,"5 1 1 3 4 12 31111 6 M78 04000 152 00I 001*")</f>
        <v>28381.26</v>
      </c>
      <c r="G418" s="34">
        <f>SUMIFS(G419:G747,K419:K747,"0",B419:B747,"5 1 1 3 4 12 31111 6 M78 04000 152 00I 001*")</f>
        <v>0</v>
      </c>
      <c r="H418" s="34">
        <f t="shared" si="9"/>
        <v>28381.26</v>
      </c>
      <c r="I418" s="34"/>
      <c r="K418" t="s">
        <v>15</v>
      </c>
    </row>
    <row r="419" spans="2:11" ht="22" x14ac:dyDescent="0.15">
      <c r="B419" s="33" t="s">
        <v>607</v>
      </c>
      <c r="C419" s="33" t="s">
        <v>594</v>
      </c>
      <c r="D419" s="34">
        <f>SUMIFS(D420:D747,K420:K747,"0",B420:B747,"5 1 1 3 4 12 31111 6 M78 04000 152 00I 001 13406*")-SUMIFS(E420:E747,K420:K747,"0",B420:B747,"5 1 1 3 4 12 31111 6 M78 04000 152 00I 001 13406*")</f>
        <v>0</v>
      </c>
      <c r="E419" s="35"/>
      <c r="F419" s="34">
        <f>SUMIFS(F420:F747,K420:K747,"0",B420:B747,"5 1 1 3 4 12 31111 6 M78 04000 152 00I 001 13406*")</f>
        <v>28381.26</v>
      </c>
      <c r="G419" s="34">
        <f>SUMIFS(G420:G747,K420:K747,"0",B420:B747,"5 1 1 3 4 12 31111 6 M78 04000 152 00I 001 13406*")</f>
        <v>0</v>
      </c>
      <c r="H419" s="34">
        <f t="shared" si="9"/>
        <v>28381.26</v>
      </c>
      <c r="I419" s="34"/>
      <c r="K419" t="s">
        <v>15</v>
      </c>
    </row>
    <row r="420" spans="2:11" ht="22" x14ac:dyDescent="0.15">
      <c r="B420" s="33" t="s">
        <v>608</v>
      </c>
      <c r="C420" s="33" t="s">
        <v>173</v>
      </c>
      <c r="D420" s="34">
        <f>SUMIFS(D421:D747,K421:K747,"0",B421:B747,"5 1 1 3 4 12 31111 6 M78 04000 152 00I 001 13406 025*")-SUMIFS(E421:E747,K421:K747,"0",B421:B747,"5 1 1 3 4 12 31111 6 M78 04000 152 00I 001 13406 025*")</f>
        <v>0</v>
      </c>
      <c r="E420" s="35"/>
      <c r="F420" s="34">
        <f>SUMIFS(F421:F747,K421:K747,"0",B421:B747,"5 1 1 3 4 12 31111 6 M78 04000 152 00I 001 13406 025*")</f>
        <v>28381.26</v>
      </c>
      <c r="G420" s="34">
        <f>SUMIFS(G421:G747,K421:K747,"0",B421:B747,"5 1 1 3 4 12 31111 6 M78 04000 152 00I 001 13406 025*")</f>
        <v>0</v>
      </c>
      <c r="H420" s="34">
        <f t="shared" si="9"/>
        <v>28381.26</v>
      </c>
      <c r="I420" s="34"/>
      <c r="K420" t="s">
        <v>15</v>
      </c>
    </row>
    <row r="421" spans="2:11" ht="22" x14ac:dyDescent="0.15">
      <c r="B421" s="33" t="s">
        <v>609</v>
      </c>
      <c r="C421" s="33" t="s">
        <v>514</v>
      </c>
      <c r="D421" s="34">
        <f>SUMIFS(D422:D747,K422:K747,"0",B422:B747,"5 1 1 3 4 12 31111 6 M78 04000 152 00I 001 13406 025 2111100*")-SUMIFS(E422:E747,K422:K747,"0",B422:B747,"5 1 1 3 4 12 31111 6 M78 04000 152 00I 001 13406 025 2111100*")</f>
        <v>0</v>
      </c>
      <c r="E421" s="35"/>
      <c r="F421" s="34">
        <f>SUMIFS(F422:F747,K422:K747,"0",B422:B747,"5 1 1 3 4 12 31111 6 M78 04000 152 00I 001 13406 025 2111100*")</f>
        <v>28381.26</v>
      </c>
      <c r="G421" s="34">
        <f>SUMIFS(G422:G747,K422:K747,"0",B422:B747,"5 1 1 3 4 12 31111 6 M78 04000 152 00I 001 13406 025 2111100*")</f>
        <v>0</v>
      </c>
      <c r="H421" s="34">
        <f t="shared" si="9"/>
        <v>28381.26</v>
      </c>
      <c r="I421" s="34"/>
      <c r="K421" t="s">
        <v>15</v>
      </c>
    </row>
    <row r="422" spans="2:11" ht="33" x14ac:dyDescent="0.15">
      <c r="B422" s="33" t="s">
        <v>610</v>
      </c>
      <c r="C422" s="33" t="s">
        <v>318</v>
      </c>
      <c r="D422" s="34">
        <f>SUMIFS(D423:D747,K423:K747,"0",B423:B747,"5 1 1 3 4 12 31111 6 M78 04000 152 00I 001 13406 025 2111100 2024*")-SUMIFS(E423:E747,K423:K747,"0",B423:B747,"5 1 1 3 4 12 31111 6 M78 04000 152 00I 001 13406 025 2111100 2024*")</f>
        <v>0</v>
      </c>
      <c r="E422" s="35"/>
      <c r="F422" s="34">
        <f>SUMIFS(F423:F747,K423:K747,"0",B423:B747,"5 1 1 3 4 12 31111 6 M78 04000 152 00I 001 13406 025 2111100 2024*")</f>
        <v>28381.26</v>
      </c>
      <c r="G422" s="34">
        <f>SUMIFS(G423:G747,K423:K747,"0",B423:B747,"5 1 1 3 4 12 31111 6 M78 04000 152 00I 001 13406 025 2111100 2024*")</f>
        <v>0</v>
      </c>
      <c r="H422" s="34">
        <f t="shared" si="9"/>
        <v>28381.26</v>
      </c>
      <c r="I422" s="34"/>
      <c r="K422" t="s">
        <v>15</v>
      </c>
    </row>
    <row r="423" spans="2:11" ht="33" x14ac:dyDescent="0.15">
      <c r="B423" s="33" t="s">
        <v>611</v>
      </c>
      <c r="C423" s="33" t="s">
        <v>179</v>
      </c>
      <c r="D423" s="34">
        <f>SUMIFS(D424:D747,K424:K747,"0",B424:B747,"5 1 1 3 4 12 31111 6 M78 04000 152 00I 001 13406 025 2111100 2024 00000000*")-SUMIFS(E424:E747,K424:K747,"0",B424:B747,"5 1 1 3 4 12 31111 6 M78 04000 152 00I 001 13406 025 2111100 2024 00000000*")</f>
        <v>0</v>
      </c>
      <c r="E423" s="35"/>
      <c r="F423" s="34">
        <f>SUMIFS(F424:F747,K424:K747,"0",B424:B747,"5 1 1 3 4 12 31111 6 M78 04000 152 00I 001 13406 025 2111100 2024 00000000*")</f>
        <v>28381.26</v>
      </c>
      <c r="G423" s="34">
        <f>SUMIFS(G424:G747,K424:K747,"0",B424:B747,"5 1 1 3 4 12 31111 6 M78 04000 152 00I 001 13406 025 2111100 2024 00000000*")</f>
        <v>0</v>
      </c>
      <c r="H423" s="34">
        <f t="shared" si="9"/>
        <v>28381.26</v>
      </c>
      <c r="I423" s="34"/>
      <c r="K423" t="s">
        <v>15</v>
      </c>
    </row>
    <row r="424" spans="2:11" ht="33" x14ac:dyDescent="0.15">
      <c r="B424" s="33" t="s">
        <v>612</v>
      </c>
      <c r="C424" s="33" t="s">
        <v>9</v>
      </c>
      <c r="D424" s="34">
        <f>SUMIFS(D425:D747,K425:K747,"0",B425:B747,"5 1 1 3 4 12 31111 6 M78 04000 152 00I 001 13406 025 2111100 2024 00000000 003*")-SUMIFS(E425:E747,K425:K747,"0",B425:B747,"5 1 1 3 4 12 31111 6 M78 04000 152 00I 001 13406 025 2111100 2024 00000000 003*")</f>
        <v>0</v>
      </c>
      <c r="E424" s="35"/>
      <c r="F424" s="34">
        <f>SUMIFS(F425:F747,K425:K747,"0",B425:B747,"5 1 1 3 4 12 31111 6 M78 04000 152 00I 001 13406 025 2111100 2024 00000000 003*")</f>
        <v>28381.26</v>
      </c>
      <c r="G424" s="34">
        <f>SUMIFS(G425:G747,K425:K747,"0",B425:B747,"5 1 1 3 4 12 31111 6 M78 04000 152 00I 001 13406 025 2111100 2024 00000000 003*")</f>
        <v>0</v>
      </c>
      <c r="H424" s="34">
        <f t="shared" si="9"/>
        <v>28381.26</v>
      </c>
      <c r="I424" s="34"/>
      <c r="K424" t="s">
        <v>15</v>
      </c>
    </row>
    <row r="425" spans="2:11" ht="33" x14ac:dyDescent="0.15">
      <c r="B425" s="33" t="s">
        <v>613</v>
      </c>
      <c r="C425" s="33" t="s">
        <v>535</v>
      </c>
      <c r="D425" s="34">
        <f>SUMIFS(D426:D747,K426:K747,"0",B426:B747,"5 1 1 3 4 12 31111 6 M78 04000 152 00I 001 13406 025 2111100 2024 00000000 003 001*")-SUMIFS(E426:E747,K426:K747,"0",B426:B747,"5 1 1 3 4 12 31111 6 M78 04000 152 00I 001 13406 025 2111100 2024 00000000 003 001*")</f>
        <v>0</v>
      </c>
      <c r="E425" s="35"/>
      <c r="F425" s="34">
        <f>SUMIFS(F426:F747,K426:K747,"0",B426:B747,"5 1 1 3 4 12 31111 6 M78 04000 152 00I 001 13406 025 2111100 2024 00000000 003 001*")</f>
        <v>28381.26</v>
      </c>
      <c r="G425" s="34">
        <f>SUMIFS(G426:G747,K426:K747,"0",B426:B747,"5 1 1 3 4 12 31111 6 M78 04000 152 00I 001 13406 025 2111100 2024 00000000 003 001*")</f>
        <v>0</v>
      </c>
      <c r="H425" s="34">
        <f t="shared" si="9"/>
        <v>28381.26</v>
      </c>
      <c r="I425" s="34"/>
      <c r="K425" t="s">
        <v>15</v>
      </c>
    </row>
    <row r="426" spans="2:11" ht="33" x14ac:dyDescent="0.15">
      <c r="B426" s="36" t="s">
        <v>614</v>
      </c>
      <c r="C426" s="36" t="s">
        <v>615</v>
      </c>
      <c r="D426" s="37">
        <v>0</v>
      </c>
      <c r="E426" s="37"/>
      <c r="F426" s="37">
        <v>28381.26</v>
      </c>
      <c r="G426" s="37">
        <v>0</v>
      </c>
      <c r="H426" s="37">
        <f t="shared" si="9"/>
        <v>28381.26</v>
      </c>
      <c r="I426" s="37"/>
      <c r="K426" t="s">
        <v>39</v>
      </c>
    </row>
    <row r="427" spans="2:11" ht="13" x14ac:dyDescent="0.15">
      <c r="B427" s="33" t="s">
        <v>616</v>
      </c>
      <c r="C427" s="33" t="s">
        <v>163</v>
      </c>
      <c r="D427" s="34">
        <f>SUMIFS(D428:D747,K428:K747,"0",B428:B747,"5 1 1 3 4 12 31111 6 M78 15000*")-SUMIFS(E428:E747,K428:K747,"0",B428:B747,"5 1 1 3 4 12 31111 6 M78 15000*")</f>
        <v>0</v>
      </c>
      <c r="E427" s="35"/>
      <c r="F427" s="34">
        <f>SUMIFS(F428:F747,K428:K747,"0",B428:B747,"5 1 1 3 4 12 31111 6 M78 15000*")</f>
        <v>109410.62</v>
      </c>
      <c r="G427" s="34">
        <f>SUMIFS(G428:G747,K428:K747,"0",B428:B747,"5 1 1 3 4 12 31111 6 M78 15000*")</f>
        <v>0</v>
      </c>
      <c r="H427" s="34">
        <f t="shared" si="9"/>
        <v>109410.62</v>
      </c>
      <c r="I427" s="34"/>
      <c r="K427" t="s">
        <v>15</v>
      </c>
    </row>
    <row r="428" spans="2:11" ht="22" x14ac:dyDescent="0.15">
      <c r="B428" s="33" t="s">
        <v>617</v>
      </c>
      <c r="C428" s="33" t="s">
        <v>165</v>
      </c>
      <c r="D428" s="34">
        <f>SUMIFS(D429:D747,K429:K747,"0",B429:B747,"5 1 1 3 4 12 31111 6 M78 15000 171*")-SUMIFS(E429:E747,K429:K747,"0",B429:B747,"5 1 1 3 4 12 31111 6 M78 15000 171*")</f>
        <v>0</v>
      </c>
      <c r="E428" s="35"/>
      <c r="F428" s="34">
        <f>SUMIFS(F429:F747,K429:K747,"0",B429:B747,"5 1 1 3 4 12 31111 6 M78 15000 171*")</f>
        <v>109410.62</v>
      </c>
      <c r="G428" s="34">
        <f>SUMIFS(G429:G747,K429:K747,"0",B429:B747,"5 1 1 3 4 12 31111 6 M78 15000 171*")</f>
        <v>0</v>
      </c>
      <c r="H428" s="34">
        <f t="shared" si="9"/>
        <v>109410.62</v>
      </c>
      <c r="I428" s="34"/>
      <c r="K428" t="s">
        <v>15</v>
      </c>
    </row>
    <row r="429" spans="2:11" ht="22" x14ac:dyDescent="0.15">
      <c r="B429" s="33" t="s">
        <v>618</v>
      </c>
      <c r="C429" s="33" t="s">
        <v>167</v>
      </c>
      <c r="D429" s="34">
        <f>SUMIFS(D430:D747,K430:K747,"0",B430:B747,"5 1 1 3 4 12 31111 6 M78 15000 171 00I*")-SUMIFS(E430:E747,K430:K747,"0",B430:B747,"5 1 1 3 4 12 31111 6 M78 15000 171 00I*")</f>
        <v>0</v>
      </c>
      <c r="E429" s="35"/>
      <c r="F429" s="34">
        <f>SUMIFS(F430:F747,K430:K747,"0",B430:B747,"5 1 1 3 4 12 31111 6 M78 15000 171 00I*")</f>
        <v>109410.62</v>
      </c>
      <c r="G429" s="34">
        <f>SUMIFS(G430:G747,K430:K747,"0",B430:B747,"5 1 1 3 4 12 31111 6 M78 15000 171 00I*")</f>
        <v>0</v>
      </c>
      <c r="H429" s="34">
        <f t="shared" si="9"/>
        <v>109410.62</v>
      </c>
      <c r="I429" s="34"/>
      <c r="K429" t="s">
        <v>15</v>
      </c>
    </row>
    <row r="430" spans="2:11" ht="22" x14ac:dyDescent="0.15">
      <c r="B430" s="33" t="s">
        <v>619</v>
      </c>
      <c r="C430" s="33" t="s">
        <v>455</v>
      </c>
      <c r="D430" s="34">
        <f>SUMIFS(D431:D747,K431:K747,"0",B431:B747,"5 1 1 3 4 12 31111 6 M78 15000 171 00I 001*")-SUMIFS(E431:E747,K431:K747,"0",B431:B747,"5 1 1 3 4 12 31111 6 M78 15000 171 00I 001*")</f>
        <v>0</v>
      </c>
      <c r="E430" s="35"/>
      <c r="F430" s="34">
        <f>SUMIFS(F431:F747,K431:K747,"0",B431:B747,"5 1 1 3 4 12 31111 6 M78 15000 171 00I 001*")</f>
        <v>109410.62</v>
      </c>
      <c r="G430" s="34">
        <f>SUMIFS(G431:G747,K431:K747,"0",B431:B747,"5 1 1 3 4 12 31111 6 M78 15000 171 00I 001*")</f>
        <v>0</v>
      </c>
      <c r="H430" s="34">
        <f t="shared" si="9"/>
        <v>109410.62</v>
      </c>
      <c r="I430" s="34"/>
      <c r="K430" t="s">
        <v>15</v>
      </c>
    </row>
    <row r="431" spans="2:11" ht="22" x14ac:dyDescent="0.15">
      <c r="B431" s="33" t="s">
        <v>620</v>
      </c>
      <c r="C431" s="33" t="s">
        <v>594</v>
      </c>
      <c r="D431" s="34">
        <f>SUMIFS(D432:D747,K432:K747,"0",B432:B747,"5 1 1 3 4 12 31111 6 M78 15000 171 00I 001 13406*")-SUMIFS(E432:E747,K432:K747,"0",B432:B747,"5 1 1 3 4 12 31111 6 M78 15000 171 00I 001 13406*")</f>
        <v>0</v>
      </c>
      <c r="E431" s="35"/>
      <c r="F431" s="34">
        <f>SUMIFS(F432:F747,K432:K747,"0",B432:B747,"5 1 1 3 4 12 31111 6 M78 15000 171 00I 001 13406*")</f>
        <v>109410.62</v>
      </c>
      <c r="G431" s="34">
        <f>SUMIFS(G432:G747,K432:K747,"0",B432:B747,"5 1 1 3 4 12 31111 6 M78 15000 171 00I 001 13406*")</f>
        <v>0</v>
      </c>
      <c r="H431" s="34">
        <f t="shared" si="9"/>
        <v>109410.62</v>
      </c>
      <c r="I431" s="34"/>
      <c r="K431" t="s">
        <v>15</v>
      </c>
    </row>
    <row r="432" spans="2:11" ht="22" x14ac:dyDescent="0.15">
      <c r="B432" s="33" t="s">
        <v>621</v>
      </c>
      <c r="C432" s="33" t="s">
        <v>173</v>
      </c>
      <c r="D432" s="34">
        <f>SUMIFS(D433:D747,K433:K747,"0",B433:B747,"5 1 1 3 4 12 31111 6 M78 15000 171 00I 001 13406 025*")-SUMIFS(E433:E747,K433:K747,"0",B433:B747,"5 1 1 3 4 12 31111 6 M78 15000 171 00I 001 13406 025*")</f>
        <v>0</v>
      </c>
      <c r="E432" s="35"/>
      <c r="F432" s="34">
        <f>SUMIFS(F433:F747,K433:K747,"0",B433:B747,"5 1 1 3 4 12 31111 6 M78 15000 171 00I 001 13406 025*")</f>
        <v>109410.62</v>
      </c>
      <c r="G432" s="34">
        <f>SUMIFS(G433:G747,K433:K747,"0",B433:B747,"5 1 1 3 4 12 31111 6 M78 15000 171 00I 001 13406 025*")</f>
        <v>0</v>
      </c>
      <c r="H432" s="34">
        <f t="shared" si="9"/>
        <v>109410.62</v>
      </c>
      <c r="I432" s="34"/>
      <c r="K432" t="s">
        <v>15</v>
      </c>
    </row>
    <row r="433" spans="2:11" ht="22" x14ac:dyDescent="0.15">
      <c r="B433" s="33" t="s">
        <v>622</v>
      </c>
      <c r="C433" s="33" t="s">
        <v>514</v>
      </c>
      <c r="D433" s="34">
        <f>SUMIFS(D434:D747,K434:K747,"0",B434:B747,"5 1 1 3 4 12 31111 6 M78 15000 171 00I 001 13406 025 2111100*")-SUMIFS(E434:E747,K434:K747,"0",B434:B747,"5 1 1 3 4 12 31111 6 M78 15000 171 00I 001 13406 025 2111100*")</f>
        <v>0</v>
      </c>
      <c r="E433" s="35"/>
      <c r="F433" s="34">
        <f>SUMIFS(F434:F747,K434:K747,"0",B434:B747,"5 1 1 3 4 12 31111 6 M78 15000 171 00I 001 13406 025 2111100*")</f>
        <v>109410.62</v>
      </c>
      <c r="G433" s="34">
        <f>SUMIFS(G434:G747,K434:K747,"0",B434:B747,"5 1 1 3 4 12 31111 6 M78 15000 171 00I 001 13406 025 2111100*")</f>
        <v>0</v>
      </c>
      <c r="H433" s="34">
        <f t="shared" si="9"/>
        <v>109410.62</v>
      </c>
      <c r="I433" s="34"/>
      <c r="K433" t="s">
        <v>15</v>
      </c>
    </row>
    <row r="434" spans="2:11" ht="33" x14ac:dyDescent="0.15">
      <c r="B434" s="33" t="s">
        <v>623</v>
      </c>
      <c r="C434" s="33" t="s">
        <v>318</v>
      </c>
      <c r="D434" s="34">
        <f>SUMIFS(D435:D747,K435:K747,"0",B435:B747,"5 1 1 3 4 12 31111 6 M78 15000 171 00I 001 13406 025 2111100 2024*")-SUMIFS(E435:E747,K435:K747,"0",B435:B747,"5 1 1 3 4 12 31111 6 M78 15000 171 00I 001 13406 025 2111100 2024*")</f>
        <v>0</v>
      </c>
      <c r="E434" s="35"/>
      <c r="F434" s="34">
        <f>SUMIFS(F435:F747,K435:K747,"0",B435:B747,"5 1 1 3 4 12 31111 6 M78 15000 171 00I 001 13406 025 2111100 2024*")</f>
        <v>109410.62</v>
      </c>
      <c r="G434" s="34">
        <f>SUMIFS(G435:G747,K435:K747,"0",B435:B747,"5 1 1 3 4 12 31111 6 M78 15000 171 00I 001 13406 025 2111100 2024*")</f>
        <v>0</v>
      </c>
      <c r="H434" s="34">
        <f t="shared" si="9"/>
        <v>109410.62</v>
      </c>
      <c r="I434" s="34"/>
      <c r="K434" t="s">
        <v>15</v>
      </c>
    </row>
    <row r="435" spans="2:11" ht="33" x14ac:dyDescent="0.15">
      <c r="B435" s="33" t="s">
        <v>624</v>
      </c>
      <c r="C435" s="33" t="s">
        <v>179</v>
      </c>
      <c r="D435" s="34">
        <f>SUMIFS(D436:D747,K436:K747,"0",B436:B747,"5 1 1 3 4 12 31111 6 M78 15000 171 00I 001 13406 025 2111100 2024 00000000*")-SUMIFS(E436:E747,K436:K747,"0",B436:B747,"5 1 1 3 4 12 31111 6 M78 15000 171 00I 001 13406 025 2111100 2024 00000000*")</f>
        <v>0</v>
      </c>
      <c r="E435" s="35"/>
      <c r="F435" s="34">
        <f>SUMIFS(F436:F747,K436:K747,"0",B436:B747,"5 1 1 3 4 12 31111 6 M78 15000 171 00I 001 13406 025 2111100 2024 00000000*")</f>
        <v>109410.62</v>
      </c>
      <c r="G435" s="34">
        <f>SUMIFS(G436:G747,K436:K747,"0",B436:B747,"5 1 1 3 4 12 31111 6 M78 15000 171 00I 001 13406 025 2111100 2024 00000000*")</f>
        <v>0</v>
      </c>
      <c r="H435" s="34">
        <f t="shared" si="9"/>
        <v>109410.62</v>
      </c>
      <c r="I435" s="34"/>
      <c r="K435" t="s">
        <v>15</v>
      </c>
    </row>
    <row r="436" spans="2:11" ht="33" x14ac:dyDescent="0.15">
      <c r="B436" s="33" t="s">
        <v>625</v>
      </c>
      <c r="C436" s="33" t="s">
        <v>9</v>
      </c>
      <c r="D436" s="34">
        <f>SUMIFS(D437:D747,K437:K747,"0",B437:B747,"5 1 1 3 4 12 31111 6 M78 15000 171 00I 001 13406 025 2111100 2024 00000000 003*")-SUMIFS(E437:E747,K437:K747,"0",B437:B747,"5 1 1 3 4 12 31111 6 M78 15000 171 00I 001 13406 025 2111100 2024 00000000 003*")</f>
        <v>0</v>
      </c>
      <c r="E436" s="35"/>
      <c r="F436" s="34">
        <f>SUMIFS(F437:F747,K437:K747,"0",B437:B747,"5 1 1 3 4 12 31111 6 M78 15000 171 00I 001 13406 025 2111100 2024 00000000 003*")</f>
        <v>109410.62</v>
      </c>
      <c r="G436" s="34">
        <f>SUMIFS(G437:G747,K437:K747,"0",B437:B747,"5 1 1 3 4 12 31111 6 M78 15000 171 00I 001 13406 025 2111100 2024 00000000 003*")</f>
        <v>0</v>
      </c>
      <c r="H436" s="34">
        <f t="shared" si="9"/>
        <v>109410.62</v>
      </c>
      <c r="I436" s="34"/>
      <c r="K436" t="s">
        <v>15</v>
      </c>
    </row>
    <row r="437" spans="2:11" ht="33" x14ac:dyDescent="0.15">
      <c r="B437" s="33" t="s">
        <v>626</v>
      </c>
      <c r="C437" s="33" t="s">
        <v>549</v>
      </c>
      <c r="D437" s="34">
        <f>SUMIFS(D438:D747,K438:K747,"0",B438:B747,"5 1 1 3 4 12 31111 6 M78 15000 171 00I 001 13406 025 2111100 2024 00000000 003 001*")-SUMIFS(E438:E747,K438:K747,"0",B438:B747,"5 1 1 3 4 12 31111 6 M78 15000 171 00I 001 13406 025 2111100 2024 00000000 003 001*")</f>
        <v>0</v>
      </c>
      <c r="E437" s="35"/>
      <c r="F437" s="34">
        <f>SUMIFS(F438:F747,K438:K747,"0",B438:B747,"5 1 1 3 4 12 31111 6 M78 15000 171 00I 001 13406 025 2111100 2024 00000000 003 001*")</f>
        <v>109410.62</v>
      </c>
      <c r="G437" s="34">
        <f>SUMIFS(G438:G747,K438:K747,"0",B438:B747,"5 1 1 3 4 12 31111 6 M78 15000 171 00I 001 13406 025 2111100 2024 00000000 003 001*")</f>
        <v>0</v>
      </c>
      <c r="H437" s="34">
        <f t="shared" si="9"/>
        <v>109410.62</v>
      </c>
      <c r="I437" s="34"/>
      <c r="K437" t="s">
        <v>15</v>
      </c>
    </row>
    <row r="438" spans="2:11" ht="33" x14ac:dyDescent="0.15">
      <c r="B438" s="36" t="s">
        <v>627</v>
      </c>
      <c r="C438" s="36" t="s">
        <v>615</v>
      </c>
      <c r="D438" s="37">
        <v>0</v>
      </c>
      <c r="E438" s="37"/>
      <c r="F438" s="37">
        <v>109410.62</v>
      </c>
      <c r="G438" s="37">
        <v>0</v>
      </c>
      <c r="H438" s="37">
        <f t="shared" si="9"/>
        <v>109410.62</v>
      </c>
      <c r="I438" s="37"/>
      <c r="K438" t="s">
        <v>39</v>
      </c>
    </row>
    <row r="439" spans="2:11" ht="13" x14ac:dyDescent="0.15">
      <c r="B439" s="33" t="s">
        <v>628</v>
      </c>
      <c r="C439" s="33" t="s">
        <v>552</v>
      </c>
      <c r="D439" s="34">
        <f>SUMIFS(D440:D747,K440:K747,"0",B440:B747,"5 1 1 3 4 12 31111 6 M78 16000*")-SUMIFS(E440:E747,K440:K747,"0",B440:B747,"5 1 1 3 4 12 31111 6 M78 16000*")</f>
        <v>0</v>
      </c>
      <c r="E439" s="35"/>
      <c r="F439" s="34">
        <f>SUMIFS(F440:F747,K440:K747,"0",B440:B747,"5 1 1 3 4 12 31111 6 M78 16000*")</f>
        <v>26037.919999999998</v>
      </c>
      <c r="G439" s="34">
        <f>SUMIFS(G440:G747,K440:K747,"0",B440:B747,"5 1 1 3 4 12 31111 6 M78 16000*")</f>
        <v>0</v>
      </c>
      <c r="H439" s="34">
        <f t="shared" si="9"/>
        <v>26037.919999999998</v>
      </c>
      <c r="I439" s="34"/>
      <c r="K439" t="s">
        <v>15</v>
      </c>
    </row>
    <row r="440" spans="2:11" ht="22" x14ac:dyDescent="0.15">
      <c r="B440" s="33" t="s">
        <v>629</v>
      </c>
      <c r="C440" s="33" t="s">
        <v>554</v>
      </c>
      <c r="D440" s="34">
        <f>SUMIFS(D441:D747,K441:K747,"0",B441:B747,"5 1 1 3 4 12 31111 6 M78 16000 173*")-SUMIFS(E441:E747,K441:K747,"0",B441:B747,"5 1 1 3 4 12 31111 6 M78 16000 173*")</f>
        <v>0</v>
      </c>
      <c r="E440" s="35"/>
      <c r="F440" s="34">
        <f>SUMIFS(F441:F747,K441:K747,"0",B441:B747,"5 1 1 3 4 12 31111 6 M78 16000 173*")</f>
        <v>26037.919999999998</v>
      </c>
      <c r="G440" s="34">
        <f>SUMIFS(G441:G747,K441:K747,"0",B441:B747,"5 1 1 3 4 12 31111 6 M78 16000 173*")</f>
        <v>0</v>
      </c>
      <c r="H440" s="34">
        <f t="shared" si="9"/>
        <v>26037.919999999998</v>
      </c>
      <c r="I440" s="34"/>
      <c r="K440" t="s">
        <v>15</v>
      </c>
    </row>
    <row r="441" spans="2:11" ht="22" x14ac:dyDescent="0.15">
      <c r="B441" s="33" t="s">
        <v>630</v>
      </c>
      <c r="C441" s="33" t="s">
        <v>167</v>
      </c>
      <c r="D441" s="34">
        <f>SUMIFS(D442:D747,K442:K747,"0",B442:B747,"5 1 1 3 4 12 31111 6 M78 16000 173 00I*")-SUMIFS(E442:E747,K442:K747,"0",B442:B747,"5 1 1 3 4 12 31111 6 M78 16000 173 00I*")</f>
        <v>0</v>
      </c>
      <c r="E441" s="35"/>
      <c r="F441" s="34">
        <f>SUMIFS(F442:F747,K442:K747,"0",B442:B747,"5 1 1 3 4 12 31111 6 M78 16000 173 00I*")</f>
        <v>26037.919999999998</v>
      </c>
      <c r="G441" s="34">
        <f>SUMIFS(G442:G747,K442:K747,"0",B442:B747,"5 1 1 3 4 12 31111 6 M78 16000 173 00I*")</f>
        <v>0</v>
      </c>
      <c r="H441" s="34">
        <f t="shared" si="9"/>
        <v>26037.919999999998</v>
      </c>
      <c r="I441" s="34"/>
      <c r="K441" t="s">
        <v>15</v>
      </c>
    </row>
    <row r="442" spans="2:11" ht="22" x14ac:dyDescent="0.15">
      <c r="B442" s="33" t="s">
        <v>631</v>
      </c>
      <c r="C442" s="33" t="s">
        <v>455</v>
      </c>
      <c r="D442" s="34">
        <f>SUMIFS(D443:D747,K443:K747,"0",B443:B747,"5 1 1 3 4 12 31111 6 M78 16000 173 00I 001*")-SUMIFS(E443:E747,K443:K747,"0",B443:B747,"5 1 1 3 4 12 31111 6 M78 16000 173 00I 001*")</f>
        <v>0</v>
      </c>
      <c r="E442" s="35"/>
      <c r="F442" s="34">
        <f>SUMIFS(F443:F747,K443:K747,"0",B443:B747,"5 1 1 3 4 12 31111 6 M78 16000 173 00I 001*")</f>
        <v>26037.919999999998</v>
      </c>
      <c r="G442" s="34">
        <f>SUMIFS(G443:G747,K443:K747,"0",B443:B747,"5 1 1 3 4 12 31111 6 M78 16000 173 00I 001*")</f>
        <v>0</v>
      </c>
      <c r="H442" s="34">
        <f t="shared" si="9"/>
        <v>26037.919999999998</v>
      </c>
      <c r="I442" s="34"/>
      <c r="K442" t="s">
        <v>15</v>
      </c>
    </row>
    <row r="443" spans="2:11" ht="22" x14ac:dyDescent="0.15">
      <c r="B443" s="33" t="s">
        <v>632</v>
      </c>
      <c r="C443" s="33" t="s">
        <v>594</v>
      </c>
      <c r="D443" s="34">
        <f>SUMIFS(D444:D747,K444:K747,"0",B444:B747,"5 1 1 3 4 12 31111 6 M78 16000 173 00I 001 13406*")-SUMIFS(E444:E747,K444:K747,"0",B444:B747,"5 1 1 3 4 12 31111 6 M78 16000 173 00I 001 13406*")</f>
        <v>0</v>
      </c>
      <c r="E443" s="35"/>
      <c r="F443" s="34">
        <f>SUMIFS(F444:F747,K444:K747,"0",B444:B747,"5 1 1 3 4 12 31111 6 M78 16000 173 00I 001 13406*")</f>
        <v>26037.919999999998</v>
      </c>
      <c r="G443" s="34">
        <f>SUMIFS(G444:G747,K444:K747,"0",B444:B747,"5 1 1 3 4 12 31111 6 M78 16000 173 00I 001 13406*")</f>
        <v>0</v>
      </c>
      <c r="H443" s="34">
        <f t="shared" si="9"/>
        <v>26037.919999999998</v>
      </c>
      <c r="I443" s="34"/>
      <c r="K443" t="s">
        <v>15</v>
      </c>
    </row>
    <row r="444" spans="2:11" ht="22" x14ac:dyDescent="0.15">
      <c r="B444" s="33" t="s">
        <v>633</v>
      </c>
      <c r="C444" s="33" t="s">
        <v>173</v>
      </c>
      <c r="D444" s="34">
        <f>SUMIFS(D445:D747,K445:K747,"0",B445:B747,"5 1 1 3 4 12 31111 6 M78 16000 173 00I 001 13406 025*")-SUMIFS(E445:E747,K445:K747,"0",B445:B747,"5 1 1 3 4 12 31111 6 M78 16000 173 00I 001 13406 025*")</f>
        <v>0</v>
      </c>
      <c r="E444" s="35"/>
      <c r="F444" s="34">
        <f>SUMIFS(F445:F747,K445:K747,"0",B445:B747,"5 1 1 3 4 12 31111 6 M78 16000 173 00I 001 13406 025*")</f>
        <v>26037.919999999998</v>
      </c>
      <c r="G444" s="34">
        <f>SUMIFS(G445:G747,K445:K747,"0",B445:B747,"5 1 1 3 4 12 31111 6 M78 16000 173 00I 001 13406 025*")</f>
        <v>0</v>
      </c>
      <c r="H444" s="34">
        <f t="shared" si="9"/>
        <v>26037.919999999998</v>
      </c>
      <c r="I444" s="34"/>
      <c r="K444" t="s">
        <v>15</v>
      </c>
    </row>
    <row r="445" spans="2:11" ht="22" x14ac:dyDescent="0.15">
      <c r="B445" s="33" t="s">
        <v>634</v>
      </c>
      <c r="C445" s="33" t="s">
        <v>514</v>
      </c>
      <c r="D445" s="34">
        <f>SUMIFS(D446:D747,K446:K747,"0",B446:B747,"5 1 1 3 4 12 31111 6 M78 16000 173 00I 001 13406 025 2111100*")-SUMIFS(E446:E747,K446:K747,"0",B446:B747,"5 1 1 3 4 12 31111 6 M78 16000 173 00I 001 13406 025 2111100*")</f>
        <v>0</v>
      </c>
      <c r="E445" s="35"/>
      <c r="F445" s="34">
        <f>SUMIFS(F446:F747,K446:K747,"0",B446:B747,"5 1 1 3 4 12 31111 6 M78 16000 173 00I 001 13406 025 2111100*")</f>
        <v>26037.919999999998</v>
      </c>
      <c r="G445" s="34">
        <f>SUMIFS(G446:G747,K446:K747,"0",B446:B747,"5 1 1 3 4 12 31111 6 M78 16000 173 00I 001 13406 025 2111100*")</f>
        <v>0</v>
      </c>
      <c r="H445" s="34">
        <f t="shared" si="9"/>
        <v>26037.919999999998</v>
      </c>
      <c r="I445" s="34"/>
      <c r="K445" t="s">
        <v>15</v>
      </c>
    </row>
    <row r="446" spans="2:11" ht="33" x14ac:dyDescent="0.15">
      <c r="B446" s="33" t="s">
        <v>635</v>
      </c>
      <c r="C446" s="33" t="s">
        <v>318</v>
      </c>
      <c r="D446" s="34">
        <f>SUMIFS(D447:D747,K447:K747,"0",B447:B747,"5 1 1 3 4 12 31111 6 M78 16000 173 00I 001 13406 025 2111100 2024*")-SUMIFS(E447:E747,K447:K747,"0",B447:B747,"5 1 1 3 4 12 31111 6 M78 16000 173 00I 001 13406 025 2111100 2024*")</f>
        <v>0</v>
      </c>
      <c r="E446" s="35"/>
      <c r="F446" s="34">
        <f>SUMIFS(F447:F747,K447:K747,"0",B447:B747,"5 1 1 3 4 12 31111 6 M78 16000 173 00I 001 13406 025 2111100 2024*")</f>
        <v>26037.919999999998</v>
      </c>
      <c r="G446" s="34">
        <f>SUMIFS(G447:G747,K447:K747,"0",B447:B747,"5 1 1 3 4 12 31111 6 M78 16000 173 00I 001 13406 025 2111100 2024*")</f>
        <v>0</v>
      </c>
      <c r="H446" s="34">
        <f t="shared" si="9"/>
        <v>26037.919999999998</v>
      </c>
      <c r="I446" s="34"/>
      <c r="K446" t="s">
        <v>15</v>
      </c>
    </row>
    <row r="447" spans="2:11" ht="33" x14ac:dyDescent="0.15">
      <c r="B447" s="33" t="s">
        <v>636</v>
      </c>
      <c r="C447" s="33" t="s">
        <v>179</v>
      </c>
      <c r="D447" s="34">
        <f>SUMIFS(D448:D747,K448:K747,"0",B448:B747,"5 1 1 3 4 12 31111 6 M78 16000 173 00I 001 13406 025 2111100 2024 00000000*")-SUMIFS(E448:E747,K448:K747,"0",B448:B747,"5 1 1 3 4 12 31111 6 M78 16000 173 00I 001 13406 025 2111100 2024 00000000*")</f>
        <v>0</v>
      </c>
      <c r="E447" s="35"/>
      <c r="F447" s="34">
        <f>SUMIFS(F448:F747,K448:K747,"0",B448:B747,"5 1 1 3 4 12 31111 6 M78 16000 173 00I 001 13406 025 2111100 2024 00000000*")</f>
        <v>26037.919999999998</v>
      </c>
      <c r="G447" s="34">
        <f>SUMIFS(G448:G747,K448:K747,"0",B448:B747,"5 1 1 3 4 12 31111 6 M78 16000 173 00I 001 13406 025 2111100 2024 00000000*")</f>
        <v>0</v>
      </c>
      <c r="H447" s="34">
        <f t="shared" si="9"/>
        <v>26037.919999999998</v>
      </c>
      <c r="I447" s="34"/>
      <c r="K447" t="s">
        <v>15</v>
      </c>
    </row>
    <row r="448" spans="2:11" ht="33" x14ac:dyDescent="0.15">
      <c r="B448" s="33" t="s">
        <v>637</v>
      </c>
      <c r="C448" s="33" t="s">
        <v>9</v>
      </c>
      <c r="D448" s="34">
        <f>SUMIFS(D449:D747,K449:K747,"0",B449:B747,"5 1 1 3 4 12 31111 6 M78 16000 173 00I 001 13406 025 2111100 2024 00000000 003*")-SUMIFS(E449:E747,K449:K747,"0",B449:B747,"5 1 1 3 4 12 31111 6 M78 16000 173 00I 001 13406 025 2111100 2024 00000000 003*")</f>
        <v>0</v>
      </c>
      <c r="E448" s="35"/>
      <c r="F448" s="34">
        <f>SUMIFS(F449:F747,K449:K747,"0",B449:B747,"5 1 1 3 4 12 31111 6 M78 16000 173 00I 001 13406 025 2111100 2024 00000000 003*")</f>
        <v>26037.919999999998</v>
      </c>
      <c r="G448" s="34">
        <f>SUMIFS(G449:G747,K449:K747,"0",B449:B747,"5 1 1 3 4 12 31111 6 M78 16000 173 00I 001 13406 025 2111100 2024 00000000 003*")</f>
        <v>0</v>
      </c>
      <c r="H448" s="34">
        <f t="shared" si="9"/>
        <v>26037.919999999998</v>
      </c>
      <c r="I448" s="34"/>
      <c r="K448" t="s">
        <v>15</v>
      </c>
    </row>
    <row r="449" spans="2:11" ht="33" x14ac:dyDescent="0.15">
      <c r="B449" s="33" t="s">
        <v>638</v>
      </c>
      <c r="C449" s="33" t="s">
        <v>564</v>
      </c>
      <c r="D449" s="34">
        <f>SUMIFS(D450:D747,K450:K747,"0",B450:B747,"5 1 1 3 4 12 31111 6 M78 16000 173 00I 001 13406 025 2111100 2024 00000000 003 001*")-SUMIFS(E450:E747,K450:K747,"0",B450:B747,"5 1 1 3 4 12 31111 6 M78 16000 173 00I 001 13406 025 2111100 2024 00000000 003 001*")</f>
        <v>0</v>
      </c>
      <c r="E449" s="35"/>
      <c r="F449" s="34">
        <f>SUMIFS(F450:F747,K450:K747,"0",B450:B747,"5 1 1 3 4 12 31111 6 M78 16000 173 00I 001 13406 025 2111100 2024 00000000 003 001*")</f>
        <v>26037.919999999998</v>
      </c>
      <c r="G449" s="34">
        <f>SUMIFS(G450:G747,K450:K747,"0",B450:B747,"5 1 1 3 4 12 31111 6 M78 16000 173 00I 001 13406 025 2111100 2024 00000000 003 001*")</f>
        <v>0</v>
      </c>
      <c r="H449" s="34">
        <f t="shared" si="9"/>
        <v>26037.919999999998</v>
      </c>
      <c r="I449" s="34"/>
      <c r="K449" t="s">
        <v>15</v>
      </c>
    </row>
    <row r="450" spans="2:11" ht="33" x14ac:dyDescent="0.15">
      <c r="B450" s="36" t="s">
        <v>639</v>
      </c>
      <c r="C450" s="36" t="s">
        <v>615</v>
      </c>
      <c r="D450" s="37">
        <v>0</v>
      </c>
      <c r="E450" s="37"/>
      <c r="F450" s="37">
        <v>26037.919999999998</v>
      </c>
      <c r="G450" s="37">
        <v>0</v>
      </c>
      <c r="H450" s="37">
        <f t="shared" si="9"/>
        <v>26037.919999999998</v>
      </c>
      <c r="I450" s="37"/>
      <c r="K450" t="s">
        <v>39</v>
      </c>
    </row>
    <row r="451" spans="2:11" ht="13" x14ac:dyDescent="0.15">
      <c r="B451" s="33" t="s">
        <v>640</v>
      </c>
      <c r="C451" s="33" t="s">
        <v>567</v>
      </c>
      <c r="D451" s="34">
        <f>SUMIFS(D452:D747,K452:K747,"0",B452:B747,"5 1 1 3 4 12 31111 6 M78 17000*")-SUMIFS(E452:E747,K452:K747,"0",B452:B747,"5 1 1 3 4 12 31111 6 M78 17000*")</f>
        <v>0</v>
      </c>
      <c r="E451" s="35"/>
      <c r="F451" s="34">
        <f>SUMIFS(F452:F747,K452:K747,"0",B452:B747,"5 1 1 3 4 12 31111 6 M78 17000*")</f>
        <v>61532.06</v>
      </c>
      <c r="G451" s="34">
        <f>SUMIFS(G452:G747,K452:K747,"0",B452:B747,"5 1 1 3 4 12 31111 6 M78 17000*")</f>
        <v>0</v>
      </c>
      <c r="H451" s="34">
        <f t="shared" si="9"/>
        <v>61532.06</v>
      </c>
      <c r="I451" s="34"/>
      <c r="K451" t="s">
        <v>15</v>
      </c>
    </row>
    <row r="452" spans="2:11" ht="22" x14ac:dyDescent="0.15">
      <c r="B452" s="33" t="s">
        <v>641</v>
      </c>
      <c r="C452" s="33" t="s">
        <v>569</v>
      </c>
      <c r="D452" s="34">
        <f>SUMIFS(D453:D747,K453:K747,"0",B453:B747,"5 1 1 3 4 12 31111 6 M78 17000 172*")-SUMIFS(E453:E747,K453:K747,"0",B453:B747,"5 1 1 3 4 12 31111 6 M78 17000 172*")</f>
        <v>0</v>
      </c>
      <c r="E452" s="35"/>
      <c r="F452" s="34">
        <f>SUMIFS(F453:F747,K453:K747,"0",B453:B747,"5 1 1 3 4 12 31111 6 M78 17000 172*")</f>
        <v>61532.06</v>
      </c>
      <c r="G452" s="34">
        <f>SUMIFS(G453:G747,K453:K747,"0",B453:B747,"5 1 1 3 4 12 31111 6 M78 17000 172*")</f>
        <v>0</v>
      </c>
      <c r="H452" s="34">
        <f t="shared" si="9"/>
        <v>61532.06</v>
      </c>
      <c r="I452" s="34"/>
      <c r="K452" t="s">
        <v>15</v>
      </c>
    </row>
    <row r="453" spans="2:11" ht="22" x14ac:dyDescent="0.15">
      <c r="B453" s="33" t="s">
        <v>642</v>
      </c>
      <c r="C453" s="33" t="s">
        <v>167</v>
      </c>
      <c r="D453" s="34">
        <f>SUMIFS(D454:D747,K454:K747,"0",B454:B747,"5 1 1 3 4 12 31111 6 M78 17000 172 00I*")-SUMIFS(E454:E747,K454:K747,"0",B454:B747,"5 1 1 3 4 12 31111 6 M78 17000 172 00I*")</f>
        <v>0</v>
      </c>
      <c r="E453" s="35"/>
      <c r="F453" s="34">
        <f>SUMIFS(F454:F747,K454:K747,"0",B454:B747,"5 1 1 3 4 12 31111 6 M78 17000 172 00I*")</f>
        <v>61532.06</v>
      </c>
      <c r="G453" s="34">
        <f>SUMIFS(G454:G747,K454:K747,"0",B454:B747,"5 1 1 3 4 12 31111 6 M78 17000 172 00I*")</f>
        <v>0</v>
      </c>
      <c r="H453" s="34">
        <f t="shared" si="9"/>
        <v>61532.06</v>
      </c>
      <c r="I453" s="34"/>
      <c r="K453" t="s">
        <v>15</v>
      </c>
    </row>
    <row r="454" spans="2:11" ht="22" x14ac:dyDescent="0.15">
      <c r="B454" s="33" t="s">
        <v>643</v>
      </c>
      <c r="C454" s="33" t="s">
        <v>455</v>
      </c>
      <c r="D454" s="34">
        <f>SUMIFS(D455:D747,K455:K747,"0",B455:B747,"5 1 1 3 4 12 31111 6 M78 17000 172 00I 001*")-SUMIFS(E455:E747,K455:K747,"0",B455:B747,"5 1 1 3 4 12 31111 6 M78 17000 172 00I 001*")</f>
        <v>0</v>
      </c>
      <c r="E454" s="35"/>
      <c r="F454" s="34">
        <f>SUMIFS(F455:F747,K455:K747,"0",B455:B747,"5 1 1 3 4 12 31111 6 M78 17000 172 00I 001*")</f>
        <v>61532.06</v>
      </c>
      <c r="G454" s="34">
        <f>SUMIFS(G455:G747,K455:K747,"0",B455:B747,"5 1 1 3 4 12 31111 6 M78 17000 172 00I 001*")</f>
        <v>0</v>
      </c>
      <c r="H454" s="34">
        <f t="shared" si="9"/>
        <v>61532.06</v>
      </c>
      <c r="I454" s="34"/>
      <c r="K454" t="s">
        <v>15</v>
      </c>
    </row>
    <row r="455" spans="2:11" ht="22" x14ac:dyDescent="0.15">
      <c r="B455" s="33" t="s">
        <v>644</v>
      </c>
      <c r="C455" s="33" t="s">
        <v>594</v>
      </c>
      <c r="D455" s="34">
        <f>SUMIFS(D456:D747,K456:K747,"0",B456:B747,"5 1 1 3 4 12 31111 6 M78 17000 172 00I 001 13406*")-SUMIFS(E456:E747,K456:K747,"0",B456:B747,"5 1 1 3 4 12 31111 6 M78 17000 172 00I 001 13406*")</f>
        <v>0</v>
      </c>
      <c r="E455" s="35"/>
      <c r="F455" s="34">
        <f>SUMIFS(F456:F747,K456:K747,"0",B456:B747,"5 1 1 3 4 12 31111 6 M78 17000 172 00I 001 13406*")</f>
        <v>61532.06</v>
      </c>
      <c r="G455" s="34">
        <f>SUMIFS(G456:G747,K456:K747,"0",B456:B747,"5 1 1 3 4 12 31111 6 M78 17000 172 00I 001 13406*")</f>
        <v>0</v>
      </c>
      <c r="H455" s="34">
        <f t="shared" si="9"/>
        <v>61532.06</v>
      </c>
      <c r="I455" s="34"/>
      <c r="K455" t="s">
        <v>15</v>
      </c>
    </row>
    <row r="456" spans="2:11" ht="22" x14ac:dyDescent="0.15">
      <c r="B456" s="33" t="s">
        <v>645</v>
      </c>
      <c r="C456" s="33" t="s">
        <v>173</v>
      </c>
      <c r="D456" s="34">
        <f>SUMIFS(D457:D747,K457:K747,"0",B457:B747,"5 1 1 3 4 12 31111 6 M78 17000 172 00I 001 13406 025*")-SUMIFS(E457:E747,K457:K747,"0",B457:B747,"5 1 1 3 4 12 31111 6 M78 17000 172 00I 001 13406 025*")</f>
        <v>0</v>
      </c>
      <c r="E456" s="35"/>
      <c r="F456" s="34">
        <f>SUMIFS(F457:F747,K457:K747,"0",B457:B747,"5 1 1 3 4 12 31111 6 M78 17000 172 00I 001 13406 025*")</f>
        <v>61532.06</v>
      </c>
      <c r="G456" s="34">
        <f>SUMIFS(G457:G747,K457:K747,"0",B457:B747,"5 1 1 3 4 12 31111 6 M78 17000 172 00I 001 13406 025*")</f>
        <v>0</v>
      </c>
      <c r="H456" s="34">
        <f t="shared" ref="H456:H519" si="10">D456 + F456 - G456</f>
        <v>61532.06</v>
      </c>
      <c r="I456" s="34"/>
      <c r="K456" t="s">
        <v>15</v>
      </c>
    </row>
    <row r="457" spans="2:11" ht="22" x14ac:dyDescent="0.15">
      <c r="B457" s="33" t="s">
        <v>646</v>
      </c>
      <c r="C457" s="33" t="s">
        <v>514</v>
      </c>
      <c r="D457" s="34">
        <f>SUMIFS(D458:D747,K458:K747,"0",B458:B747,"5 1 1 3 4 12 31111 6 M78 17000 172 00I 001 13406 025 2111100*")-SUMIFS(E458:E747,K458:K747,"0",B458:B747,"5 1 1 3 4 12 31111 6 M78 17000 172 00I 001 13406 025 2111100*")</f>
        <v>0</v>
      </c>
      <c r="E457" s="35"/>
      <c r="F457" s="34">
        <f>SUMIFS(F458:F747,K458:K747,"0",B458:B747,"5 1 1 3 4 12 31111 6 M78 17000 172 00I 001 13406 025 2111100*")</f>
        <v>61532.06</v>
      </c>
      <c r="G457" s="34">
        <f>SUMIFS(G458:G747,K458:K747,"0",B458:B747,"5 1 1 3 4 12 31111 6 M78 17000 172 00I 001 13406 025 2111100*")</f>
        <v>0</v>
      </c>
      <c r="H457" s="34">
        <f t="shared" si="10"/>
        <v>61532.06</v>
      </c>
      <c r="I457" s="34"/>
      <c r="K457" t="s">
        <v>15</v>
      </c>
    </row>
    <row r="458" spans="2:11" ht="33" x14ac:dyDescent="0.15">
      <c r="B458" s="33" t="s">
        <v>647</v>
      </c>
      <c r="C458" s="33" t="s">
        <v>318</v>
      </c>
      <c r="D458" s="34">
        <f>SUMIFS(D459:D747,K459:K747,"0",B459:B747,"5 1 1 3 4 12 31111 6 M78 17000 172 00I 001 13406 025 2111100 2024*")-SUMIFS(E459:E747,K459:K747,"0",B459:B747,"5 1 1 3 4 12 31111 6 M78 17000 172 00I 001 13406 025 2111100 2024*")</f>
        <v>0</v>
      </c>
      <c r="E458" s="35"/>
      <c r="F458" s="34">
        <f>SUMIFS(F459:F747,K459:K747,"0",B459:B747,"5 1 1 3 4 12 31111 6 M78 17000 172 00I 001 13406 025 2111100 2024*")</f>
        <v>61532.06</v>
      </c>
      <c r="G458" s="34">
        <f>SUMIFS(G459:G747,K459:K747,"0",B459:B747,"5 1 1 3 4 12 31111 6 M78 17000 172 00I 001 13406 025 2111100 2024*")</f>
        <v>0</v>
      </c>
      <c r="H458" s="34">
        <f t="shared" si="10"/>
        <v>61532.06</v>
      </c>
      <c r="I458" s="34"/>
      <c r="K458" t="s">
        <v>15</v>
      </c>
    </row>
    <row r="459" spans="2:11" ht="33" x14ac:dyDescent="0.15">
      <c r="B459" s="33" t="s">
        <v>648</v>
      </c>
      <c r="C459" s="33" t="s">
        <v>179</v>
      </c>
      <c r="D459" s="34">
        <f>SUMIFS(D460:D747,K460:K747,"0",B460:B747,"5 1 1 3 4 12 31111 6 M78 17000 172 00I 001 13406 025 2111100 2024 00000000*")-SUMIFS(E460:E747,K460:K747,"0",B460:B747,"5 1 1 3 4 12 31111 6 M78 17000 172 00I 001 13406 025 2111100 2024 00000000*")</f>
        <v>0</v>
      </c>
      <c r="E459" s="35"/>
      <c r="F459" s="34">
        <f>SUMIFS(F460:F747,K460:K747,"0",B460:B747,"5 1 1 3 4 12 31111 6 M78 17000 172 00I 001 13406 025 2111100 2024 00000000*")</f>
        <v>61532.06</v>
      </c>
      <c r="G459" s="34">
        <f>SUMIFS(G460:G747,K460:K747,"0",B460:B747,"5 1 1 3 4 12 31111 6 M78 17000 172 00I 001 13406 025 2111100 2024 00000000*")</f>
        <v>0</v>
      </c>
      <c r="H459" s="34">
        <f t="shared" si="10"/>
        <v>61532.06</v>
      </c>
      <c r="I459" s="34"/>
      <c r="K459" t="s">
        <v>15</v>
      </c>
    </row>
    <row r="460" spans="2:11" ht="33" x14ac:dyDescent="0.15">
      <c r="B460" s="33" t="s">
        <v>649</v>
      </c>
      <c r="C460" s="33" t="s">
        <v>9</v>
      </c>
      <c r="D460" s="34">
        <f>SUMIFS(D461:D747,K461:K747,"0",B461:B747,"5 1 1 3 4 12 31111 6 M78 17000 172 00I 001 13406 025 2111100 2024 00000000 003*")-SUMIFS(E461:E747,K461:K747,"0",B461:B747,"5 1 1 3 4 12 31111 6 M78 17000 172 00I 001 13406 025 2111100 2024 00000000 003*")</f>
        <v>0</v>
      </c>
      <c r="E460" s="35"/>
      <c r="F460" s="34">
        <f>SUMIFS(F461:F747,K461:K747,"0",B461:B747,"5 1 1 3 4 12 31111 6 M78 17000 172 00I 001 13406 025 2111100 2024 00000000 003*")</f>
        <v>61532.06</v>
      </c>
      <c r="G460" s="34">
        <f>SUMIFS(G461:G747,K461:K747,"0",B461:B747,"5 1 1 3 4 12 31111 6 M78 17000 172 00I 001 13406 025 2111100 2024 00000000 003*")</f>
        <v>0</v>
      </c>
      <c r="H460" s="34">
        <f t="shared" si="10"/>
        <v>61532.06</v>
      </c>
      <c r="I460" s="34"/>
      <c r="K460" t="s">
        <v>15</v>
      </c>
    </row>
    <row r="461" spans="2:11" ht="33" x14ac:dyDescent="0.15">
      <c r="B461" s="33" t="s">
        <v>650</v>
      </c>
      <c r="C461" s="33" t="s">
        <v>579</v>
      </c>
      <c r="D461" s="34">
        <f>SUMIFS(D462:D747,K462:K747,"0",B462:B747,"5 1 1 3 4 12 31111 6 M78 17000 172 00I 001 13406 025 2111100 2024 00000000 003 001*")-SUMIFS(E462:E747,K462:K747,"0",B462:B747,"5 1 1 3 4 12 31111 6 M78 17000 172 00I 001 13406 025 2111100 2024 00000000 003 001*")</f>
        <v>0</v>
      </c>
      <c r="E461" s="35"/>
      <c r="F461" s="34">
        <f>SUMIFS(F462:F747,K462:K747,"0",B462:B747,"5 1 1 3 4 12 31111 6 M78 17000 172 00I 001 13406 025 2111100 2024 00000000 003 001*")</f>
        <v>61532.06</v>
      </c>
      <c r="G461" s="34">
        <f>SUMIFS(G462:G747,K462:K747,"0",B462:B747,"5 1 1 3 4 12 31111 6 M78 17000 172 00I 001 13406 025 2111100 2024 00000000 003 001*")</f>
        <v>0</v>
      </c>
      <c r="H461" s="34">
        <f t="shared" si="10"/>
        <v>61532.06</v>
      </c>
      <c r="I461" s="34"/>
      <c r="K461" t="s">
        <v>15</v>
      </c>
    </row>
    <row r="462" spans="2:11" ht="33" x14ac:dyDescent="0.15">
      <c r="B462" s="36" t="s">
        <v>651</v>
      </c>
      <c r="C462" s="36" t="s">
        <v>615</v>
      </c>
      <c r="D462" s="37">
        <v>0</v>
      </c>
      <c r="E462" s="37"/>
      <c r="F462" s="37">
        <v>61532.06</v>
      </c>
      <c r="G462" s="37">
        <v>0</v>
      </c>
      <c r="H462" s="37">
        <f t="shared" si="10"/>
        <v>61532.06</v>
      </c>
      <c r="I462" s="37"/>
      <c r="K462" t="s">
        <v>39</v>
      </c>
    </row>
    <row r="463" spans="2:11" ht="13" x14ac:dyDescent="0.15">
      <c r="B463" s="33" t="s">
        <v>652</v>
      </c>
      <c r="C463" s="33" t="s">
        <v>653</v>
      </c>
      <c r="D463" s="34">
        <f>SUMIFS(D464:D747,K464:K747,"0",B464:B747,"5 1 1 6*")-SUMIFS(E464:E747,K464:K747,"0",B464:B747,"5 1 1 6*")</f>
        <v>0</v>
      </c>
      <c r="E463" s="35"/>
      <c r="F463" s="34">
        <f>SUMIFS(F464:F747,K464:K747,"0",B464:B747,"5 1 1 6*")</f>
        <v>215400</v>
      </c>
      <c r="G463" s="34">
        <f>SUMIFS(G464:G747,K464:K747,"0",B464:B747,"5 1 1 6*")</f>
        <v>0</v>
      </c>
      <c r="H463" s="34">
        <f t="shared" si="10"/>
        <v>215400</v>
      </c>
      <c r="I463" s="34"/>
      <c r="K463" t="s">
        <v>15</v>
      </c>
    </row>
    <row r="464" spans="2:11" ht="13" x14ac:dyDescent="0.15">
      <c r="B464" s="33" t="s">
        <v>654</v>
      </c>
      <c r="C464" s="33" t="s">
        <v>655</v>
      </c>
      <c r="D464" s="34">
        <f>SUMIFS(D465:D747,K465:K747,"0",B465:B747,"5 1 1 6 1*")-SUMIFS(E465:E747,K465:K747,"0",B465:B747,"5 1 1 6 1*")</f>
        <v>0</v>
      </c>
      <c r="E464" s="35"/>
      <c r="F464" s="34">
        <f>SUMIFS(F465:F747,K465:K747,"0",B465:B747,"5 1 1 6 1*")</f>
        <v>215400</v>
      </c>
      <c r="G464" s="34">
        <f>SUMIFS(G465:G747,K465:K747,"0",B465:B747,"5 1 1 6 1*")</f>
        <v>0</v>
      </c>
      <c r="H464" s="34">
        <f t="shared" si="10"/>
        <v>215400</v>
      </c>
      <c r="I464" s="34"/>
      <c r="K464" t="s">
        <v>15</v>
      </c>
    </row>
    <row r="465" spans="2:11" ht="13" x14ac:dyDescent="0.15">
      <c r="B465" s="33" t="s">
        <v>656</v>
      </c>
      <c r="C465" s="33" t="s">
        <v>26</v>
      </c>
      <c r="D465" s="34">
        <f>SUMIFS(D466:D747,K466:K747,"0",B466:B747,"5 1 1 6 1 12*")-SUMIFS(E466:E747,K466:K747,"0",B466:B747,"5 1 1 6 1 12*")</f>
        <v>0</v>
      </c>
      <c r="E465" s="35"/>
      <c r="F465" s="34">
        <f>SUMIFS(F466:F747,K466:K747,"0",B466:B747,"5 1 1 6 1 12*")</f>
        <v>215400</v>
      </c>
      <c r="G465" s="34">
        <f>SUMIFS(G466:G747,K466:K747,"0",B466:B747,"5 1 1 6 1 12*")</f>
        <v>0</v>
      </c>
      <c r="H465" s="34">
        <f t="shared" si="10"/>
        <v>215400</v>
      </c>
      <c r="I465" s="34"/>
      <c r="K465" t="s">
        <v>15</v>
      </c>
    </row>
    <row r="466" spans="2:11" ht="13" x14ac:dyDescent="0.15">
      <c r="B466" s="33" t="s">
        <v>657</v>
      </c>
      <c r="C466" s="33" t="s">
        <v>28</v>
      </c>
      <c r="D466" s="34">
        <f>SUMIFS(D467:D747,K467:K747,"0",B467:B747,"5 1 1 6 1 12 31111*")-SUMIFS(E467:E747,K467:K747,"0",B467:B747,"5 1 1 6 1 12 31111*")</f>
        <v>0</v>
      </c>
      <c r="E466" s="35"/>
      <c r="F466" s="34">
        <f>SUMIFS(F467:F747,K467:K747,"0",B467:B747,"5 1 1 6 1 12 31111*")</f>
        <v>215400</v>
      </c>
      <c r="G466" s="34">
        <f>SUMIFS(G467:G747,K467:K747,"0",B467:B747,"5 1 1 6 1 12 31111*")</f>
        <v>0</v>
      </c>
      <c r="H466" s="34">
        <f t="shared" si="10"/>
        <v>215400</v>
      </c>
      <c r="I466" s="34"/>
      <c r="K466" t="s">
        <v>15</v>
      </c>
    </row>
    <row r="467" spans="2:11" ht="13" x14ac:dyDescent="0.15">
      <c r="B467" s="33" t="s">
        <v>658</v>
      </c>
      <c r="C467" s="33" t="s">
        <v>30</v>
      </c>
      <c r="D467" s="34">
        <f>SUMIFS(D468:D747,K468:K747,"0",B468:B747,"5 1 1 6 1 12 31111 6*")-SUMIFS(E468:E747,K468:K747,"0",B468:B747,"5 1 1 6 1 12 31111 6*")</f>
        <v>0</v>
      </c>
      <c r="E467" s="35"/>
      <c r="F467" s="34">
        <f>SUMIFS(F468:F747,K468:K747,"0",B468:B747,"5 1 1 6 1 12 31111 6*")</f>
        <v>215400</v>
      </c>
      <c r="G467" s="34">
        <f>SUMIFS(G468:G747,K468:K747,"0",B468:B747,"5 1 1 6 1 12 31111 6*")</f>
        <v>0</v>
      </c>
      <c r="H467" s="34">
        <f t="shared" si="10"/>
        <v>215400</v>
      </c>
      <c r="I467" s="34"/>
      <c r="K467" t="s">
        <v>15</v>
      </c>
    </row>
    <row r="468" spans="2:11" ht="13" x14ac:dyDescent="0.15">
      <c r="B468" s="33" t="s">
        <v>659</v>
      </c>
      <c r="C468" s="33" t="s">
        <v>503</v>
      </c>
      <c r="D468" s="34">
        <f>SUMIFS(D469:D747,K469:K747,"0",B469:B747,"5 1 1 6 1 12 31111 6 M78*")-SUMIFS(E469:E747,K469:K747,"0",B469:B747,"5 1 1 6 1 12 31111 6 M78*")</f>
        <v>0</v>
      </c>
      <c r="E468" s="35"/>
      <c r="F468" s="34">
        <f>SUMIFS(F469:F747,K469:K747,"0",B469:B747,"5 1 1 6 1 12 31111 6 M78*")</f>
        <v>215400</v>
      </c>
      <c r="G468" s="34">
        <f>SUMIFS(G469:G747,K469:K747,"0",B469:B747,"5 1 1 6 1 12 31111 6 M78*")</f>
        <v>0</v>
      </c>
      <c r="H468" s="34">
        <f t="shared" si="10"/>
        <v>215400</v>
      </c>
      <c r="I468" s="34"/>
      <c r="K468" t="s">
        <v>15</v>
      </c>
    </row>
    <row r="469" spans="2:11" ht="13" x14ac:dyDescent="0.15">
      <c r="B469" s="33" t="s">
        <v>660</v>
      </c>
      <c r="C469" s="33" t="s">
        <v>163</v>
      </c>
      <c r="D469" s="34">
        <f>SUMIFS(D470:D747,K470:K747,"0",B470:B747,"5 1 1 6 1 12 31111 6 M78 15000*")-SUMIFS(E470:E747,K470:K747,"0",B470:B747,"5 1 1 6 1 12 31111 6 M78 15000*")</f>
        <v>0</v>
      </c>
      <c r="E469" s="35"/>
      <c r="F469" s="34">
        <f>SUMIFS(F470:F747,K470:K747,"0",B470:B747,"5 1 1 6 1 12 31111 6 M78 15000*")</f>
        <v>215400</v>
      </c>
      <c r="G469" s="34">
        <f>SUMIFS(G470:G747,K470:K747,"0",B470:B747,"5 1 1 6 1 12 31111 6 M78 15000*")</f>
        <v>0</v>
      </c>
      <c r="H469" s="34">
        <f t="shared" si="10"/>
        <v>215400</v>
      </c>
      <c r="I469" s="34"/>
      <c r="K469" t="s">
        <v>15</v>
      </c>
    </row>
    <row r="470" spans="2:11" ht="22" x14ac:dyDescent="0.15">
      <c r="B470" s="33" t="s">
        <v>661</v>
      </c>
      <c r="C470" s="33" t="s">
        <v>165</v>
      </c>
      <c r="D470" s="34">
        <f>SUMIFS(D471:D747,K471:K747,"0",B471:B747,"5 1 1 6 1 12 31111 6 M78 15000 171*")-SUMIFS(E471:E747,K471:K747,"0",B471:B747,"5 1 1 6 1 12 31111 6 M78 15000 171*")</f>
        <v>0</v>
      </c>
      <c r="E470" s="35"/>
      <c r="F470" s="34">
        <f>SUMIFS(F471:F747,K471:K747,"0",B471:B747,"5 1 1 6 1 12 31111 6 M78 15000 171*")</f>
        <v>215400</v>
      </c>
      <c r="G470" s="34">
        <f>SUMIFS(G471:G747,K471:K747,"0",B471:B747,"5 1 1 6 1 12 31111 6 M78 15000 171*")</f>
        <v>0</v>
      </c>
      <c r="H470" s="34">
        <f t="shared" si="10"/>
        <v>215400</v>
      </c>
      <c r="I470" s="34"/>
      <c r="K470" t="s">
        <v>15</v>
      </c>
    </row>
    <row r="471" spans="2:11" ht="22" x14ac:dyDescent="0.15">
      <c r="B471" s="33" t="s">
        <v>662</v>
      </c>
      <c r="C471" s="33" t="s">
        <v>167</v>
      </c>
      <c r="D471" s="34">
        <f>SUMIFS(D472:D747,K472:K747,"0",B472:B747,"5 1 1 6 1 12 31111 6 M78 15000 171 00I*")-SUMIFS(E472:E747,K472:K747,"0",B472:B747,"5 1 1 6 1 12 31111 6 M78 15000 171 00I*")</f>
        <v>0</v>
      </c>
      <c r="E471" s="35"/>
      <c r="F471" s="34">
        <f>SUMIFS(F472:F747,K472:K747,"0",B472:B747,"5 1 1 6 1 12 31111 6 M78 15000 171 00I*")</f>
        <v>215400</v>
      </c>
      <c r="G471" s="34">
        <f>SUMIFS(G472:G747,K472:K747,"0",B472:B747,"5 1 1 6 1 12 31111 6 M78 15000 171 00I*")</f>
        <v>0</v>
      </c>
      <c r="H471" s="34">
        <f t="shared" si="10"/>
        <v>215400</v>
      </c>
      <c r="I471" s="34"/>
      <c r="K471" t="s">
        <v>15</v>
      </c>
    </row>
    <row r="472" spans="2:11" ht="22" x14ac:dyDescent="0.15">
      <c r="B472" s="33" t="s">
        <v>663</v>
      </c>
      <c r="C472" s="33" t="s">
        <v>455</v>
      </c>
      <c r="D472" s="34">
        <f>SUMIFS(D473:D747,K473:K747,"0",B473:B747,"5 1 1 6 1 12 31111 6 M78 15000 171 00I 001*")-SUMIFS(E473:E747,K473:K747,"0",B473:B747,"5 1 1 6 1 12 31111 6 M78 15000 171 00I 001*")</f>
        <v>0</v>
      </c>
      <c r="E472" s="35"/>
      <c r="F472" s="34">
        <f>SUMIFS(F473:F747,K473:K747,"0",B473:B747,"5 1 1 6 1 12 31111 6 M78 15000 171 00I 001*")</f>
        <v>215400</v>
      </c>
      <c r="G472" s="34">
        <f>SUMIFS(G473:G747,K473:K747,"0",B473:B747,"5 1 1 6 1 12 31111 6 M78 15000 171 00I 001*")</f>
        <v>0</v>
      </c>
      <c r="H472" s="34">
        <f t="shared" si="10"/>
        <v>215400</v>
      </c>
      <c r="I472" s="34"/>
      <c r="K472" t="s">
        <v>15</v>
      </c>
    </row>
    <row r="473" spans="2:11" ht="22" x14ac:dyDescent="0.15">
      <c r="B473" s="33" t="s">
        <v>664</v>
      </c>
      <c r="C473" s="33" t="s">
        <v>665</v>
      </c>
      <c r="D473" s="34">
        <f>SUMIFS(D474:D747,K474:K747,"0",B474:B747,"5 1 1 6 1 12 31111 6 M78 15000 171 00I 001 17102*")-SUMIFS(E474:E747,K474:K747,"0",B474:B747,"5 1 1 6 1 12 31111 6 M78 15000 171 00I 001 17102*")</f>
        <v>0</v>
      </c>
      <c r="E473" s="35"/>
      <c r="F473" s="34">
        <f>SUMIFS(F474:F747,K474:K747,"0",B474:B747,"5 1 1 6 1 12 31111 6 M78 15000 171 00I 001 17102*")</f>
        <v>215400</v>
      </c>
      <c r="G473" s="34">
        <f>SUMIFS(G474:G747,K474:K747,"0",B474:B747,"5 1 1 6 1 12 31111 6 M78 15000 171 00I 001 17102*")</f>
        <v>0</v>
      </c>
      <c r="H473" s="34">
        <f t="shared" si="10"/>
        <v>215400</v>
      </c>
      <c r="I473" s="34"/>
      <c r="K473" t="s">
        <v>15</v>
      </c>
    </row>
    <row r="474" spans="2:11" ht="22" x14ac:dyDescent="0.15">
      <c r="B474" s="33" t="s">
        <v>666</v>
      </c>
      <c r="C474" s="33" t="s">
        <v>173</v>
      </c>
      <c r="D474" s="34">
        <f>SUMIFS(D475:D747,K475:K747,"0",B475:B747,"5 1 1 6 1 12 31111 6 M78 15000 171 00I 001 17102 025*")-SUMIFS(E475:E747,K475:K747,"0",B475:B747,"5 1 1 6 1 12 31111 6 M78 15000 171 00I 001 17102 025*")</f>
        <v>0</v>
      </c>
      <c r="E474" s="35"/>
      <c r="F474" s="34">
        <f>SUMIFS(F475:F747,K475:K747,"0",B475:B747,"5 1 1 6 1 12 31111 6 M78 15000 171 00I 001 17102 025*")</f>
        <v>215400</v>
      </c>
      <c r="G474" s="34">
        <f>SUMIFS(G475:G747,K475:K747,"0",B475:B747,"5 1 1 6 1 12 31111 6 M78 15000 171 00I 001 17102 025*")</f>
        <v>0</v>
      </c>
      <c r="H474" s="34">
        <f t="shared" si="10"/>
        <v>215400</v>
      </c>
      <c r="I474" s="34"/>
      <c r="K474" t="s">
        <v>15</v>
      </c>
    </row>
    <row r="475" spans="2:11" ht="22" x14ac:dyDescent="0.15">
      <c r="B475" s="33" t="s">
        <v>667</v>
      </c>
      <c r="C475" s="33" t="s">
        <v>514</v>
      </c>
      <c r="D475" s="34">
        <f>SUMIFS(D476:D747,K476:K747,"0",B476:B747,"5 1 1 6 1 12 31111 6 M78 15000 171 00I 001 17102 025 2111100*")-SUMIFS(E476:E747,K476:K747,"0",B476:B747,"5 1 1 6 1 12 31111 6 M78 15000 171 00I 001 17102 025 2111100*")</f>
        <v>0</v>
      </c>
      <c r="E475" s="35"/>
      <c r="F475" s="34">
        <f>SUMIFS(F476:F747,K476:K747,"0",B476:B747,"5 1 1 6 1 12 31111 6 M78 15000 171 00I 001 17102 025 2111100*")</f>
        <v>215400</v>
      </c>
      <c r="G475" s="34">
        <f>SUMIFS(G476:G747,K476:K747,"0",B476:B747,"5 1 1 6 1 12 31111 6 M78 15000 171 00I 001 17102 025 2111100*")</f>
        <v>0</v>
      </c>
      <c r="H475" s="34">
        <f t="shared" si="10"/>
        <v>215400</v>
      </c>
      <c r="I475" s="34"/>
      <c r="K475" t="s">
        <v>15</v>
      </c>
    </row>
    <row r="476" spans="2:11" ht="33" x14ac:dyDescent="0.15">
      <c r="B476" s="33" t="s">
        <v>668</v>
      </c>
      <c r="C476" s="33" t="s">
        <v>318</v>
      </c>
      <c r="D476" s="34">
        <f>SUMIFS(D477:D747,K477:K747,"0",B477:B747,"5 1 1 6 1 12 31111 6 M78 15000 171 00I 001 17102 025 2111100 2024*")-SUMIFS(E477:E747,K477:K747,"0",B477:B747,"5 1 1 6 1 12 31111 6 M78 15000 171 00I 001 17102 025 2111100 2024*")</f>
        <v>0</v>
      </c>
      <c r="E476" s="35"/>
      <c r="F476" s="34">
        <f>SUMIFS(F477:F747,K477:K747,"0",B477:B747,"5 1 1 6 1 12 31111 6 M78 15000 171 00I 001 17102 025 2111100 2024*")</f>
        <v>215400</v>
      </c>
      <c r="G476" s="34">
        <f>SUMIFS(G477:G747,K477:K747,"0",B477:B747,"5 1 1 6 1 12 31111 6 M78 15000 171 00I 001 17102 025 2111100 2024*")</f>
        <v>0</v>
      </c>
      <c r="H476" s="34">
        <f t="shared" si="10"/>
        <v>215400</v>
      </c>
      <c r="I476" s="34"/>
      <c r="K476" t="s">
        <v>15</v>
      </c>
    </row>
    <row r="477" spans="2:11" ht="33" x14ac:dyDescent="0.15">
      <c r="B477" s="33" t="s">
        <v>669</v>
      </c>
      <c r="C477" s="33" t="s">
        <v>179</v>
      </c>
      <c r="D477" s="34">
        <f>SUMIFS(D478:D747,K478:K747,"0",B478:B747,"5 1 1 6 1 12 31111 6 M78 15000 171 00I 001 17102 025 2111100 2024 00000000*")-SUMIFS(E478:E747,K478:K747,"0",B478:B747,"5 1 1 6 1 12 31111 6 M78 15000 171 00I 001 17102 025 2111100 2024 00000000*")</f>
        <v>0</v>
      </c>
      <c r="E477" s="35"/>
      <c r="F477" s="34">
        <f>SUMIFS(F478:F747,K478:K747,"0",B478:B747,"5 1 1 6 1 12 31111 6 M78 15000 171 00I 001 17102 025 2111100 2024 00000000*")</f>
        <v>215400</v>
      </c>
      <c r="G477" s="34">
        <f>SUMIFS(G478:G747,K478:K747,"0",B478:B747,"5 1 1 6 1 12 31111 6 M78 15000 171 00I 001 17102 025 2111100 2024 00000000*")</f>
        <v>0</v>
      </c>
      <c r="H477" s="34">
        <f t="shared" si="10"/>
        <v>215400</v>
      </c>
      <c r="I477" s="34"/>
      <c r="K477" t="s">
        <v>15</v>
      </c>
    </row>
    <row r="478" spans="2:11" ht="33" x14ac:dyDescent="0.15">
      <c r="B478" s="33" t="s">
        <v>670</v>
      </c>
      <c r="C478" s="33" t="s">
        <v>9</v>
      </c>
      <c r="D478" s="34">
        <f>SUMIFS(D479:D747,K479:K747,"0",B479:B747,"5 1 1 6 1 12 31111 6 M78 15000 171 00I 001 17102 025 2111100 2024 00000000 003*")-SUMIFS(E479:E747,K479:K747,"0",B479:B747,"5 1 1 6 1 12 31111 6 M78 15000 171 00I 001 17102 025 2111100 2024 00000000 003*")</f>
        <v>0</v>
      </c>
      <c r="E478" s="35"/>
      <c r="F478" s="34">
        <f>SUMIFS(F479:F747,K479:K747,"0",B479:B747,"5 1 1 6 1 12 31111 6 M78 15000 171 00I 001 17102 025 2111100 2024 00000000 003*")</f>
        <v>215400</v>
      </c>
      <c r="G478" s="34">
        <f>SUMIFS(G479:G747,K479:K747,"0",B479:B747,"5 1 1 6 1 12 31111 6 M78 15000 171 00I 001 17102 025 2111100 2024 00000000 003*")</f>
        <v>0</v>
      </c>
      <c r="H478" s="34">
        <f t="shared" si="10"/>
        <v>215400</v>
      </c>
      <c r="I478" s="34"/>
      <c r="K478" t="s">
        <v>15</v>
      </c>
    </row>
    <row r="479" spans="2:11" ht="33" x14ac:dyDescent="0.15">
      <c r="B479" s="36" t="s">
        <v>671</v>
      </c>
      <c r="C479" s="36" t="s">
        <v>672</v>
      </c>
      <c r="D479" s="37">
        <v>0</v>
      </c>
      <c r="E479" s="37"/>
      <c r="F479" s="37">
        <v>215400</v>
      </c>
      <c r="G479" s="37">
        <v>0</v>
      </c>
      <c r="H479" s="37">
        <f t="shared" si="10"/>
        <v>215400</v>
      </c>
      <c r="I479" s="37"/>
      <c r="K479" t="s">
        <v>39</v>
      </c>
    </row>
    <row r="480" spans="2:11" ht="13" x14ac:dyDescent="0.15">
      <c r="B480" s="33" t="s">
        <v>673</v>
      </c>
      <c r="C480" s="33" t="s">
        <v>674</v>
      </c>
      <c r="D480" s="34">
        <f>SUMIFS(D481:D747,K481:K747,"0",B481:B747,"5 1 2*")-SUMIFS(E481:E747,K481:K747,"0",B481:B747,"5 1 2*")</f>
        <v>0</v>
      </c>
      <c r="E480" s="35"/>
      <c r="F480" s="34">
        <f>SUMIFS(F481:F747,K481:K747,"0",B481:B747,"5 1 2*")</f>
        <v>1236706.2400000002</v>
      </c>
      <c r="G480" s="34">
        <f>SUMIFS(G481:G747,K481:K747,"0",B481:B747,"5 1 2*")</f>
        <v>0</v>
      </c>
      <c r="H480" s="34">
        <f t="shared" si="10"/>
        <v>1236706.2400000002</v>
      </c>
      <c r="I480" s="34"/>
      <c r="K480" t="s">
        <v>15</v>
      </c>
    </row>
    <row r="481" spans="2:11" ht="22" x14ac:dyDescent="0.15">
      <c r="B481" s="33" t="s">
        <v>675</v>
      </c>
      <c r="C481" s="33" t="s">
        <v>676</v>
      </c>
      <c r="D481" s="34">
        <f>SUMIFS(D482:D747,K482:K747,"0",B482:B747,"5 1 2 1*")-SUMIFS(E482:E747,K482:K747,"0",B482:B747,"5 1 2 1*")</f>
        <v>0</v>
      </c>
      <c r="E481" s="35"/>
      <c r="F481" s="34">
        <f>SUMIFS(F482:F747,K482:K747,"0",B482:B747,"5 1 2 1*")</f>
        <v>593763.32000000007</v>
      </c>
      <c r="G481" s="34">
        <f>SUMIFS(G482:G747,K482:K747,"0",B482:B747,"5 1 2 1*")</f>
        <v>0</v>
      </c>
      <c r="H481" s="34">
        <f t="shared" si="10"/>
        <v>593763.32000000007</v>
      </c>
      <c r="I481" s="34"/>
      <c r="K481" t="s">
        <v>15</v>
      </c>
    </row>
    <row r="482" spans="2:11" ht="13" x14ac:dyDescent="0.15">
      <c r="B482" s="33" t="s">
        <v>677</v>
      </c>
      <c r="C482" s="33" t="s">
        <v>678</v>
      </c>
      <c r="D482" s="34">
        <f>SUMIFS(D483:D747,K483:K747,"0",B483:B747,"5 1 2 1 1*")-SUMIFS(E483:E747,K483:K747,"0",B483:B747,"5 1 2 1 1*")</f>
        <v>0</v>
      </c>
      <c r="E482" s="35"/>
      <c r="F482" s="34">
        <f>SUMIFS(F483:F747,K483:K747,"0",B483:B747,"5 1 2 1 1*")</f>
        <v>215653.12</v>
      </c>
      <c r="G482" s="34">
        <f>SUMIFS(G483:G747,K483:K747,"0",B483:B747,"5 1 2 1 1*")</f>
        <v>0</v>
      </c>
      <c r="H482" s="34">
        <f t="shared" si="10"/>
        <v>215653.12</v>
      </c>
      <c r="I482" s="34"/>
      <c r="K482" t="s">
        <v>15</v>
      </c>
    </row>
    <row r="483" spans="2:11" ht="13" x14ac:dyDescent="0.15">
      <c r="B483" s="33" t="s">
        <v>679</v>
      </c>
      <c r="C483" s="33" t="s">
        <v>26</v>
      </c>
      <c r="D483" s="34">
        <f>SUMIFS(D484:D747,K484:K747,"0",B484:B747,"5 1 2 1 1 12*")-SUMIFS(E484:E747,K484:K747,"0",B484:B747,"5 1 2 1 1 12*")</f>
        <v>0</v>
      </c>
      <c r="E483" s="35"/>
      <c r="F483" s="34">
        <f>SUMIFS(F484:F747,K484:K747,"0",B484:B747,"5 1 2 1 1 12*")</f>
        <v>215653.12</v>
      </c>
      <c r="G483" s="34">
        <f>SUMIFS(G484:G747,K484:K747,"0",B484:B747,"5 1 2 1 1 12*")</f>
        <v>0</v>
      </c>
      <c r="H483" s="34">
        <f t="shared" si="10"/>
        <v>215653.12</v>
      </c>
      <c r="I483" s="34"/>
      <c r="K483" t="s">
        <v>15</v>
      </c>
    </row>
    <row r="484" spans="2:11" ht="13" x14ac:dyDescent="0.15">
      <c r="B484" s="33" t="s">
        <v>680</v>
      </c>
      <c r="C484" s="33" t="s">
        <v>28</v>
      </c>
      <c r="D484" s="34">
        <f>SUMIFS(D485:D747,K485:K747,"0",B485:B747,"5 1 2 1 1 12 31111*")-SUMIFS(E485:E747,K485:K747,"0",B485:B747,"5 1 2 1 1 12 31111*")</f>
        <v>0</v>
      </c>
      <c r="E484" s="35"/>
      <c r="F484" s="34">
        <f>SUMIFS(F485:F747,K485:K747,"0",B485:B747,"5 1 2 1 1 12 31111*")</f>
        <v>215653.12</v>
      </c>
      <c r="G484" s="34">
        <f>SUMIFS(G485:G747,K485:K747,"0",B485:B747,"5 1 2 1 1 12 31111*")</f>
        <v>0</v>
      </c>
      <c r="H484" s="34">
        <f t="shared" si="10"/>
        <v>215653.12</v>
      </c>
      <c r="I484" s="34"/>
      <c r="K484" t="s">
        <v>15</v>
      </c>
    </row>
    <row r="485" spans="2:11" ht="13" x14ac:dyDescent="0.15">
      <c r="B485" s="33" t="s">
        <v>681</v>
      </c>
      <c r="C485" s="33" t="s">
        <v>30</v>
      </c>
      <c r="D485" s="34">
        <f>SUMIFS(D486:D747,K486:K747,"0",B486:B747,"5 1 2 1 1 12 31111 6*")-SUMIFS(E486:E747,K486:K747,"0",B486:B747,"5 1 2 1 1 12 31111 6*")</f>
        <v>0</v>
      </c>
      <c r="E485" s="35"/>
      <c r="F485" s="34">
        <f>SUMIFS(F486:F747,K486:K747,"0",B486:B747,"5 1 2 1 1 12 31111 6*")</f>
        <v>215653.12</v>
      </c>
      <c r="G485" s="34">
        <f>SUMIFS(G486:G747,K486:K747,"0",B486:B747,"5 1 2 1 1 12 31111 6*")</f>
        <v>0</v>
      </c>
      <c r="H485" s="34">
        <f t="shared" si="10"/>
        <v>215653.12</v>
      </c>
      <c r="I485" s="34"/>
      <c r="K485" t="s">
        <v>15</v>
      </c>
    </row>
    <row r="486" spans="2:11" ht="13" x14ac:dyDescent="0.15">
      <c r="B486" s="33" t="s">
        <v>682</v>
      </c>
      <c r="C486" s="33" t="s">
        <v>503</v>
      </c>
      <c r="D486" s="34">
        <f>SUMIFS(D487:D747,K487:K747,"0",B487:B747,"5 1 2 1 1 12 31111 6 M78*")-SUMIFS(E487:E747,K487:K747,"0",B487:B747,"5 1 2 1 1 12 31111 6 M78*")</f>
        <v>0</v>
      </c>
      <c r="E486" s="35"/>
      <c r="F486" s="34">
        <f>SUMIFS(F487:F747,K487:K747,"0",B487:B747,"5 1 2 1 1 12 31111 6 M78*")</f>
        <v>215653.12</v>
      </c>
      <c r="G486" s="34">
        <f>SUMIFS(G487:G747,K487:K747,"0",B487:B747,"5 1 2 1 1 12 31111 6 M78*")</f>
        <v>0</v>
      </c>
      <c r="H486" s="34">
        <f t="shared" si="10"/>
        <v>215653.12</v>
      </c>
      <c r="I486" s="34"/>
      <c r="K486" t="s">
        <v>15</v>
      </c>
    </row>
    <row r="487" spans="2:11" ht="13" x14ac:dyDescent="0.15">
      <c r="B487" s="33" t="s">
        <v>683</v>
      </c>
      <c r="C487" s="33" t="s">
        <v>163</v>
      </c>
      <c r="D487" s="34">
        <f>SUMIFS(D488:D747,K488:K747,"0",B488:B747,"5 1 2 1 1 12 31111 6 M78 15000*")-SUMIFS(E488:E747,K488:K747,"0",B488:B747,"5 1 2 1 1 12 31111 6 M78 15000*")</f>
        <v>0</v>
      </c>
      <c r="E487" s="35"/>
      <c r="F487" s="34">
        <f>SUMIFS(F488:F747,K488:K747,"0",B488:B747,"5 1 2 1 1 12 31111 6 M78 15000*")</f>
        <v>215653.12</v>
      </c>
      <c r="G487" s="34">
        <f>SUMIFS(G488:G747,K488:K747,"0",B488:B747,"5 1 2 1 1 12 31111 6 M78 15000*")</f>
        <v>0</v>
      </c>
      <c r="H487" s="34">
        <f t="shared" si="10"/>
        <v>215653.12</v>
      </c>
      <c r="I487" s="34"/>
      <c r="K487" t="s">
        <v>15</v>
      </c>
    </row>
    <row r="488" spans="2:11" ht="22" x14ac:dyDescent="0.15">
      <c r="B488" s="33" t="s">
        <v>684</v>
      </c>
      <c r="C488" s="33" t="s">
        <v>165</v>
      </c>
      <c r="D488" s="34">
        <f>SUMIFS(D489:D747,K489:K747,"0",B489:B747,"5 1 2 1 1 12 31111 6 M78 15000 171*")-SUMIFS(E489:E747,K489:K747,"0",B489:B747,"5 1 2 1 1 12 31111 6 M78 15000 171*")</f>
        <v>0</v>
      </c>
      <c r="E488" s="35"/>
      <c r="F488" s="34">
        <f>SUMIFS(F489:F747,K489:K747,"0",B489:B747,"5 1 2 1 1 12 31111 6 M78 15000 171*")</f>
        <v>215653.12</v>
      </c>
      <c r="G488" s="34">
        <f>SUMIFS(G489:G747,K489:K747,"0",B489:B747,"5 1 2 1 1 12 31111 6 M78 15000 171*")</f>
        <v>0</v>
      </c>
      <c r="H488" s="34">
        <f t="shared" si="10"/>
        <v>215653.12</v>
      </c>
      <c r="I488" s="34"/>
      <c r="K488" t="s">
        <v>15</v>
      </c>
    </row>
    <row r="489" spans="2:11" ht="22" x14ac:dyDescent="0.15">
      <c r="B489" s="33" t="s">
        <v>685</v>
      </c>
      <c r="C489" s="33" t="s">
        <v>167</v>
      </c>
      <c r="D489" s="34">
        <f>SUMIFS(D490:D747,K490:K747,"0",B490:B747,"5 1 2 1 1 12 31111 6 M78 15000 171 00I*")-SUMIFS(E490:E747,K490:K747,"0",B490:B747,"5 1 2 1 1 12 31111 6 M78 15000 171 00I*")</f>
        <v>0</v>
      </c>
      <c r="E489" s="35"/>
      <c r="F489" s="34">
        <f>SUMIFS(F490:F747,K490:K747,"0",B490:B747,"5 1 2 1 1 12 31111 6 M78 15000 171 00I*")</f>
        <v>215653.12</v>
      </c>
      <c r="G489" s="34">
        <f>SUMIFS(G490:G747,K490:K747,"0",B490:B747,"5 1 2 1 1 12 31111 6 M78 15000 171 00I*")</f>
        <v>0</v>
      </c>
      <c r="H489" s="34">
        <f t="shared" si="10"/>
        <v>215653.12</v>
      </c>
      <c r="I489" s="34"/>
      <c r="K489" t="s">
        <v>15</v>
      </c>
    </row>
    <row r="490" spans="2:11" ht="22" x14ac:dyDescent="0.15">
      <c r="B490" s="33" t="s">
        <v>686</v>
      </c>
      <c r="C490" s="33" t="s">
        <v>455</v>
      </c>
      <c r="D490" s="34">
        <f>SUMIFS(D491:D747,K491:K747,"0",B491:B747,"5 1 2 1 1 12 31111 6 M78 15000 171 00I 001*")-SUMIFS(E491:E747,K491:K747,"0",B491:B747,"5 1 2 1 1 12 31111 6 M78 15000 171 00I 001*")</f>
        <v>0</v>
      </c>
      <c r="E490" s="35"/>
      <c r="F490" s="34">
        <f>SUMIFS(F491:F747,K491:K747,"0",B491:B747,"5 1 2 1 1 12 31111 6 M78 15000 171 00I 001*")</f>
        <v>215653.12</v>
      </c>
      <c r="G490" s="34">
        <f>SUMIFS(G491:G747,K491:K747,"0",B491:B747,"5 1 2 1 1 12 31111 6 M78 15000 171 00I 001*")</f>
        <v>0</v>
      </c>
      <c r="H490" s="34">
        <f t="shared" si="10"/>
        <v>215653.12</v>
      </c>
      <c r="I490" s="34"/>
      <c r="K490" t="s">
        <v>15</v>
      </c>
    </row>
    <row r="491" spans="2:11" ht="22" x14ac:dyDescent="0.15">
      <c r="B491" s="33" t="s">
        <v>687</v>
      </c>
      <c r="C491" s="33" t="s">
        <v>688</v>
      </c>
      <c r="D491" s="34">
        <f>SUMIFS(D492:D747,K492:K747,"0",B492:B747,"5 1 2 1 1 12 31111 6 M78 15000 171 00I 001 21101*")-SUMIFS(E492:E747,K492:K747,"0",B492:B747,"5 1 2 1 1 12 31111 6 M78 15000 171 00I 001 21101*")</f>
        <v>0</v>
      </c>
      <c r="E491" s="35"/>
      <c r="F491" s="34">
        <f>SUMIFS(F492:F747,K492:K747,"0",B492:B747,"5 1 2 1 1 12 31111 6 M78 15000 171 00I 001 21101*")</f>
        <v>215653.12</v>
      </c>
      <c r="G491" s="34">
        <f>SUMIFS(G492:G747,K492:K747,"0",B492:B747,"5 1 2 1 1 12 31111 6 M78 15000 171 00I 001 21101*")</f>
        <v>0</v>
      </c>
      <c r="H491" s="34">
        <f t="shared" si="10"/>
        <v>215653.12</v>
      </c>
      <c r="I491" s="34"/>
      <c r="K491" t="s">
        <v>15</v>
      </c>
    </row>
    <row r="492" spans="2:11" ht="22" x14ac:dyDescent="0.15">
      <c r="B492" s="33" t="s">
        <v>689</v>
      </c>
      <c r="C492" s="33" t="s">
        <v>173</v>
      </c>
      <c r="D492" s="34">
        <f>SUMIFS(D493:D747,K493:K747,"0",B493:B747,"5 1 2 1 1 12 31111 6 M78 15000 171 00I 001 21101 025*")-SUMIFS(E493:E747,K493:K747,"0",B493:B747,"5 1 2 1 1 12 31111 6 M78 15000 171 00I 001 21101 025*")</f>
        <v>0</v>
      </c>
      <c r="E492" s="35"/>
      <c r="F492" s="34">
        <f>SUMIFS(F493:F747,K493:K747,"0",B493:B747,"5 1 2 1 1 12 31111 6 M78 15000 171 00I 001 21101 025*")</f>
        <v>215653.12</v>
      </c>
      <c r="G492" s="34">
        <f>SUMIFS(G493:G747,K493:K747,"0",B493:B747,"5 1 2 1 1 12 31111 6 M78 15000 171 00I 001 21101 025*")</f>
        <v>0</v>
      </c>
      <c r="H492" s="34">
        <f t="shared" si="10"/>
        <v>215653.12</v>
      </c>
      <c r="I492" s="34"/>
      <c r="K492" t="s">
        <v>15</v>
      </c>
    </row>
    <row r="493" spans="2:11" ht="22" x14ac:dyDescent="0.15">
      <c r="B493" s="33" t="s">
        <v>690</v>
      </c>
      <c r="C493" s="33" t="s">
        <v>175</v>
      </c>
      <c r="D493" s="34">
        <f>SUMIFS(D494:D747,K494:K747,"0",B494:B747,"5 1 2 1 1 12 31111 6 M78 15000 171 00I 001 21101 025 2112000*")-SUMIFS(E494:E747,K494:K747,"0",B494:B747,"5 1 2 1 1 12 31111 6 M78 15000 171 00I 001 21101 025 2112000*")</f>
        <v>0</v>
      </c>
      <c r="E493" s="35"/>
      <c r="F493" s="34">
        <f>SUMIFS(F494:F747,K494:K747,"0",B494:B747,"5 1 2 1 1 12 31111 6 M78 15000 171 00I 001 21101 025 2112000*")</f>
        <v>215653.12</v>
      </c>
      <c r="G493" s="34">
        <f>SUMIFS(G494:G747,K494:K747,"0",B494:B747,"5 1 2 1 1 12 31111 6 M78 15000 171 00I 001 21101 025 2112000*")</f>
        <v>0</v>
      </c>
      <c r="H493" s="34">
        <f t="shared" si="10"/>
        <v>215653.12</v>
      </c>
      <c r="I493" s="34"/>
      <c r="K493" t="s">
        <v>15</v>
      </c>
    </row>
    <row r="494" spans="2:11" ht="33" x14ac:dyDescent="0.15">
      <c r="B494" s="33" t="s">
        <v>691</v>
      </c>
      <c r="C494" s="33" t="s">
        <v>318</v>
      </c>
      <c r="D494" s="34">
        <f>SUMIFS(D495:D747,K495:K747,"0",B495:B747,"5 1 2 1 1 12 31111 6 M78 15000 171 00I 001 21101 025 2112000 2024*")-SUMIFS(E495:E747,K495:K747,"0",B495:B747,"5 1 2 1 1 12 31111 6 M78 15000 171 00I 001 21101 025 2112000 2024*")</f>
        <v>0</v>
      </c>
      <c r="E494" s="35"/>
      <c r="F494" s="34">
        <f>SUMIFS(F495:F747,K495:K747,"0",B495:B747,"5 1 2 1 1 12 31111 6 M78 15000 171 00I 001 21101 025 2112000 2024*")</f>
        <v>215653.12</v>
      </c>
      <c r="G494" s="34">
        <f>SUMIFS(G495:G747,K495:K747,"0",B495:B747,"5 1 2 1 1 12 31111 6 M78 15000 171 00I 001 21101 025 2112000 2024*")</f>
        <v>0</v>
      </c>
      <c r="H494" s="34">
        <f t="shared" si="10"/>
        <v>215653.12</v>
      </c>
      <c r="I494" s="34"/>
      <c r="K494" t="s">
        <v>15</v>
      </c>
    </row>
    <row r="495" spans="2:11" ht="33" x14ac:dyDescent="0.15">
      <c r="B495" s="33" t="s">
        <v>692</v>
      </c>
      <c r="C495" s="33" t="s">
        <v>179</v>
      </c>
      <c r="D495" s="34">
        <f>SUMIFS(D496:D747,K496:K747,"0",B496:B747,"5 1 2 1 1 12 31111 6 M78 15000 171 00I 001 21101 025 2112000 2024 00000000*")-SUMIFS(E496:E747,K496:K747,"0",B496:B747,"5 1 2 1 1 12 31111 6 M78 15000 171 00I 001 21101 025 2112000 2024 00000000*")</f>
        <v>0</v>
      </c>
      <c r="E495" s="35"/>
      <c r="F495" s="34">
        <f>SUMIFS(F496:F747,K496:K747,"0",B496:B747,"5 1 2 1 1 12 31111 6 M78 15000 171 00I 001 21101 025 2112000 2024 00000000*")</f>
        <v>215653.12</v>
      </c>
      <c r="G495" s="34">
        <f>SUMIFS(G496:G747,K496:K747,"0",B496:B747,"5 1 2 1 1 12 31111 6 M78 15000 171 00I 001 21101 025 2112000 2024 00000000*")</f>
        <v>0</v>
      </c>
      <c r="H495" s="34">
        <f t="shared" si="10"/>
        <v>215653.12</v>
      </c>
      <c r="I495" s="34"/>
      <c r="K495" t="s">
        <v>15</v>
      </c>
    </row>
    <row r="496" spans="2:11" ht="33" x14ac:dyDescent="0.15">
      <c r="B496" s="33" t="s">
        <v>693</v>
      </c>
      <c r="C496" s="33" t="s">
        <v>9</v>
      </c>
      <c r="D496" s="34">
        <f>SUMIFS(D497:D747,K497:K747,"0",B497:B747,"5 1 2 1 1 12 31111 6 M78 15000 171 00I 001 21101 025 2112000 2024 00000000 003*")-SUMIFS(E497:E747,K497:K747,"0",B497:B747,"5 1 2 1 1 12 31111 6 M78 15000 171 00I 001 21101 025 2112000 2024 00000000 003*")</f>
        <v>0</v>
      </c>
      <c r="E496" s="35"/>
      <c r="F496" s="34">
        <f>SUMIFS(F497:F747,K497:K747,"0",B497:B747,"5 1 2 1 1 12 31111 6 M78 15000 171 00I 001 21101 025 2112000 2024 00000000 003*")</f>
        <v>215653.12</v>
      </c>
      <c r="G496" s="34">
        <f>SUMIFS(G497:G747,K497:K747,"0",B497:B747,"5 1 2 1 1 12 31111 6 M78 15000 171 00I 001 21101 025 2112000 2024 00000000 003*")</f>
        <v>0</v>
      </c>
      <c r="H496" s="34">
        <f t="shared" si="10"/>
        <v>215653.12</v>
      </c>
      <c r="I496" s="34"/>
      <c r="K496" t="s">
        <v>15</v>
      </c>
    </row>
    <row r="497" spans="2:11" ht="33" x14ac:dyDescent="0.15">
      <c r="B497" s="36" t="s">
        <v>694</v>
      </c>
      <c r="C497" s="36" t="s">
        <v>695</v>
      </c>
      <c r="D497" s="37">
        <v>0</v>
      </c>
      <c r="E497" s="37"/>
      <c r="F497" s="37">
        <v>215653.12</v>
      </c>
      <c r="G497" s="37">
        <v>0</v>
      </c>
      <c r="H497" s="37">
        <f t="shared" si="10"/>
        <v>215653.12</v>
      </c>
      <c r="I497" s="37"/>
      <c r="K497" t="s">
        <v>39</v>
      </c>
    </row>
    <row r="498" spans="2:11" ht="13" x14ac:dyDescent="0.15">
      <c r="B498" s="33" t="s">
        <v>696</v>
      </c>
      <c r="C498" s="33" t="s">
        <v>697</v>
      </c>
      <c r="D498" s="34">
        <f>SUMIFS(D499:D747,K499:K747,"0",B499:B747,"5 1 2 1 2*")-SUMIFS(E499:E747,K499:K747,"0",B499:B747,"5 1 2 1 2*")</f>
        <v>0</v>
      </c>
      <c r="E498" s="35"/>
      <c r="F498" s="34">
        <f>SUMIFS(F499:F747,K499:K747,"0",B499:B747,"5 1 2 1 2*")</f>
        <v>192125.8</v>
      </c>
      <c r="G498" s="34">
        <f>SUMIFS(G499:G747,K499:K747,"0",B499:B747,"5 1 2 1 2*")</f>
        <v>0</v>
      </c>
      <c r="H498" s="34">
        <f t="shared" si="10"/>
        <v>192125.8</v>
      </c>
      <c r="I498" s="34"/>
      <c r="K498" t="s">
        <v>15</v>
      </c>
    </row>
    <row r="499" spans="2:11" ht="13" x14ac:dyDescent="0.15">
      <c r="B499" s="33" t="s">
        <v>698</v>
      </c>
      <c r="C499" s="33" t="s">
        <v>26</v>
      </c>
      <c r="D499" s="34">
        <f>SUMIFS(D500:D747,K500:K747,"0",B500:B747,"5 1 2 1 2 12*")-SUMIFS(E500:E747,K500:K747,"0",B500:B747,"5 1 2 1 2 12*")</f>
        <v>0</v>
      </c>
      <c r="E499" s="35"/>
      <c r="F499" s="34">
        <f>SUMIFS(F500:F747,K500:K747,"0",B500:B747,"5 1 2 1 2 12*")</f>
        <v>192125.8</v>
      </c>
      <c r="G499" s="34">
        <f>SUMIFS(G500:G747,K500:K747,"0",B500:B747,"5 1 2 1 2 12*")</f>
        <v>0</v>
      </c>
      <c r="H499" s="34">
        <f t="shared" si="10"/>
        <v>192125.8</v>
      </c>
      <c r="I499" s="34"/>
      <c r="K499" t="s">
        <v>15</v>
      </c>
    </row>
    <row r="500" spans="2:11" ht="13" x14ac:dyDescent="0.15">
      <c r="B500" s="33" t="s">
        <v>699</v>
      </c>
      <c r="C500" s="33" t="s">
        <v>28</v>
      </c>
      <c r="D500" s="34">
        <f>SUMIFS(D501:D747,K501:K747,"0",B501:B747,"5 1 2 1 2 12 31111*")-SUMIFS(E501:E747,K501:K747,"0",B501:B747,"5 1 2 1 2 12 31111*")</f>
        <v>0</v>
      </c>
      <c r="E500" s="35"/>
      <c r="F500" s="34">
        <f>SUMIFS(F501:F747,K501:K747,"0",B501:B747,"5 1 2 1 2 12 31111*")</f>
        <v>192125.8</v>
      </c>
      <c r="G500" s="34">
        <f>SUMIFS(G501:G747,K501:K747,"0",B501:B747,"5 1 2 1 2 12 31111*")</f>
        <v>0</v>
      </c>
      <c r="H500" s="34">
        <f t="shared" si="10"/>
        <v>192125.8</v>
      </c>
      <c r="I500" s="34"/>
      <c r="K500" t="s">
        <v>15</v>
      </c>
    </row>
    <row r="501" spans="2:11" ht="13" x14ac:dyDescent="0.15">
      <c r="B501" s="33" t="s">
        <v>700</v>
      </c>
      <c r="C501" s="33" t="s">
        <v>30</v>
      </c>
      <c r="D501" s="34">
        <f>SUMIFS(D502:D747,K502:K747,"0",B502:B747,"5 1 2 1 2 12 31111 6*")-SUMIFS(E502:E747,K502:K747,"0",B502:B747,"5 1 2 1 2 12 31111 6*")</f>
        <v>0</v>
      </c>
      <c r="E501" s="35"/>
      <c r="F501" s="34">
        <f>SUMIFS(F502:F747,K502:K747,"0",B502:B747,"5 1 2 1 2 12 31111 6*")</f>
        <v>192125.8</v>
      </c>
      <c r="G501" s="34">
        <f>SUMIFS(G502:G747,K502:K747,"0",B502:B747,"5 1 2 1 2 12 31111 6*")</f>
        <v>0</v>
      </c>
      <c r="H501" s="34">
        <f t="shared" si="10"/>
        <v>192125.8</v>
      </c>
      <c r="I501" s="34"/>
      <c r="K501" t="s">
        <v>15</v>
      </c>
    </row>
    <row r="502" spans="2:11" ht="13" x14ac:dyDescent="0.15">
      <c r="B502" s="33" t="s">
        <v>701</v>
      </c>
      <c r="C502" s="33" t="s">
        <v>503</v>
      </c>
      <c r="D502" s="34">
        <f>SUMIFS(D503:D747,K503:K747,"0",B503:B747,"5 1 2 1 2 12 31111 6 M78*")-SUMIFS(E503:E747,K503:K747,"0",B503:B747,"5 1 2 1 2 12 31111 6 M78*")</f>
        <v>0</v>
      </c>
      <c r="E502" s="35"/>
      <c r="F502" s="34">
        <f>SUMIFS(F503:F747,K503:K747,"0",B503:B747,"5 1 2 1 2 12 31111 6 M78*")</f>
        <v>192125.8</v>
      </c>
      <c r="G502" s="34">
        <f>SUMIFS(G503:G747,K503:K747,"0",B503:B747,"5 1 2 1 2 12 31111 6 M78*")</f>
        <v>0</v>
      </c>
      <c r="H502" s="34">
        <f t="shared" si="10"/>
        <v>192125.8</v>
      </c>
      <c r="I502" s="34"/>
      <c r="K502" t="s">
        <v>15</v>
      </c>
    </row>
    <row r="503" spans="2:11" ht="13" x14ac:dyDescent="0.15">
      <c r="B503" s="33" t="s">
        <v>702</v>
      </c>
      <c r="C503" s="33" t="s">
        <v>163</v>
      </c>
      <c r="D503" s="34">
        <f>SUMIFS(D504:D747,K504:K747,"0",B504:B747,"5 1 2 1 2 12 31111 6 M78 15000*")-SUMIFS(E504:E747,K504:K747,"0",B504:B747,"5 1 2 1 2 12 31111 6 M78 15000*")</f>
        <v>0</v>
      </c>
      <c r="E503" s="35"/>
      <c r="F503" s="34">
        <f>SUMIFS(F504:F747,K504:K747,"0",B504:B747,"5 1 2 1 2 12 31111 6 M78 15000*")</f>
        <v>192125.8</v>
      </c>
      <c r="G503" s="34">
        <f>SUMIFS(G504:G747,K504:K747,"0",B504:B747,"5 1 2 1 2 12 31111 6 M78 15000*")</f>
        <v>0</v>
      </c>
      <c r="H503" s="34">
        <f t="shared" si="10"/>
        <v>192125.8</v>
      </c>
      <c r="I503" s="34"/>
      <c r="K503" t="s">
        <v>15</v>
      </c>
    </row>
    <row r="504" spans="2:11" ht="22" x14ac:dyDescent="0.15">
      <c r="B504" s="33" t="s">
        <v>703</v>
      </c>
      <c r="C504" s="33" t="s">
        <v>165</v>
      </c>
      <c r="D504" s="34">
        <f>SUMIFS(D505:D747,K505:K747,"0",B505:B747,"5 1 2 1 2 12 31111 6 M78 15000 171*")-SUMIFS(E505:E747,K505:K747,"0",B505:B747,"5 1 2 1 2 12 31111 6 M78 15000 171*")</f>
        <v>0</v>
      </c>
      <c r="E504" s="35"/>
      <c r="F504" s="34">
        <f>SUMIFS(F505:F747,K505:K747,"0",B505:B747,"5 1 2 1 2 12 31111 6 M78 15000 171*")</f>
        <v>192125.8</v>
      </c>
      <c r="G504" s="34">
        <f>SUMIFS(G505:G747,K505:K747,"0",B505:B747,"5 1 2 1 2 12 31111 6 M78 15000 171*")</f>
        <v>0</v>
      </c>
      <c r="H504" s="34">
        <f t="shared" si="10"/>
        <v>192125.8</v>
      </c>
      <c r="I504" s="34"/>
      <c r="K504" t="s">
        <v>15</v>
      </c>
    </row>
    <row r="505" spans="2:11" ht="22" x14ac:dyDescent="0.15">
      <c r="B505" s="33" t="s">
        <v>704</v>
      </c>
      <c r="C505" s="33" t="s">
        <v>167</v>
      </c>
      <c r="D505" s="34">
        <f>SUMIFS(D506:D747,K506:K747,"0",B506:B747,"5 1 2 1 2 12 31111 6 M78 15000 171 00I*")-SUMIFS(E506:E747,K506:K747,"0",B506:B747,"5 1 2 1 2 12 31111 6 M78 15000 171 00I*")</f>
        <v>0</v>
      </c>
      <c r="E505" s="35"/>
      <c r="F505" s="34">
        <f>SUMIFS(F506:F747,K506:K747,"0",B506:B747,"5 1 2 1 2 12 31111 6 M78 15000 171 00I*")</f>
        <v>192125.8</v>
      </c>
      <c r="G505" s="34">
        <f>SUMIFS(G506:G747,K506:K747,"0",B506:B747,"5 1 2 1 2 12 31111 6 M78 15000 171 00I*")</f>
        <v>0</v>
      </c>
      <c r="H505" s="34">
        <f t="shared" si="10"/>
        <v>192125.8</v>
      </c>
      <c r="I505" s="34"/>
      <c r="K505" t="s">
        <v>15</v>
      </c>
    </row>
    <row r="506" spans="2:11" ht="22" x14ac:dyDescent="0.15">
      <c r="B506" s="33" t="s">
        <v>705</v>
      </c>
      <c r="C506" s="33" t="s">
        <v>455</v>
      </c>
      <c r="D506" s="34">
        <f>SUMIFS(D507:D747,K507:K747,"0",B507:B747,"5 1 2 1 2 12 31111 6 M78 15000 171 00I 001*")-SUMIFS(E507:E747,K507:K747,"0",B507:B747,"5 1 2 1 2 12 31111 6 M78 15000 171 00I 001*")</f>
        <v>0</v>
      </c>
      <c r="E506" s="35"/>
      <c r="F506" s="34">
        <f>SUMIFS(F507:F747,K507:K747,"0",B507:B747,"5 1 2 1 2 12 31111 6 M78 15000 171 00I 001*")</f>
        <v>192125.8</v>
      </c>
      <c r="G506" s="34">
        <f>SUMIFS(G507:G747,K507:K747,"0",B507:B747,"5 1 2 1 2 12 31111 6 M78 15000 171 00I 001*")</f>
        <v>0</v>
      </c>
      <c r="H506" s="34">
        <f t="shared" si="10"/>
        <v>192125.8</v>
      </c>
      <c r="I506" s="34"/>
      <c r="K506" t="s">
        <v>15</v>
      </c>
    </row>
    <row r="507" spans="2:11" ht="22" x14ac:dyDescent="0.15">
      <c r="B507" s="33" t="s">
        <v>706</v>
      </c>
      <c r="C507" s="33" t="s">
        <v>707</v>
      </c>
      <c r="D507" s="34">
        <f>SUMIFS(D508:D747,K508:K747,"0",B508:B747,"5 1 2 1 2 12 31111 6 M78 15000 171 00I 001 21201*")-SUMIFS(E508:E747,K508:K747,"0",B508:B747,"5 1 2 1 2 12 31111 6 M78 15000 171 00I 001 21201*")</f>
        <v>0</v>
      </c>
      <c r="E507" s="35"/>
      <c r="F507" s="34">
        <f>SUMIFS(F508:F747,K508:K747,"0",B508:B747,"5 1 2 1 2 12 31111 6 M78 15000 171 00I 001 21201*")</f>
        <v>192125.8</v>
      </c>
      <c r="G507" s="34">
        <f>SUMIFS(G508:G747,K508:K747,"0",B508:B747,"5 1 2 1 2 12 31111 6 M78 15000 171 00I 001 21201*")</f>
        <v>0</v>
      </c>
      <c r="H507" s="34">
        <f t="shared" si="10"/>
        <v>192125.8</v>
      </c>
      <c r="I507" s="34"/>
      <c r="K507" t="s">
        <v>15</v>
      </c>
    </row>
    <row r="508" spans="2:11" ht="22" x14ac:dyDescent="0.15">
      <c r="B508" s="33" t="s">
        <v>708</v>
      </c>
      <c r="C508" s="33" t="s">
        <v>173</v>
      </c>
      <c r="D508" s="34">
        <f>SUMIFS(D509:D747,K509:K747,"0",B509:B747,"5 1 2 1 2 12 31111 6 M78 15000 171 00I 001 21201 025*")-SUMIFS(E509:E747,K509:K747,"0",B509:B747,"5 1 2 1 2 12 31111 6 M78 15000 171 00I 001 21201 025*")</f>
        <v>0</v>
      </c>
      <c r="E508" s="35"/>
      <c r="F508" s="34">
        <f>SUMIFS(F509:F747,K509:K747,"0",B509:B747,"5 1 2 1 2 12 31111 6 M78 15000 171 00I 001 21201 025*")</f>
        <v>192125.8</v>
      </c>
      <c r="G508" s="34">
        <f>SUMIFS(G509:G747,K509:K747,"0",B509:B747,"5 1 2 1 2 12 31111 6 M78 15000 171 00I 001 21201 025*")</f>
        <v>0</v>
      </c>
      <c r="H508" s="34">
        <f t="shared" si="10"/>
        <v>192125.8</v>
      </c>
      <c r="I508" s="34"/>
      <c r="K508" t="s">
        <v>15</v>
      </c>
    </row>
    <row r="509" spans="2:11" ht="22" x14ac:dyDescent="0.15">
      <c r="B509" s="33" t="s">
        <v>709</v>
      </c>
      <c r="C509" s="33" t="s">
        <v>175</v>
      </c>
      <c r="D509" s="34">
        <f>SUMIFS(D510:D747,K510:K747,"0",B510:B747,"5 1 2 1 2 12 31111 6 M78 15000 171 00I 001 21201 025 2112000*")-SUMIFS(E510:E747,K510:K747,"0",B510:B747,"5 1 2 1 2 12 31111 6 M78 15000 171 00I 001 21201 025 2112000*")</f>
        <v>0</v>
      </c>
      <c r="E509" s="35"/>
      <c r="F509" s="34">
        <f>SUMIFS(F510:F747,K510:K747,"0",B510:B747,"5 1 2 1 2 12 31111 6 M78 15000 171 00I 001 21201 025 2112000*")</f>
        <v>192125.8</v>
      </c>
      <c r="G509" s="34">
        <f>SUMIFS(G510:G747,K510:K747,"0",B510:B747,"5 1 2 1 2 12 31111 6 M78 15000 171 00I 001 21201 025 2112000*")</f>
        <v>0</v>
      </c>
      <c r="H509" s="34">
        <f t="shared" si="10"/>
        <v>192125.8</v>
      </c>
      <c r="I509" s="34"/>
      <c r="K509" t="s">
        <v>15</v>
      </c>
    </row>
    <row r="510" spans="2:11" ht="33" x14ac:dyDescent="0.15">
      <c r="B510" s="33" t="s">
        <v>710</v>
      </c>
      <c r="C510" s="33" t="s">
        <v>318</v>
      </c>
      <c r="D510" s="34">
        <f>SUMIFS(D511:D747,K511:K747,"0",B511:B747,"5 1 2 1 2 12 31111 6 M78 15000 171 00I 001 21201 025 2112000 2024*")-SUMIFS(E511:E747,K511:K747,"0",B511:B747,"5 1 2 1 2 12 31111 6 M78 15000 171 00I 001 21201 025 2112000 2024*")</f>
        <v>0</v>
      </c>
      <c r="E510" s="35"/>
      <c r="F510" s="34">
        <f>SUMIFS(F511:F747,K511:K747,"0",B511:B747,"5 1 2 1 2 12 31111 6 M78 15000 171 00I 001 21201 025 2112000 2024*")</f>
        <v>192125.8</v>
      </c>
      <c r="G510" s="34">
        <f>SUMIFS(G511:G747,K511:K747,"0",B511:B747,"5 1 2 1 2 12 31111 6 M78 15000 171 00I 001 21201 025 2112000 2024*")</f>
        <v>0</v>
      </c>
      <c r="H510" s="34">
        <f t="shared" si="10"/>
        <v>192125.8</v>
      </c>
      <c r="I510" s="34"/>
      <c r="K510" t="s">
        <v>15</v>
      </c>
    </row>
    <row r="511" spans="2:11" ht="33" x14ac:dyDescent="0.15">
      <c r="B511" s="33" t="s">
        <v>711</v>
      </c>
      <c r="C511" s="33" t="s">
        <v>179</v>
      </c>
      <c r="D511" s="34">
        <f>SUMIFS(D512:D747,K512:K747,"0",B512:B747,"5 1 2 1 2 12 31111 6 M78 15000 171 00I 001 21201 025 2112000 2024 00000000*")-SUMIFS(E512:E747,K512:K747,"0",B512:B747,"5 1 2 1 2 12 31111 6 M78 15000 171 00I 001 21201 025 2112000 2024 00000000*")</f>
        <v>0</v>
      </c>
      <c r="E511" s="35"/>
      <c r="F511" s="34">
        <f>SUMIFS(F512:F747,K512:K747,"0",B512:B747,"5 1 2 1 2 12 31111 6 M78 15000 171 00I 001 21201 025 2112000 2024 00000000*")</f>
        <v>192125.8</v>
      </c>
      <c r="G511" s="34">
        <f>SUMIFS(G512:G747,K512:K747,"0",B512:B747,"5 1 2 1 2 12 31111 6 M78 15000 171 00I 001 21201 025 2112000 2024 00000000*")</f>
        <v>0</v>
      </c>
      <c r="H511" s="34">
        <f t="shared" si="10"/>
        <v>192125.8</v>
      </c>
      <c r="I511" s="34"/>
      <c r="K511" t="s">
        <v>15</v>
      </c>
    </row>
    <row r="512" spans="2:11" ht="33" x14ac:dyDescent="0.15">
      <c r="B512" s="33" t="s">
        <v>712</v>
      </c>
      <c r="C512" s="33" t="s">
        <v>9</v>
      </c>
      <c r="D512" s="34">
        <f>SUMIFS(D513:D747,K513:K747,"0",B513:B747,"5 1 2 1 2 12 31111 6 M78 15000 171 00I 001 21201 025 2112000 2024 00000000 003*")-SUMIFS(E513:E747,K513:K747,"0",B513:B747,"5 1 2 1 2 12 31111 6 M78 15000 171 00I 001 21201 025 2112000 2024 00000000 003*")</f>
        <v>0</v>
      </c>
      <c r="E512" s="35"/>
      <c r="F512" s="34">
        <f>SUMIFS(F513:F747,K513:K747,"0",B513:B747,"5 1 2 1 2 12 31111 6 M78 15000 171 00I 001 21201 025 2112000 2024 00000000 003*")</f>
        <v>192125.8</v>
      </c>
      <c r="G512" s="34">
        <f>SUMIFS(G513:G747,K513:K747,"0",B513:B747,"5 1 2 1 2 12 31111 6 M78 15000 171 00I 001 21201 025 2112000 2024 00000000 003*")</f>
        <v>0</v>
      </c>
      <c r="H512" s="34">
        <f t="shared" si="10"/>
        <v>192125.8</v>
      </c>
      <c r="I512" s="34"/>
      <c r="K512" t="s">
        <v>15</v>
      </c>
    </row>
    <row r="513" spans="2:11" ht="33" x14ac:dyDescent="0.15">
      <c r="B513" s="36" t="s">
        <v>713</v>
      </c>
      <c r="C513" s="36" t="s">
        <v>714</v>
      </c>
      <c r="D513" s="37">
        <v>0</v>
      </c>
      <c r="E513" s="37"/>
      <c r="F513" s="37">
        <v>192125.8</v>
      </c>
      <c r="G513" s="37">
        <v>0</v>
      </c>
      <c r="H513" s="37">
        <f t="shared" si="10"/>
        <v>192125.8</v>
      </c>
      <c r="I513" s="37"/>
      <c r="K513" t="s">
        <v>39</v>
      </c>
    </row>
    <row r="514" spans="2:11" ht="22" x14ac:dyDescent="0.15">
      <c r="B514" s="33" t="s">
        <v>715</v>
      </c>
      <c r="C514" s="33" t="s">
        <v>716</v>
      </c>
      <c r="D514" s="34">
        <f>SUMIFS(D515:D747,K515:K747,"0",B515:B747,"5 1 2 1 4*")-SUMIFS(E515:E747,K515:K747,"0",B515:B747,"5 1 2 1 4*")</f>
        <v>0</v>
      </c>
      <c r="E514" s="35"/>
      <c r="F514" s="34">
        <f>SUMIFS(F515:F747,K515:K747,"0",B515:B747,"5 1 2 1 4*")</f>
        <v>60134.400000000001</v>
      </c>
      <c r="G514" s="34">
        <f>SUMIFS(G515:G747,K515:K747,"0",B515:B747,"5 1 2 1 4*")</f>
        <v>0</v>
      </c>
      <c r="H514" s="34">
        <f t="shared" si="10"/>
        <v>60134.400000000001</v>
      </c>
      <c r="I514" s="34"/>
      <c r="K514" t="s">
        <v>15</v>
      </c>
    </row>
    <row r="515" spans="2:11" ht="13" x14ac:dyDescent="0.15">
      <c r="B515" s="33" t="s">
        <v>717</v>
      </c>
      <c r="C515" s="33" t="s">
        <v>26</v>
      </c>
      <c r="D515" s="34">
        <f>SUMIFS(D516:D747,K516:K747,"0",B516:B747,"5 1 2 1 4 12*")-SUMIFS(E516:E747,K516:K747,"0",B516:B747,"5 1 2 1 4 12*")</f>
        <v>0</v>
      </c>
      <c r="E515" s="35"/>
      <c r="F515" s="34">
        <f>SUMIFS(F516:F747,K516:K747,"0",B516:B747,"5 1 2 1 4 12*")</f>
        <v>60134.400000000001</v>
      </c>
      <c r="G515" s="34">
        <f>SUMIFS(G516:G747,K516:K747,"0",B516:B747,"5 1 2 1 4 12*")</f>
        <v>0</v>
      </c>
      <c r="H515" s="34">
        <f t="shared" si="10"/>
        <v>60134.400000000001</v>
      </c>
      <c r="I515" s="34"/>
      <c r="K515" t="s">
        <v>15</v>
      </c>
    </row>
    <row r="516" spans="2:11" ht="13" x14ac:dyDescent="0.15">
      <c r="B516" s="33" t="s">
        <v>718</v>
      </c>
      <c r="C516" s="33" t="s">
        <v>28</v>
      </c>
      <c r="D516" s="34">
        <f>SUMIFS(D517:D747,K517:K747,"0",B517:B747,"5 1 2 1 4 12 31111*")-SUMIFS(E517:E747,K517:K747,"0",B517:B747,"5 1 2 1 4 12 31111*")</f>
        <v>0</v>
      </c>
      <c r="E516" s="35"/>
      <c r="F516" s="34">
        <f>SUMIFS(F517:F747,K517:K747,"0",B517:B747,"5 1 2 1 4 12 31111*")</f>
        <v>60134.400000000001</v>
      </c>
      <c r="G516" s="34">
        <f>SUMIFS(G517:G747,K517:K747,"0",B517:B747,"5 1 2 1 4 12 31111*")</f>
        <v>0</v>
      </c>
      <c r="H516" s="34">
        <f t="shared" si="10"/>
        <v>60134.400000000001</v>
      </c>
      <c r="I516" s="34"/>
      <c r="K516" t="s">
        <v>15</v>
      </c>
    </row>
    <row r="517" spans="2:11" ht="13" x14ac:dyDescent="0.15">
      <c r="B517" s="33" t="s">
        <v>719</v>
      </c>
      <c r="C517" s="33" t="s">
        <v>30</v>
      </c>
      <c r="D517" s="34">
        <f>SUMIFS(D518:D747,K518:K747,"0",B518:B747,"5 1 2 1 4 12 31111 6*")-SUMIFS(E518:E747,K518:K747,"0",B518:B747,"5 1 2 1 4 12 31111 6*")</f>
        <v>0</v>
      </c>
      <c r="E517" s="35"/>
      <c r="F517" s="34">
        <f>SUMIFS(F518:F747,K518:K747,"0",B518:B747,"5 1 2 1 4 12 31111 6*")</f>
        <v>60134.400000000001</v>
      </c>
      <c r="G517" s="34">
        <f>SUMIFS(G518:G747,K518:K747,"0",B518:B747,"5 1 2 1 4 12 31111 6*")</f>
        <v>0</v>
      </c>
      <c r="H517" s="34">
        <f t="shared" si="10"/>
        <v>60134.400000000001</v>
      </c>
      <c r="I517" s="34"/>
      <c r="K517" t="s">
        <v>15</v>
      </c>
    </row>
    <row r="518" spans="2:11" ht="13" x14ac:dyDescent="0.15">
      <c r="B518" s="33" t="s">
        <v>720</v>
      </c>
      <c r="C518" s="33" t="s">
        <v>503</v>
      </c>
      <c r="D518" s="34">
        <f>SUMIFS(D519:D747,K519:K747,"0",B519:B747,"5 1 2 1 4 12 31111 6 M78*")-SUMIFS(E519:E747,K519:K747,"0",B519:B747,"5 1 2 1 4 12 31111 6 M78*")</f>
        <v>0</v>
      </c>
      <c r="E518" s="35"/>
      <c r="F518" s="34">
        <f>SUMIFS(F519:F747,K519:K747,"0",B519:B747,"5 1 2 1 4 12 31111 6 M78*")</f>
        <v>60134.400000000001</v>
      </c>
      <c r="G518" s="34">
        <f>SUMIFS(G519:G747,K519:K747,"0",B519:B747,"5 1 2 1 4 12 31111 6 M78*")</f>
        <v>0</v>
      </c>
      <c r="H518" s="34">
        <f t="shared" si="10"/>
        <v>60134.400000000001</v>
      </c>
      <c r="I518" s="34"/>
      <c r="K518" t="s">
        <v>15</v>
      </c>
    </row>
    <row r="519" spans="2:11" ht="13" x14ac:dyDescent="0.15">
      <c r="B519" s="33" t="s">
        <v>721</v>
      </c>
      <c r="C519" s="33" t="s">
        <v>163</v>
      </c>
      <c r="D519" s="34">
        <f>SUMIFS(D520:D747,K520:K747,"0",B520:B747,"5 1 2 1 4 12 31111 6 M78 15000*")-SUMIFS(E520:E747,K520:K747,"0",B520:B747,"5 1 2 1 4 12 31111 6 M78 15000*")</f>
        <v>0</v>
      </c>
      <c r="E519" s="35"/>
      <c r="F519" s="34">
        <f>SUMIFS(F520:F747,K520:K747,"0",B520:B747,"5 1 2 1 4 12 31111 6 M78 15000*")</f>
        <v>60134.400000000001</v>
      </c>
      <c r="G519" s="34">
        <f>SUMIFS(G520:G747,K520:K747,"0",B520:B747,"5 1 2 1 4 12 31111 6 M78 15000*")</f>
        <v>0</v>
      </c>
      <c r="H519" s="34">
        <f t="shared" si="10"/>
        <v>60134.400000000001</v>
      </c>
      <c r="I519" s="34"/>
      <c r="K519" t="s">
        <v>15</v>
      </c>
    </row>
    <row r="520" spans="2:11" ht="22" x14ac:dyDescent="0.15">
      <c r="B520" s="33" t="s">
        <v>722</v>
      </c>
      <c r="C520" s="33" t="s">
        <v>165</v>
      </c>
      <c r="D520" s="34">
        <f>SUMIFS(D521:D747,K521:K747,"0",B521:B747,"5 1 2 1 4 12 31111 6 M78 15000 171*")-SUMIFS(E521:E747,K521:K747,"0",B521:B747,"5 1 2 1 4 12 31111 6 M78 15000 171*")</f>
        <v>0</v>
      </c>
      <c r="E520" s="35"/>
      <c r="F520" s="34">
        <f>SUMIFS(F521:F747,K521:K747,"0",B521:B747,"5 1 2 1 4 12 31111 6 M78 15000 171*")</f>
        <v>60134.400000000001</v>
      </c>
      <c r="G520" s="34">
        <f>SUMIFS(G521:G747,K521:K747,"0",B521:B747,"5 1 2 1 4 12 31111 6 M78 15000 171*")</f>
        <v>0</v>
      </c>
      <c r="H520" s="34">
        <f t="shared" ref="H520:H583" si="11">D520 + F520 - G520</f>
        <v>60134.400000000001</v>
      </c>
      <c r="I520" s="34"/>
      <c r="K520" t="s">
        <v>15</v>
      </c>
    </row>
    <row r="521" spans="2:11" ht="22" x14ac:dyDescent="0.15">
      <c r="B521" s="33" t="s">
        <v>723</v>
      </c>
      <c r="C521" s="33" t="s">
        <v>167</v>
      </c>
      <c r="D521" s="34">
        <f>SUMIFS(D522:D747,K522:K747,"0",B522:B747,"5 1 2 1 4 12 31111 6 M78 15000 171 00I*")-SUMIFS(E522:E747,K522:K747,"0",B522:B747,"5 1 2 1 4 12 31111 6 M78 15000 171 00I*")</f>
        <v>0</v>
      </c>
      <c r="E521" s="35"/>
      <c r="F521" s="34">
        <f>SUMIFS(F522:F747,K522:K747,"0",B522:B747,"5 1 2 1 4 12 31111 6 M78 15000 171 00I*")</f>
        <v>60134.400000000001</v>
      </c>
      <c r="G521" s="34">
        <f>SUMIFS(G522:G747,K522:K747,"0",B522:B747,"5 1 2 1 4 12 31111 6 M78 15000 171 00I*")</f>
        <v>0</v>
      </c>
      <c r="H521" s="34">
        <f t="shared" si="11"/>
        <v>60134.400000000001</v>
      </c>
      <c r="I521" s="34"/>
      <c r="K521" t="s">
        <v>15</v>
      </c>
    </row>
    <row r="522" spans="2:11" ht="22" x14ac:dyDescent="0.15">
      <c r="B522" s="33" t="s">
        <v>724</v>
      </c>
      <c r="C522" s="33" t="s">
        <v>455</v>
      </c>
      <c r="D522" s="34">
        <f>SUMIFS(D523:D747,K523:K747,"0",B523:B747,"5 1 2 1 4 12 31111 6 M78 15000 171 00I 001*")-SUMIFS(E523:E747,K523:K747,"0",B523:B747,"5 1 2 1 4 12 31111 6 M78 15000 171 00I 001*")</f>
        <v>0</v>
      </c>
      <c r="E522" s="35"/>
      <c r="F522" s="34">
        <f>SUMIFS(F523:F747,K523:K747,"0",B523:B747,"5 1 2 1 4 12 31111 6 M78 15000 171 00I 001*")</f>
        <v>60134.400000000001</v>
      </c>
      <c r="G522" s="34">
        <f>SUMIFS(G523:G747,K523:K747,"0",B523:B747,"5 1 2 1 4 12 31111 6 M78 15000 171 00I 001*")</f>
        <v>0</v>
      </c>
      <c r="H522" s="34">
        <f t="shared" si="11"/>
        <v>60134.400000000001</v>
      </c>
      <c r="I522" s="34"/>
      <c r="K522" t="s">
        <v>15</v>
      </c>
    </row>
    <row r="523" spans="2:11" ht="22" x14ac:dyDescent="0.15">
      <c r="B523" s="33" t="s">
        <v>725</v>
      </c>
      <c r="C523" s="33" t="s">
        <v>726</v>
      </c>
      <c r="D523" s="34">
        <f>SUMIFS(D524:D747,K524:K747,"0",B524:B747,"5 1 2 1 4 12 31111 6 M78 15000 171 00I 001 21401*")-SUMIFS(E524:E747,K524:K747,"0",B524:B747,"5 1 2 1 4 12 31111 6 M78 15000 171 00I 001 21401*")</f>
        <v>0</v>
      </c>
      <c r="E523" s="35"/>
      <c r="F523" s="34">
        <f>SUMIFS(F524:F747,K524:K747,"0",B524:B747,"5 1 2 1 4 12 31111 6 M78 15000 171 00I 001 21401*")</f>
        <v>60134.400000000001</v>
      </c>
      <c r="G523" s="34">
        <f>SUMIFS(G524:G747,K524:K747,"0",B524:B747,"5 1 2 1 4 12 31111 6 M78 15000 171 00I 001 21401*")</f>
        <v>0</v>
      </c>
      <c r="H523" s="34">
        <f t="shared" si="11"/>
        <v>60134.400000000001</v>
      </c>
      <c r="I523" s="34"/>
      <c r="K523" t="s">
        <v>15</v>
      </c>
    </row>
    <row r="524" spans="2:11" ht="22" x14ac:dyDescent="0.15">
      <c r="B524" s="33" t="s">
        <v>727</v>
      </c>
      <c r="C524" s="33" t="s">
        <v>173</v>
      </c>
      <c r="D524" s="34">
        <f>SUMIFS(D525:D747,K525:K747,"0",B525:B747,"5 1 2 1 4 12 31111 6 M78 15000 171 00I 001 21401 025*")-SUMIFS(E525:E747,K525:K747,"0",B525:B747,"5 1 2 1 4 12 31111 6 M78 15000 171 00I 001 21401 025*")</f>
        <v>0</v>
      </c>
      <c r="E524" s="35"/>
      <c r="F524" s="34">
        <f>SUMIFS(F525:F747,K525:K747,"0",B525:B747,"5 1 2 1 4 12 31111 6 M78 15000 171 00I 001 21401 025*")</f>
        <v>60134.400000000001</v>
      </c>
      <c r="G524" s="34">
        <f>SUMIFS(G525:G747,K525:K747,"0",B525:B747,"5 1 2 1 4 12 31111 6 M78 15000 171 00I 001 21401 025*")</f>
        <v>0</v>
      </c>
      <c r="H524" s="34">
        <f t="shared" si="11"/>
        <v>60134.400000000001</v>
      </c>
      <c r="I524" s="34"/>
      <c r="K524" t="s">
        <v>15</v>
      </c>
    </row>
    <row r="525" spans="2:11" ht="22" x14ac:dyDescent="0.15">
      <c r="B525" s="33" t="s">
        <v>728</v>
      </c>
      <c r="C525" s="33" t="s">
        <v>175</v>
      </c>
      <c r="D525" s="34">
        <f>SUMIFS(D526:D747,K526:K747,"0",B526:B747,"5 1 2 1 4 12 31111 6 M78 15000 171 00I 001 21401 025 2112000*")-SUMIFS(E526:E747,K526:K747,"0",B526:B747,"5 1 2 1 4 12 31111 6 M78 15000 171 00I 001 21401 025 2112000*")</f>
        <v>0</v>
      </c>
      <c r="E525" s="35"/>
      <c r="F525" s="34">
        <f>SUMIFS(F526:F747,K526:K747,"0",B526:B747,"5 1 2 1 4 12 31111 6 M78 15000 171 00I 001 21401 025 2112000*")</f>
        <v>60134.400000000001</v>
      </c>
      <c r="G525" s="34">
        <f>SUMIFS(G526:G747,K526:K747,"0",B526:B747,"5 1 2 1 4 12 31111 6 M78 15000 171 00I 001 21401 025 2112000*")</f>
        <v>0</v>
      </c>
      <c r="H525" s="34">
        <f t="shared" si="11"/>
        <v>60134.400000000001</v>
      </c>
      <c r="I525" s="34"/>
      <c r="K525" t="s">
        <v>15</v>
      </c>
    </row>
    <row r="526" spans="2:11" ht="33" x14ac:dyDescent="0.15">
      <c r="B526" s="33" t="s">
        <v>729</v>
      </c>
      <c r="C526" s="33" t="s">
        <v>318</v>
      </c>
      <c r="D526" s="34">
        <f>SUMIFS(D527:D747,K527:K747,"0",B527:B747,"5 1 2 1 4 12 31111 6 M78 15000 171 00I 001 21401 025 2112000 2024*")-SUMIFS(E527:E747,K527:K747,"0",B527:B747,"5 1 2 1 4 12 31111 6 M78 15000 171 00I 001 21401 025 2112000 2024*")</f>
        <v>0</v>
      </c>
      <c r="E526" s="35"/>
      <c r="F526" s="34">
        <f>SUMIFS(F527:F747,K527:K747,"0",B527:B747,"5 1 2 1 4 12 31111 6 M78 15000 171 00I 001 21401 025 2112000 2024*")</f>
        <v>60134.400000000001</v>
      </c>
      <c r="G526" s="34">
        <f>SUMIFS(G527:G747,K527:K747,"0",B527:B747,"5 1 2 1 4 12 31111 6 M78 15000 171 00I 001 21401 025 2112000 2024*")</f>
        <v>0</v>
      </c>
      <c r="H526" s="34">
        <f t="shared" si="11"/>
        <v>60134.400000000001</v>
      </c>
      <c r="I526" s="34"/>
      <c r="K526" t="s">
        <v>15</v>
      </c>
    </row>
    <row r="527" spans="2:11" ht="33" x14ac:dyDescent="0.15">
      <c r="B527" s="33" t="s">
        <v>730</v>
      </c>
      <c r="C527" s="33" t="s">
        <v>179</v>
      </c>
      <c r="D527" s="34">
        <f>SUMIFS(D528:D747,K528:K747,"0",B528:B747,"5 1 2 1 4 12 31111 6 M78 15000 171 00I 001 21401 025 2112000 2024 00000000*")-SUMIFS(E528:E747,K528:K747,"0",B528:B747,"5 1 2 1 4 12 31111 6 M78 15000 171 00I 001 21401 025 2112000 2024 00000000*")</f>
        <v>0</v>
      </c>
      <c r="E527" s="35"/>
      <c r="F527" s="34">
        <f>SUMIFS(F528:F747,K528:K747,"0",B528:B747,"5 1 2 1 4 12 31111 6 M78 15000 171 00I 001 21401 025 2112000 2024 00000000*")</f>
        <v>60134.400000000001</v>
      </c>
      <c r="G527" s="34">
        <f>SUMIFS(G528:G747,K528:K747,"0",B528:B747,"5 1 2 1 4 12 31111 6 M78 15000 171 00I 001 21401 025 2112000 2024 00000000*")</f>
        <v>0</v>
      </c>
      <c r="H527" s="34">
        <f t="shared" si="11"/>
        <v>60134.400000000001</v>
      </c>
      <c r="I527" s="34"/>
      <c r="K527" t="s">
        <v>15</v>
      </c>
    </row>
    <row r="528" spans="2:11" ht="33" x14ac:dyDescent="0.15">
      <c r="B528" s="33" t="s">
        <v>731</v>
      </c>
      <c r="C528" s="33" t="s">
        <v>9</v>
      </c>
      <c r="D528" s="34">
        <f>SUMIFS(D529:D747,K529:K747,"0",B529:B747,"5 1 2 1 4 12 31111 6 M78 15000 171 00I 001 21401 025 2112000 2024 00000000 003*")-SUMIFS(E529:E747,K529:K747,"0",B529:B747,"5 1 2 1 4 12 31111 6 M78 15000 171 00I 001 21401 025 2112000 2024 00000000 003*")</f>
        <v>0</v>
      </c>
      <c r="E528" s="35"/>
      <c r="F528" s="34">
        <f>SUMIFS(F529:F747,K529:K747,"0",B529:B747,"5 1 2 1 4 12 31111 6 M78 15000 171 00I 001 21401 025 2112000 2024 00000000 003*")</f>
        <v>60134.400000000001</v>
      </c>
      <c r="G528" s="34">
        <f>SUMIFS(G529:G747,K529:K747,"0",B529:B747,"5 1 2 1 4 12 31111 6 M78 15000 171 00I 001 21401 025 2112000 2024 00000000 003*")</f>
        <v>0</v>
      </c>
      <c r="H528" s="34">
        <f t="shared" si="11"/>
        <v>60134.400000000001</v>
      </c>
      <c r="I528" s="34"/>
      <c r="K528" t="s">
        <v>15</v>
      </c>
    </row>
    <row r="529" spans="2:11" ht="33" x14ac:dyDescent="0.15">
      <c r="B529" s="36" t="s">
        <v>732</v>
      </c>
      <c r="C529" s="36" t="s">
        <v>733</v>
      </c>
      <c r="D529" s="37">
        <v>0</v>
      </c>
      <c r="E529" s="37"/>
      <c r="F529" s="37">
        <v>60134.400000000001</v>
      </c>
      <c r="G529" s="37">
        <v>0</v>
      </c>
      <c r="H529" s="37">
        <f t="shared" si="11"/>
        <v>60134.400000000001</v>
      </c>
      <c r="I529" s="37"/>
      <c r="K529" t="s">
        <v>39</v>
      </c>
    </row>
    <row r="530" spans="2:11" ht="13" x14ac:dyDescent="0.15">
      <c r="B530" s="33" t="s">
        <v>734</v>
      </c>
      <c r="C530" s="33" t="s">
        <v>735</v>
      </c>
      <c r="D530" s="34">
        <f>SUMIFS(D531:D747,K531:K747,"0",B531:B747,"5 1 2 1 6*")-SUMIFS(E531:E747,K531:K747,"0",B531:B747,"5 1 2 1 6*")</f>
        <v>0</v>
      </c>
      <c r="E530" s="35"/>
      <c r="F530" s="34">
        <f>SUMIFS(F531:F747,K531:K747,"0",B531:B747,"5 1 2 1 6*")</f>
        <v>125850</v>
      </c>
      <c r="G530" s="34">
        <f>SUMIFS(G531:G747,K531:K747,"0",B531:B747,"5 1 2 1 6*")</f>
        <v>0</v>
      </c>
      <c r="H530" s="34">
        <f t="shared" si="11"/>
        <v>125850</v>
      </c>
      <c r="I530" s="34"/>
      <c r="K530" t="s">
        <v>15</v>
      </c>
    </row>
    <row r="531" spans="2:11" ht="13" x14ac:dyDescent="0.15">
      <c r="B531" s="33" t="s">
        <v>736</v>
      </c>
      <c r="C531" s="33" t="s">
        <v>26</v>
      </c>
      <c r="D531" s="34">
        <f>SUMIFS(D532:D747,K532:K747,"0",B532:B747,"5 1 2 1 6 12*")-SUMIFS(E532:E747,K532:K747,"0",B532:B747,"5 1 2 1 6 12*")</f>
        <v>0</v>
      </c>
      <c r="E531" s="35"/>
      <c r="F531" s="34">
        <f>SUMIFS(F532:F747,K532:K747,"0",B532:B747,"5 1 2 1 6 12*")</f>
        <v>125850</v>
      </c>
      <c r="G531" s="34">
        <f>SUMIFS(G532:G747,K532:K747,"0",B532:B747,"5 1 2 1 6 12*")</f>
        <v>0</v>
      </c>
      <c r="H531" s="34">
        <f t="shared" si="11"/>
        <v>125850</v>
      </c>
      <c r="I531" s="34"/>
      <c r="K531" t="s">
        <v>15</v>
      </c>
    </row>
    <row r="532" spans="2:11" ht="13" x14ac:dyDescent="0.15">
      <c r="B532" s="33" t="s">
        <v>737</v>
      </c>
      <c r="C532" s="33" t="s">
        <v>28</v>
      </c>
      <c r="D532" s="34">
        <f>SUMIFS(D533:D747,K533:K747,"0",B533:B747,"5 1 2 1 6 12 31111*")-SUMIFS(E533:E747,K533:K747,"0",B533:B747,"5 1 2 1 6 12 31111*")</f>
        <v>0</v>
      </c>
      <c r="E532" s="35"/>
      <c r="F532" s="34">
        <f>SUMIFS(F533:F747,K533:K747,"0",B533:B747,"5 1 2 1 6 12 31111*")</f>
        <v>125850</v>
      </c>
      <c r="G532" s="34">
        <f>SUMIFS(G533:G747,K533:K747,"0",B533:B747,"5 1 2 1 6 12 31111*")</f>
        <v>0</v>
      </c>
      <c r="H532" s="34">
        <f t="shared" si="11"/>
        <v>125850</v>
      </c>
      <c r="I532" s="34"/>
      <c r="K532" t="s">
        <v>15</v>
      </c>
    </row>
    <row r="533" spans="2:11" ht="13" x14ac:dyDescent="0.15">
      <c r="B533" s="33" t="s">
        <v>738</v>
      </c>
      <c r="C533" s="33" t="s">
        <v>30</v>
      </c>
      <c r="D533" s="34">
        <f>SUMIFS(D534:D747,K534:K747,"0",B534:B747,"5 1 2 1 6 12 31111 6*")-SUMIFS(E534:E747,K534:K747,"0",B534:B747,"5 1 2 1 6 12 31111 6*")</f>
        <v>0</v>
      </c>
      <c r="E533" s="35"/>
      <c r="F533" s="34">
        <f>SUMIFS(F534:F747,K534:K747,"0",B534:B747,"5 1 2 1 6 12 31111 6*")</f>
        <v>125850</v>
      </c>
      <c r="G533" s="34">
        <f>SUMIFS(G534:G747,K534:K747,"0",B534:B747,"5 1 2 1 6 12 31111 6*")</f>
        <v>0</v>
      </c>
      <c r="H533" s="34">
        <f t="shared" si="11"/>
        <v>125850</v>
      </c>
      <c r="I533" s="34"/>
      <c r="K533" t="s">
        <v>15</v>
      </c>
    </row>
    <row r="534" spans="2:11" ht="13" x14ac:dyDescent="0.15">
      <c r="B534" s="33" t="s">
        <v>739</v>
      </c>
      <c r="C534" s="33" t="s">
        <v>503</v>
      </c>
      <c r="D534" s="34">
        <f>SUMIFS(D535:D747,K535:K747,"0",B535:B747,"5 1 2 1 6 12 31111 6 M78*")-SUMIFS(E535:E747,K535:K747,"0",B535:B747,"5 1 2 1 6 12 31111 6 M78*")</f>
        <v>0</v>
      </c>
      <c r="E534" s="35"/>
      <c r="F534" s="34">
        <f>SUMIFS(F535:F747,K535:K747,"0",B535:B747,"5 1 2 1 6 12 31111 6 M78*")</f>
        <v>125850</v>
      </c>
      <c r="G534" s="34">
        <f>SUMIFS(G535:G747,K535:K747,"0",B535:B747,"5 1 2 1 6 12 31111 6 M78*")</f>
        <v>0</v>
      </c>
      <c r="H534" s="34">
        <f t="shared" si="11"/>
        <v>125850</v>
      </c>
      <c r="I534" s="34"/>
      <c r="K534" t="s">
        <v>15</v>
      </c>
    </row>
    <row r="535" spans="2:11" ht="13" x14ac:dyDescent="0.15">
      <c r="B535" s="33" t="s">
        <v>740</v>
      </c>
      <c r="C535" s="33" t="s">
        <v>163</v>
      </c>
      <c r="D535" s="34">
        <f>SUMIFS(D536:D747,K536:K747,"0",B536:B747,"5 1 2 1 6 12 31111 6 M78 15000*")-SUMIFS(E536:E747,K536:K747,"0",B536:B747,"5 1 2 1 6 12 31111 6 M78 15000*")</f>
        <v>0</v>
      </c>
      <c r="E535" s="35"/>
      <c r="F535" s="34">
        <f>SUMIFS(F536:F747,K536:K747,"0",B536:B747,"5 1 2 1 6 12 31111 6 M78 15000*")</f>
        <v>125850</v>
      </c>
      <c r="G535" s="34">
        <f>SUMIFS(G536:G747,K536:K747,"0",B536:B747,"5 1 2 1 6 12 31111 6 M78 15000*")</f>
        <v>0</v>
      </c>
      <c r="H535" s="34">
        <f t="shared" si="11"/>
        <v>125850</v>
      </c>
      <c r="I535" s="34"/>
      <c r="K535" t="s">
        <v>15</v>
      </c>
    </row>
    <row r="536" spans="2:11" ht="22" x14ac:dyDescent="0.15">
      <c r="B536" s="33" t="s">
        <v>741</v>
      </c>
      <c r="C536" s="33" t="s">
        <v>165</v>
      </c>
      <c r="D536" s="34">
        <f>SUMIFS(D537:D747,K537:K747,"0",B537:B747,"5 1 2 1 6 12 31111 6 M78 15000 171*")-SUMIFS(E537:E747,K537:K747,"0",B537:B747,"5 1 2 1 6 12 31111 6 M78 15000 171*")</f>
        <v>0</v>
      </c>
      <c r="E536" s="35"/>
      <c r="F536" s="34">
        <f>SUMIFS(F537:F747,K537:K747,"0",B537:B747,"5 1 2 1 6 12 31111 6 M78 15000 171*")</f>
        <v>125850</v>
      </c>
      <c r="G536" s="34">
        <f>SUMIFS(G537:G747,K537:K747,"0",B537:B747,"5 1 2 1 6 12 31111 6 M78 15000 171*")</f>
        <v>0</v>
      </c>
      <c r="H536" s="34">
        <f t="shared" si="11"/>
        <v>125850</v>
      </c>
      <c r="I536" s="34"/>
      <c r="K536" t="s">
        <v>15</v>
      </c>
    </row>
    <row r="537" spans="2:11" ht="22" x14ac:dyDescent="0.15">
      <c r="B537" s="33" t="s">
        <v>742</v>
      </c>
      <c r="C537" s="33" t="s">
        <v>167</v>
      </c>
      <c r="D537" s="34">
        <f>SUMIFS(D538:D747,K538:K747,"0",B538:B747,"5 1 2 1 6 12 31111 6 M78 15000 171 00I*")-SUMIFS(E538:E747,K538:K747,"0",B538:B747,"5 1 2 1 6 12 31111 6 M78 15000 171 00I*")</f>
        <v>0</v>
      </c>
      <c r="E537" s="35"/>
      <c r="F537" s="34">
        <f>SUMIFS(F538:F747,K538:K747,"0",B538:B747,"5 1 2 1 6 12 31111 6 M78 15000 171 00I*")</f>
        <v>125850</v>
      </c>
      <c r="G537" s="34">
        <f>SUMIFS(G538:G747,K538:K747,"0",B538:B747,"5 1 2 1 6 12 31111 6 M78 15000 171 00I*")</f>
        <v>0</v>
      </c>
      <c r="H537" s="34">
        <f t="shared" si="11"/>
        <v>125850</v>
      </c>
      <c r="I537" s="34"/>
      <c r="K537" t="s">
        <v>15</v>
      </c>
    </row>
    <row r="538" spans="2:11" ht="22" x14ac:dyDescent="0.15">
      <c r="B538" s="33" t="s">
        <v>743</v>
      </c>
      <c r="C538" s="33" t="s">
        <v>455</v>
      </c>
      <c r="D538" s="34">
        <f>SUMIFS(D539:D747,K539:K747,"0",B539:B747,"5 1 2 1 6 12 31111 6 M78 15000 171 00I 001*")-SUMIFS(E539:E747,K539:K747,"0",B539:B747,"5 1 2 1 6 12 31111 6 M78 15000 171 00I 001*")</f>
        <v>0</v>
      </c>
      <c r="E538" s="35"/>
      <c r="F538" s="34">
        <f>SUMIFS(F539:F747,K539:K747,"0",B539:B747,"5 1 2 1 6 12 31111 6 M78 15000 171 00I 001*")</f>
        <v>125850</v>
      </c>
      <c r="G538" s="34">
        <f>SUMIFS(G539:G747,K539:K747,"0",B539:B747,"5 1 2 1 6 12 31111 6 M78 15000 171 00I 001*")</f>
        <v>0</v>
      </c>
      <c r="H538" s="34">
        <f t="shared" si="11"/>
        <v>125850</v>
      </c>
      <c r="I538" s="34"/>
      <c r="K538" t="s">
        <v>15</v>
      </c>
    </row>
    <row r="539" spans="2:11" ht="22" x14ac:dyDescent="0.15">
      <c r="B539" s="33" t="s">
        <v>744</v>
      </c>
      <c r="C539" s="33" t="s">
        <v>745</v>
      </c>
      <c r="D539" s="34">
        <f>SUMIFS(D540:D747,K540:K747,"0",B540:B747,"5 1 2 1 6 12 31111 6 M78 15000 171 00I 001 21601*")-SUMIFS(E540:E747,K540:K747,"0",B540:B747,"5 1 2 1 6 12 31111 6 M78 15000 171 00I 001 21601*")</f>
        <v>0</v>
      </c>
      <c r="E539" s="35"/>
      <c r="F539" s="34">
        <f>SUMIFS(F540:F747,K540:K747,"0",B540:B747,"5 1 2 1 6 12 31111 6 M78 15000 171 00I 001 21601*")</f>
        <v>125850</v>
      </c>
      <c r="G539" s="34">
        <f>SUMIFS(G540:G747,K540:K747,"0",B540:B747,"5 1 2 1 6 12 31111 6 M78 15000 171 00I 001 21601*")</f>
        <v>0</v>
      </c>
      <c r="H539" s="34">
        <f t="shared" si="11"/>
        <v>125850</v>
      </c>
      <c r="I539" s="34"/>
      <c r="K539" t="s">
        <v>15</v>
      </c>
    </row>
    <row r="540" spans="2:11" ht="22" x14ac:dyDescent="0.15">
      <c r="B540" s="33" t="s">
        <v>746</v>
      </c>
      <c r="C540" s="33" t="s">
        <v>173</v>
      </c>
      <c r="D540" s="34">
        <f>SUMIFS(D541:D747,K541:K747,"0",B541:B747,"5 1 2 1 6 12 31111 6 M78 15000 171 00I 001 21601 025*")-SUMIFS(E541:E747,K541:K747,"0",B541:B747,"5 1 2 1 6 12 31111 6 M78 15000 171 00I 001 21601 025*")</f>
        <v>0</v>
      </c>
      <c r="E540" s="35"/>
      <c r="F540" s="34">
        <f>SUMIFS(F541:F747,K541:K747,"0",B541:B747,"5 1 2 1 6 12 31111 6 M78 15000 171 00I 001 21601 025*")</f>
        <v>125850</v>
      </c>
      <c r="G540" s="34">
        <f>SUMIFS(G541:G747,K541:K747,"0",B541:B747,"5 1 2 1 6 12 31111 6 M78 15000 171 00I 001 21601 025*")</f>
        <v>0</v>
      </c>
      <c r="H540" s="34">
        <f t="shared" si="11"/>
        <v>125850</v>
      </c>
      <c r="I540" s="34"/>
      <c r="K540" t="s">
        <v>15</v>
      </c>
    </row>
    <row r="541" spans="2:11" ht="22" x14ac:dyDescent="0.15">
      <c r="B541" s="33" t="s">
        <v>747</v>
      </c>
      <c r="C541" s="33" t="s">
        <v>175</v>
      </c>
      <c r="D541" s="34">
        <f>SUMIFS(D542:D747,K542:K747,"0",B542:B747,"5 1 2 1 6 12 31111 6 M78 15000 171 00I 001 21601 025 2112000*")-SUMIFS(E542:E747,K542:K747,"0",B542:B747,"5 1 2 1 6 12 31111 6 M78 15000 171 00I 001 21601 025 2112000*")</f>
        <v>0</v>
      </c>
      <c r="E541" s="35"/>
      <c r="F541" s="34">
        <f>SUMIFS(F542:F747,K542:K747,"0",B542:B747,"5 1 2 1 6 12 31111 6 M78 15000 171 00I 001 21601 025 2112000*")</f>
        <v>125850</v>
      </c>
      <c r="G541" s="34">
        <f>SUMIFS(G542:G747,K542:K747,"0",B542:B747,"5 1 2 1 6 12 31111 6 M78 15000 171 00I 001 21601 025 2112000*")</f>
        <v>0</v>
      </c>
      <c r="H541" s="34">
        <f t="shared" si="11"/>
        <v>125850</v>
      </c>
      <c r="I541" s="34"/>
      <c r="K541" t="s">
        <v>15</v>
      </c>
    </row>
    <row r="542" spans="2:11" ht="33" x14ac:dyDescent="0.15">
      <c r="B542" s="33" t="s">
        <v>748</v>
      </c>
      <c r="C542" s="33" t="s">
        <v>318</v>
      </c>
      <c r="D542" s="34">
        <f>SUMIFS(D543:D747,K543:K747,"0",B543:B747,"5 1 2 1 6 12 31111 6 M78 15000 171 00I 001 21601 025 2112000 2024*")-SUMIFS(E543:E747,K543:K747,"0",B543:B747,"5 1 2 1 6 12 31111 6 M78 15000 171 00I 001 21601 025 2112000 2024*")</f>
        <v>0</v>
      </c>
      <c r="E542" s="35"/>
      <c r="F542" s="34">
        <f>SUMIFS(F543:F747,K543:K747,"0",B543:B747,"5 1 2 1 6 12 31111 6 M78 15000 171 00I 001 21601 025 2112000 2024*")</f>
        <v>125850</v>
      </c>
      <c r="G542" s="34">
        <f>SUMIFS(G543:G747,K543:K747,"0",B543:B747,"5 1 2 1 6 12 31111 6 M78 15000 171 00I 001 21601 025 2112000 2024*")</f>
        <v>0</v>
      </c>
      <c r="H542" s="34">
        <f t="shared" si="11"/>
        <v>125850</v>
      </c>
      <c r="I542" s="34"/>
      <c r="K542" t="s">
        <v>15</v>
      </c>
    </row>
    <row r="543" spans="2:11" ht="33" x14ac:dyDescent="0.15">
      <c r="B543" s="33" t="s">
        <v>749</v>
      </c>
      <c r="C543" s="33" t="s">
        <v>179</v>
      </c>
      <c r="D543" s="34">
        <f>SUMIFS(D544:D747,K544:K747,"0",B544:B747,"5 1 2 1 6 12 31111 6 M78 15000 171 00I 001 21601 025 2112000 2024 00000000*")-SUMIFS(E544:E747,K544:K747,"0",B544:B747,"5 1 2 1 6 12 31111 6 M78 15000 171 00I 001 21601 025 2112000 2024 00000000*")</f>
        <v>0</v>
      </c>
      <c r="E543" s="35"/>
      <c r="F543" s="34">
        <f>SUMIFS(F544:F747,K544:K747,"0",B544:B747,"5 1 2 1 6 12 31111 6 M78 15000 171 00I 001 21601 025 2112000 2024 00000000*")</f>
        <v>125850</v>
      </c>
      <c r="G543" s="34">
        <f>SUMIFS(G544:G747,K544:K747,"0",B544:B747,"5 1 2 1 6 12 31111 6 M78 15000 171 00I 001 21601 025 2112000 2024 00000000*")</f>
        <v>0</v>
      </c>
      <c r="H543" s="34">
        <f t="shared" si="11"/>
        <v>125850</v>
      </c>
      <c r="I543" s="34"/>
      <c r="K543" t="s">
        <v>15</v>
      </c>
    </row>
    <row r="544" spans="2:11" ht="33" x14ac:dyDescent="0.15">
      <c r="B544" s="33" t="s">
        <v>750</v>
      </c>
      <c r="C544" s="33" t="s">
        <v>9</v>
      </c>
      <c r="D544" s="34">
        <f>SUMIFS(D545:D747,K545:K747,"0",B545:B747,"5 1 2 1 6 12 31111 6 M78 15000 171 00I 001 21601 025 2112000 2024 00000000 003*")-SUMIFS(E545:E747,K545:K747,"0",B545:B747,"5 1 2 1 6 12 31111 6 M78 15000 171 00I 001 21601 025 2112000 2024 00000000 003*")</f>
        <v>0</v>
      </c>
      <c r="E544" s="35"/>
      <c r="F544" s="34">
        <f>SUMIFS(F545:F747,K545:K747,"0",B545:B747,"5 1 2 1 6 12 31111 6 M78 15000 171 00I 001 21601 025 2112000 2024 00000000 003*")</f>
        <v>125850</v>
      </c>
      <c r="G544" s="34">
        <f>SUMIFS(G545:G747,K545:K747,"0",B545:B747,"5 1 2 1 6 12 31111 6 M78 15000 171 00I 001 21601 025 2112000 2024 00000000 003*")</f>
        <v>0</v>
      </c>
      <c r="H544" s="34">
        <f t="shared" si="11"/>
        <v>125850</v>
      </c>
      <c r="I544" s="34"/>
      <c r="K544" t="s">
        <v>15</v>
      </c>
    </row>
    <row r="545" spans="2:11" ht="33" x14ac:dyDescent="0.15">
      <c r="B545" s="36" t="s">
        <v>751</v>
      </c>
      <c r="C545" s="36" t="s">
        <v>752</v>
      </c>
      <c r="D545" s="37">
        <v>0</v>
      </c>
      <c r="E545" s="37"/>
      <c r="F545" s="37">
        <v>125850</v>
      </c>
      <c r="G545" s="37">
        <v>0</v>
      </c>
      <c r="H545" s="37">
        <f t="shared" si="11"/>
        <v>125850</v>
      </c>
      <c r="I545" s="37"/>
      <c r="K545" t="s">
        <v>39</v>
      </c>
    </row>
    <row r="546" spans="2:11" ht="13" x14ac:dyDescent="0.15">
      <c r="B546" s="33" t="s">
        <v>753</v>
      </c>
      <c r="C546" s="33" t="s">
        <v>754</v>
      </c>
      <c r="D546" s="34">
        <f>SUMIFS(D547:D747,K547:K747,"0",B547:B747,"5 1 2 2*")-SUMIFS(E547:E747,K547:K747,"0",B547:B747,"5 1 2 2*")</f>
        <v>0</v>
      </c>
      <c r="E546" s="35"/>
      <c r="F546" s="34">
        <f>SUMIFS(F547:F747,K547:K747,"0",B547:B747,"5 1 2 2*")</f>
        <v>55000</v>
      </c>
      <c r="G546" s="34">
        <f>SUMIFS(G547:G747,K547:K747,"0",B547:B747,"5 1 2 2*")</f>
        <v>0</v>
      </c>
      <c r="H546" s="34">
        <f t="shared" si="11"/>
        <v>55000</v>
      </c>
      <c r="I546" s="34"/>
      <c r="K546" t="s">
        <v>15</v>
      </c>
    </row>
    <row r="547" spans="2:11" ht="13" x14ac:dyDescent="0.15">
      <c r="B547" s="33" t="s">
        <v>755</v>
      </c>
      <c r="C547" s="33" t="s">
        <v>756</v>
      </c>
      <c r="D547" s="34">
        <f>SUMIFS(D548:D747,K548:K747,"0",B548:B747,"5 1 2 2 1*")-SUMIFS(E548:E747,K548:K747,"0",B548:B747,"5 1 2 2 1*")</f>
        <v>0</v>
      </c>
      <c r="E547" s="35"/>
      <c r="F547" s="34">
        <f>SUMIFS(F548:F747,K548:K747,"0",B548:B747,"5 1 2 2 1*")</f>
        <v>55000</v>
      </c>
      <c r="G547" s="34">
        <f>SUMIFS(G548:G747,K548:K747,"0",B548:B747,"5 1 2 2 1*")</f>
        <v>0</v>
      </c>
      <c r="H547" s="34">
        <f t="shared" si="11"/>
        <v>55000</v>
      </c>
      <c r="I547" s="34"/>
      <c r="K547" t="s">
        <v>15</v>
      </c>
    </row>
    <row r="548" spans="2:11" ht="13" x14ac:dyDescent="0.15">
      <c r="B548" s="33" t="s">
        <v>757</v>
      </c>
      <c r="C548" s="33" t="s">
        <v>26</v>
      </c>
      <c r="D548" s="34">
        <f>SUMIFS(D549:D747,K549:K747,"0",B549:B747,"5 1 2 2 1 12*")-SUMIFS(E549:E747,K549:K747,"0",B549:B747,"5 1 2 2 1 12*")</f>
        <v>0</v>
      </c>
      <c r="E548" s="35"/>
      <c r="F548" s="34">
        <f>SUMIFS(F549:F747,K549:K747,"0",B549:B747,"5 1 2 2 1 12*")</f>
        <v>55000</v>
      </c>
      <c r="G548" s="34">
        <f>SUMIFS(G549:G747,K549:K747,"0",B549:B747,"5 1 2 2 1 12*")</f>
        <v>0</v>
      </c>
      <c r="H548" s="34">
        <f t="shared" si="11"/>
        <v>55000</v>
      </c>
      <c r="I548" s="34"/>
      <c r="K548" t="s">
        <v>15</v>
      </c>
    </row>
    <row r="549" spans="2:11" ht="13" x14ac:dyDescent="0.15">
      <c r="B549" s="33" t="s">
        <v>758</v>
      </c>
      <c r="C549" s="33" t="s">
        <v>28</v>
      </c>
      <c r="D549" s="34">
        <f>SUMIFS(D550:D747,K550:K747,"0",B550:B747,"5 1 2 2 1 12 31111*")-SUMIFS(E550:E747,K550:K747,"0",B550:B747,"5 1 2 2 1 12 31111*")</f>
        <v>0</v>
      </c>
      <c r="E549" s="35"/>
      <c r="F549" s="34">
        <f>SUMIFS(F550:F747,K550:K747,"0",B550:B747,"5 1 2 2 1 12 31111*")</f>
        <v>55000</v>
      </c>
      <c r="G549" s="34">
        <f>SUMIFS(G550:G747,K550:K747,"0",B550:B747,"5 1 2 2 1 12 31111*")</f>
        <v>0</v>
      </c>
      <c r="H549" s="34">
        <f t="shared" si="11"/>
        <v>55000</v>
      </c>
      <c r="I549" s="34"/>
      <c r="K549" t="s">
        <v>15</v>
      </c>
    </row>
    <row r="550" spans="2:11" ht="13" x14ac:dyDescent="0.15">
      <c r="B550" s="33" t="s">
        <v>759</v>
      </c>
      <c r="C550" s="33" t="s">
        <v>30</v>
      </c>
      <c r="D550" s="34">
        <f>SUMIFS(D551:D747,K551:K747,"0",B551:B747,"5 1 2 2 1 12 31111 6*")-SUMIFS(E551:E747,K551:K747,"0",B551:B747,"5 1 2 2 1 12 31111 6*")</f>
        <v>0</v>
      </c>
      <c r="E550" s="35"/>
      <c r="F550" s="34">
        <f>SUMIFS(F551:F747,K551:K747,"0",B551:B747,"5 1 2 2 1 12 31111 6*")</f>
        <v>55000</v>
      </c>
      <c r="G550" s="34">
        <f>SUMIFS(G551:G747,K551:K747,"0",B551:B747,"5 1 2 2 1 12 31111 6*")</f>
        <v>0</v>
      </c>
      <c r="H550" s="34">
        <f t="shared" si="11"/>
        <v>55000</v>
      </c>
      <c r="I550" s="34"/>
      <c r="K550" t="s">
        <v>15</v>
      </c>
    </row>
    <row r="551" spans="2:11" ht="13" x14ac:dyDescent="0.15">
      <c r="B551" s="33" t="s">
        <v>760</v>
      </c>
      <c r="C551" s="33" t="s">
        <v>503</v>
      </c>
      <c r="D551" s="34">
        <f>SUMIFS(D552:D747,K552:K747,"0",B552:B747,"5 1 2 2 1 12 31111 6 M78*")-SUMIFS(E552:E747,K552:K747,"0",B552:B747,"5 1 2 2 1 12 31111 6 M78*")</f>
        <v>0</v>
      </c>
      <c r="E551" s="35"/>
      <c r="F551" s="34">
        <f>SUMIFS(F552:F747,K552:K747,"0",B552:B747,"5 1 2 2 1 12 31111 6 M78*")</f>
        <v>55000</v>
      </c>
      <c r="G551" s="34">
        <f>SUMIFS(G552:G747,K552:K747,"0",B552:B747,"5 1 2 2 1 12 31111 6 M78*")</f>
        <v>0</v>
      </c>
      <c r="H551" s="34">
        <f t="shared" si="11"/>
        <v>55000</v>
      </c>
      <c r="I551" s="34"/>
      <c r="K551" t="s">
        <v>15</v>
      </c>
    </row>
    <row r="552" spans="2:11" ht="13" x14ac:dyDescent="0.15">
      <c r="B552" s="33" t="s">
        <v>761</v>
      </c>
      <c r="C552" s="33" t="s">
        <v>163</v>
      </c>
      <c r="D552" s="34">
        <f>SUMIFS(D553:D747,K553:K747,"0",B553:B747,"5 1 2 2 1 12 31111 6 M78 15000*")-SUMIFS(E553:E747,K553:K747,"0",B553:B747,"5 1 2 2 1 12 31111 6 M78 15000*")</f>
        <v>0</v>
      </c>
      <c r="E552" s="35"/>
      <c r="F552" s="34">
        <f>SUMIFS(F553:F747,K553:K747,"0",B553:B747,"5 1 2 2 1 12 31111 6 M78 15000*")</f>
        <v>55000</v>
      </c>
      <c r="G552" s="34">
        <f>SUMIFS(G553:G747,K553:K747,"0",B553:B747,"5 1 2 2 1 12 31111 6 M78 15000*")</f>
        <v>0</v>
      </c>
      <c r="H552" s="34">
        <f t="shared" si="11"/>
        <v>55000</v>
      </c>
      <c r="I552" s="34"/>
      <c r="K552" t="s">
        <v>15</v>
      </c>
    </row>
    <row r="553" spans="2:11" ht="22" x14ac:dyDescent="0.15">
      <c r="B553" s="33" t="s">
        <v>762</v>
      </c>
      <c r="C553" s="33" t="s">
        <v>165</v>
      </c>
      <c r="D553" s="34">
        <f>SUMIFS(D554:D747,K554:K747,"0",B554:B747,"5 1 2 2 1 12 31111 6 M78 15000 171*")-SUMIFS(E554:E747,K554:K747,"0",B554:B747,"5 1 2 2 1 12 31111 6 M78 15000 171*")</f>
        <v>0</v>
      </c>
      <c r="E553" s="35"/>
      <c r="F553" s="34">
        <f>SUMIFS(F554:F747,K554:K747,"0",B554:B747,"5 1 2 2 1 12 31111 6 M78 15000 171*")</f>
        <v>55000</v>
      </c>
      <c r="G553" s="34">
        <f>SUMIFS(G554:G747,K554:K747,"0",B554:B747,"5 1 2 2 1 12 31111 6 M78 15000 171*")</f>
        <v>0</v>
      </c>
      <c r="H553" s="34">
        <f t="shared" si="11"/>
        <v>55000</v>
      </c>
      <c r="I553" s="34"/>
      <c r="K553" t="s">
        <v>15</v>
      </c>
    </row>
    <row r="554" spans="2:11" ht="22" x14ac:dyDescent="0.15">
      <c r="B554" s="33" t="s">
        <v>763</v>
      </c>
      <c r="C554" s="33" t="s">
        <v>167</v>
      </c>
      <c r="D554" s="34">
        <f>SUMIFS(D555:D747,K555:K747,"0",B555:B747,"5 1 2 2 1 12 31111 6 M78 15000 171 00I*")-SUMIFS(E555:E747,K555:K747,"0",B555:B747,"5 1 2 2 1 12 31111 6 M78 15000 171 00I*")</f>
        <v>0</v>
      </c>
      <c r="E554" s="35"/>
      <c r="F554" s="34">
        <f>SUMIFS(F555:F747,K555:K747,"0",B555:B747,"5 1 2 2 1 12 31111 6 M78 15000 171 00I*")</f>
        <v>55000</v>
      </c>
      <c r="G554" s="34">
        <f>SUMIFS(G555:G747,K555:K747,"0",B555:B747,"5 1 2 2 1 12 31111 6 M78 15000 171 00I*")</f>
        <v>0</v>
      </c>
      <c r="H554" s="34">
        <f t="shared" si="11"/>
        <v>55000</v>
      </c>
      <c r="I554" s="34"/>
      <c r="K554" t="s">
        <v>15</v>
      </c>
    </row>
    <row r="555" spans="2:11" ht="22" x14ac:dyDescent="0.15">
      <c r="B555" s="33" t="s">
        <v>764</v>
      </c>
      <c r="C555" s="33" t="s">
        <v>455</v>
      </c>
      <c r="D555" s="34">
        <f>SUMIFS(D556:D747,K556:K747,"0",B556:B747,"5 1 2 2 1 12 31111 6 M78 15000 171 00I 001*")-SUMIFS(E556:E747,K556:K747,"0",B556:B747,"5 1 2 2 1 12 31111 6 M78 15000 171 00I 001*")</f>
        <v>0</v>
      </c>
      <c r="E555" s="35"/>
      <c r="F555" s="34">
        <f>SUMIFS(F556:F747,K556:K747,"0",B556:B747,"5 1 2 2 1 12 31111 6 M78 15000 171 00I 001*")</f>
        <v>55000</v>
      </c>
      <c r="G555" s="34">
        <f>SUMIFS(G556:G747,K556:K747,"0",B556:B747,"5 1 2 2 1 12 31111 6 M78 15000 171 00I 001*")</f>
        <v>0</v>
      </c>
      <c r="H555" s="34">
        <f t="shared" si="11"/>
        <v>55000</v>
      </c>
      <c r="I555" s="34"/>
      <c r="K555" t="s">
        <v>15</v>
      </c>
    </row>
    <row r="556" spans="2:11" ht="22" x14ac:dyDescent="0.15">
      <c r="B556" s="33" t="s">
        <v>765</v>
      </c>
      <c r="C556" s="33" t="s">
        <v>766</v>
      </c>
      <c r="D556" s="34">
        <f>SUMIFS(D557:D747,K557:K747,"0",B557:B747,"5 1 2 2 1 12 31111 6 M78 15000 171 00I 001 22104*")-SUMIFS(E557:E747,K557:K747,"0",B557:B747,"5 1 2 2 1 12 31111 6 M78 15000 171 00I 001 22104*")</f>
        <v>0</v>
      </c>
      <c r="E556" s="35"/>
      <c r="F556" s="34">
        <f>SUMIFS(F557:F747,K557:K747,"0",B557:B747,"5 1 2 2 1 12 31111 6 M78 15000 171 00I 001 22104*")</f>
        <v>55000</v>
      </c>
      <c r="G556" s="34">
        <f>SUMIFS(G557:G747,K557:K747,"0",B557:B747,"5 1 2 2 1 12 31111 6 M78 15000 171 00I 001 22104*")</f>
        <v>0</v>
      </c>
      <c r="H556" s="34">
        <f t="shared" si="11"/>
        <v>55000</v>
      </c>
      <c r="I556" s="34"/>
      <c r="K556" t="s">
        <v>15</v>
      </c>
    </row>
    <row r="557" spans="2:11" ht="22" x14ac:dyDescent="0.15">
      <c r="B557" s="33" t="s">
        <v>767</v>
      </c>
      <c r="C557" s="33" t="s">
        <v>173</v>
      </c>
      <c r="D557" s="34">
        <f>SUMIFS(D558:D747,K558:K747,"0",B558:B747,"5 1 2 2 1 12 31111 6 M78 15000 171 00I 001 22104 025*")-SUMIFS(E558:E747,K558:K747,"0",B558:B747,"5 1 2 2 1 12 31111 6 M78 15000 171 00I 001 22104 025*")</f>
        <v>0</v>
      </c>
      <c r="E557" s="35"/>
      <c r="F557" s="34">
        <f>SUMIFS(F558:F747,K558:K747,"0",B558:B747,"5 1 2 2 1 12 31111 6 M78 15000 171 00I 001 22104 025*")</f>
        <v>55000</v>
      </c>
      <c r="G557" s="34">
        <f>SUMIFS(G558:G747,K558:K747,"0",B558:B747,"5 1 2 2 1 12 31111 6 M78 15000 171 00I 001 22104 025*")</f>
        <v>0</v>
      </c>
      <c r="H557" s="34">
        <f t="shared" si="11"/>
        <v>55000</v>
      </c>
      <c r="I557" s="34"/>
      <c r="K557" t="s">
        <v>15</v>
      </c>
    </row>
    <row r="558" spans="2:11" ht="22" x14ac:dyDescent="0.15">
      <c r="B558" s="33" t="s">
        <v>768</v>
      </c>
      <c r="C558" s="33" t="s">
        <v>175</v>
      </c>
      <c r="D558" s="34">
        <f>SUMIFS(D559:D747,K559:K747,"0",B559:B747,"5 1 2 2 1 12 31111 6 M78 15000 171 00I 001 22104 025 2112000*")-SUMIFS(E559:E747,K559:K747,"0",B559:B747,"5 1 2 2 1 12 31111 6 M78 15000 171 00I 001 22104 025 2112000*")</f>
        <v>0</v>
      </c>
      <c r="E558" s="35"/>
      <c r="F558" s="34">
        <f>SUMIFS(F559:F747,K559:K747,"0",B559:B747,"5 1 2 2 1 12 31111 6 M78 15000 171 00I 001 22104 025 2112000*")</f>
        <v>55000</v>
      </c>
      <c r="G558" s="34">
        <f>SUMIFS(G559:G747,K559:K747,"0",B559:B747,"5 1 2 2 1 12 31111 6 M78 15000 171 00I 001 22104 025 2112000*")</f>
        <v>0</v>
      </c>
      <c r="H558" s="34">
        <f t="shared" si="11"/>
        <v>55000</v>
      </c>
      <c r="I558" s="34"/>
      <c r="K558" t="s">
        <v>15</v>
      </c>
    </row>
    <row r="559" spans="2:11" ht="33" x14ac:dyDescent="0.15">
      <c r="B559" s="33" t="s">
        <v>769</v>
      </c>
      <c r="C559" s="33" t="s">
        <v>318</v>
      </c>
      <c r="D559" s="34">
        <f>SUMIFS(D560:D747,K560:K747,"0",B560:B747,"5 1 2 2 1 12 31111 6 M78 15000 171 00I 001 22104 025 2112000 2024*")-SUMIFS(E560:E747,K560:K747,"0",B560:B747,"5 1 2 2 1 12 31111 6 M78 15000 171 00I 001 22104 025 2112000 2024*")</f>
        <v>0</v>
      </c>
      <c r="E559" s="35"/>
      <c r="F559" s="34">
        <f>SUMIFS(F560:F747,K560:K747,"0",B560:B747,"5 1 2 2 1 12 31111 6 M78 15000 171 00I 001 22104 025 2112000 2024*")</f>
        <v>55000</v>
      </c>
      <c r="G559" s="34">
        <f>SUMIFS(G560:G747,K560:K747,"0",B560:B747,"5 1 2 2 1 12 31111 6 M78 15000 171 00I 001 22104 025 2112000 2024*")</f>
        <v>0</v>
      </c>
      <c r="H559" s="34">
        <f t="shared" si="11"/>
        <v>55000</v>
      </c>
      <c r="I559" s="34"/>
      <c r="K559" t="s">
        <v>15</v>
      </c>
    </row>
    <row r="560" spans="2:11" ht="33" x14ac:dyDescent="0.15">
      <c r="B560" s="33" t="s">
        <v>770</v>
      </c>
      <c r="C560" s="33" t="s">
        <v>179</v>
      </c>
      <c r="D560" s="34">
        <f>SUMIFS(D561:D747,K561:K747,"0",B561:B747,"5 1 2 2 1 12 31111 6 M78 15000 171 00I 001 22104 025 2112000 2024 00000000*")-SUMIFS(E561:E747,K561:K747,"0",B561:B747,"5 1 2 2 1 12 31111 6 M78 15000 171 00I 001 22104 025 2112000 2024 00000000*")</f>
        <v>0</v>
      </c>
      <c r="E560" s="35"/>
      <c r="F560" s="34">
        <f>SUMIFS(F561:F747,K561:K747,"0",B561:B747,"5 1 2 2 1 12 31111 6 M78 15000 171 00I 001 22104 025 2112000 2024 00000000*")</f>
        <v>55000</v>
      </c>
      <c r="G560" s="34">
        <f>SUMIFS(G561:G747,K561:K747,"0",B561:B747,"5 1 2 2 1 12 31111 6 M78 15000 171 00I 001 22104 025 2112000 2024 00000000*")</f>
        <v>0</v>
      </c>
      <c r="H560" s="34">
        <f t="shared" si="11"/>
        <v>55000</v>
      </c>
      <c r="I560" s="34"/>
      <c r="K560" t="s">
        <v>15</v>
      </c>
    </row>
    <row r="561" spans="2:11" ht="33" x14ac:dyDescent="0.15">
      <c r="B561" s="33" t="s">
        <v>771</v>
      </c>
      <c r="C561" s="33" t="s">
        <v>9</v>
      </c>
      <c r="D561" s="34">
        <f>SUMIFS(D562:D747,K562:K747,"0",B562:B747,"5 1 2 2 1 12 31111 6 M78 15000 171 00I 001 22104 025 2112000 2024 00000000 003*")-SUMIFS(E562:E747,K562:K747,"0",B562:B747,"5 1 2 2 1 12 31111 6 M78 15000 171 00I 001 22104 025 2112000 2024 00000000 003*")</f>
        <v>0</v>
      </c>
      <c r="E561" s="35"/>
      <c r="F561" s="34">
        <f>SUMIFS(F562:F747,K562:K747,"0",B562:B747,"5 1 2 2 1 12 31111 6 M78 15000 171 00I 001 22104 025 2112000 2024 00000000 003*")</f>
        <v>55000</v>
      </c>
      <c r="G561" s="34">
        <f>SUMIFS(G562:G747,K562:K747,"0",B562:B747,"5 1 2 2 1 12 31111 6 M78 15000 171 00I 001 22104 025 2112000 2024 00000000 003*")</f>
        <v>0</v>
      </c>
      <c r="H561" s="34">
        <f t="shared" si="11"/>
        <v>55000</v>
      </c>
      <c r="I561" s="34"/>
      <c r="K561" t="s">
        <v>15</v>
      </c>
    </row>
    <row r="562" spans="2:11" ht="33" x14ac:dyDescent="0.15">
      <c r="B562" s="36" t="s">
        <v>772</v>
      </c>
      <c r="C562" s="36" t="s">
        <v>773</v>
      </c>
      <c r="D562" s="37">
        <v>0</v>
      </c>
      <c r="E562" s="37"/>
      <c r="F562" s="37">
        <v>55000</v>
      </c>
      <c r="G562" s="37">
        <v>0</v>
      </c>
      <c r="H562" s="37">
        <f t="shared" si="11"/>
        <v>55000</v>
      </c>
      <c r="I562" s="37"/>
      <c r="K562" t="s">
        <v>39</v>
      </c>
    </row>
    <row r="563" spans="2:11" ht="13" x14ac:dyDescent="0.15">
      <c r="B563" s="33" t="s">
        <v>774</v>
      </c>
      <c r="C563" s="33" t="s">
        <v>775</v>
      </c>
      <c r="D563" s="34">
        <f>SUMIFS(D564:D747,K564:K747,"0",B564:B747,"5 1 2 4*")-SUMIFS(E564:E747,K564:K747,"0",B564:B747,"5 1 2 4*")</f>
        <v>0</v>
      </c>
      <c r="E563" s="35"/>
      <c r="F563" s="34">
        <f>SUMIFS(F564:F747,K564:K747,"0",B564:B747,"5 1 2 4*")</f>
        <v>239384</v>
      </c>
      <c r="G563" s="34">
        <f>SUMIFS(G564:G747,K564:K747,"0",B564:B747,"5 1 2 4*")</f>
        <v>0</v>
      </c>
      <c r="H563" s="34">
        <f t="shared" si="11"/>
        <v>239384</v>
      </c>
      <c r="I563" s="34"/>
      <c r="K563" t="s">
        <v>15</v>
      </c>
    </row>
    <row r="564" spans="2:11" ht="13" x14ac:dyDescent="0.15">
      <c r="B564" s="33" t="s">
        <v>776</v>
      </c>
      <c r="C564" s="33" t="s">
        <v>777</v>
      </c>
      <c r="D564" s="34">
        <f>SUMIFS(D565:D747,K565:K747,"0",B565:B747,"5 1 2 4 6*")-SUMIFS(E565:E747,K565:K747,"0",B565:B747,"5 1 2 4 6*")</f>
        <v>0</v>
      </c>
      <c r="E564" s="35"/>
      <c r="F564" s="34">
        <f>SUMIFS(F565:F747,K565:K747,"0",B565:B747,"5 1 2 4 6*")</f>
        <v>130684</v>
      </c>
      <c r="G564" s="34">
        <f>SUMIFS(G565:G747,K565:K747,"0",B565:B747,"5 1 2 4 6*")</f>
        <v>0</v>
      </c>
      <c r="H564" s="34">
        <f t="shared" si="11"/>
        <v>130684</v>
      </c>
      <c r="I564" s="34"/>
      <c r="K564" t="s">
        <v>15</v>
      </c>
    </row>
    <row r="565" spans="2:11" ht="13" x14ac:dyDescent="0.15">
      <c r="B565" s="33" t="s">
        <v>778</v>
      </c>
      <c r="C565" s="33" t="s">
        <v>26</v>
      </c>
      <c r="D565" s="34">
        <f>SUMIFS(D566:D747,K566:K747,"0",B566:B747,"5 1 2 4 6 12*")-SUMIFS(E566:E747,K566:K747,"0",B566:B747,"5 1 2 4 6 12*")</f>
        <v>0</v>
      </c>
      <c r="E565" s="35"/>
      <c r="F565" s="34">
        <f>SUMIFS(F566:F747,K566:K747,"0",B566:B747,"5 1 2 4 6 12*")</f>
        <v>130684</v>
      </c>
      <c r="G565" s="34">
        <f>SUMIFS(G566:G747,K566:K747,"0",B566:B747,"5 1 2 4 6 12*")</f>
        <v>0</v>
      </c>
      <c r="H565" s="34">
        <f t="shared" si="11"/>
        <v>130684</v>
      </c>
      <c r="I565" s="34"/>
      <c r="K565" t="s">
        <v>15</v>
      </c>
    </row>
    <row r="566" spans="2:11" ht="13" x14ac:dyDescent="0.15">
      <c r="B566" s="33" t="s">
        <v>779</v>
      </c>
      <c r="C566" s="33" t="s">
        <v>28</v>
      </c>
      <c r="D566" s="34">
        <f>SUMIFS(D567:D747,K567:K747,"0",B567:B747,"5 1 2 4 6 12 31111*")-SUMIFS(E567:E747,K567:K747,"0",B567:B747,"5 1 2 4 6 12 31111*")</f>
        <v>0</v>
      </c>
      <c r="E566" s="35"/>
      <c r="F566" s="34">
        <f>SUMIFS(F567:F747,K567:K747,"0",B567:B747,"5 1 2 4 6 12 31111*")</f>
        <v>130684</v>
      </c>
      <c r="G566" s="34">
        <f>SUMIFS(G567:G747,K567:K747,"0",B567:B747,"5 1 2 4 6 12 31111*")</f>
        <v>0</v>
      </c>
      <c r="H566" s="34">
        <f t="shared" si="11"/>
        <v>130684</v>
      </c>
      <c r="I566" s="34"/>
      <c r="K566" t="s">
        <v>15</v>
      </c>
    </row>
    <row r="567" spans="2:11" ht="13" x14ac:dyDescent="0.15">
      <c r="B567" s="33" t="s">
        <v>780</v>
      </c>
      <c r="C567" s="33" t="s">
        <v>30</v>
      </c>
      <c r="D567" s="34">
        <f>SUMIFS(D568:D747,K568:K747,"0",B568:B747,"5 1 2 4 6 12 31111 6*")-SUMIFS(E568:E747,K568:K747,"0",B568:B747,"5 1 2 4 6 12 31111 6*")</f>
        <v>0</v>
      </c>
      <c r="E567" s="35"/>
      <c r="F567" s="34">
        <f>SUMIFS(F568:F747,K568:K747,"0",B568:B747,"5 1 2 4 6 12 31111 6*")</f>
        <v>130684</v>
      </c>
      <c r="G567" s="34">
        <f>SUMIFS(G568:G747,K568:K747,"0",B568:B747,"5 1 2 4 6 12 31111 6*")</f>
        <v>0</v>
      </c>
      <c r="H567" s="34">
        <f t="shared" si="11"/>
        <v>130684</v>
      </c>
      <c r="I567" s="34"/>
      <c r="K567" t="s">
        <v>15</v>
      </c>
    </row>
    <row r="568" spans="2:11" ht="13" x14ac:dyDescent="0.15">
      <c r="B568" s="33" t="s">
        <v>781</v>
      </c>
      <c r="C568" s="33" t="s">
        <v>503</v>
      </c>
      <c r="D568" s="34">
        <f>SUMIFS(D569:D747,K569:K747,"0",B569:B747,"5 1 2 4 6 12 31111 6 M78*")-SUMIFS(E569:E747,K569:K747,"0",B569:B747,"5 1 2 4 6 12 31111 6 M78*")</f>
        <v>0</v>
      </c>
      <c r="E568" s="35"/>
      <c r="F568" s="34">
        <f>SUMIFS(F569:F747,K569:K747,"0",B569:B747,"5 1 2 4 6 12 31111 6 M78*")</f>
        <v>130684</v>
      </c>
      <c r="G568" s="34">
        <f>SUMIFS(G569:G747,K569:K747,"0",B569:B747,"5 1 2 4 6 12 31111 6 M78*")</f>
        <v>0</v>
      </c>
      <c r="H568" s="34">
        <f t="shared" si="11"/>
        <v>130684</v>
      </c>
      <c r="I568" s="34"/>
      <c r="K568" t="s">
        <v>15</v>
      </c>
    </row>
    <row r="569" spans="2:11" ht="13" x14ac:dyDescent="0.15">
      <c r="B569" s="33" t="s">
        <v>782</v>
      </c>
      <c r="C569" s="33" t="s">
        <v>163</v>
      </c>
      <c r="D569" s="34">
        <f>SUMIFS(D570:D747,K570:K747,"0",B570:B747,"5 1 2 4 6 12 31111 6 M78 15000*")-SUMIFS(E570:E747,K570:K747,"0",B570:B747,"5 1 2 4 6 12 31111 6 M78 15000*")</f>
        <v>0</v>
      </c>
      <c r="E569" s="35"/>
      <c r="F569" s="34">
        <f>SUMIFS(F570:F747,K570:K747,"0",B570:B747,"5 1 2 4 6 12 31111 6 M78 15000*")</f>
        <v>130684</v>
      </c>
      <c r="G569" s="34">
        <f>SUMIFS(G570:G747,K570:K747,"0",B570:B747,"5 1 2 4 6 12 31111 6 M78 15000*")</f>
        <v>0</v>
      </c>
      <c r="H569" s="34">
        <f t="shared" si="11"/>
        <v>130684</v>
      </c>
      <c r="I569" s="34"/>
      <c r="K569" t="s">
        <v>15</v>
      </c>
    </row>
    <row r="570" spans="2:11" ht="22" x14ac:dyDescent="0.15">
      <c r="B570" s="33" t="s">
        <v>783</v>
      </c>
      <c r="C570" s="33" t="s">
        <v>165</v>
      </c>
      <c r="D570" s="34">
        <f>SUMIFS(D571:D747,K571:K747,"0",B571:B747,"5 1 2 4 6 12 31111 6 M78 15000 171*")-SUMIFS(E571:E747,K571:K747,"0",B571:B747,"5 1 2 4 6 12 31111 6 M78 15000 171*")</f>
        <v>0</v>
      </c>
      <c r="E570" s="35"/>
      <c r="F570" s="34">
        <f>SUMIFS(F571:F747,K571:K747,"0",B571:B747,"5 1 2 4 6 12 31111 6 M78 15000 171*")</f>
        <v>130684</v>
      </c>
      <c r="G570" s="34">
        <f>SUMIFS(G571:G747,K571:K747,"0",B571:B747,"5 1 2 4 6 12 31111 6 M78 15000 171*")</f>
        <v>0</v>
      </c>
      <c r="H570" s="34">
        <f t="shared" si="11"/>
        <v>130684</v>
      </c>
      <c r="I570" s="34"/>
      <c r="K570" t="s">
        <v>15</v>
      </c>
    </row>
    <row r="571" spans="2:11" ht="22" x14ac:dyDescent="0.15">
      <c r="B571" s="33" t="s">
        <v>784</v>
      </c>
      <c r="C571" s="33" t="s">
        <v>167</v>
      </c>
      <c r="D571" s="34">
        <f>SUMIFS(D572:D747,K572:K747,"0",B572:B747,"5 1 2 4 6 12 31111 6 M78 15000 171 00I*")-SUMIFS(E572:E747,K572:K747,"0",B572:B747,"5 1 2 4 6 12 31111 6 M78 15000 171 00I*")</f>
        <v>0</v>
      </c>
      <c r="E571" s="35"/>
      <c r="F571" s="34">
        <f>SUMIFS(F572:F747,K572:K747,"0",B572:B747,"5 1 2 4 6 12 31111 6 M78 15000 171 00I*")</f>
        <v>130684</v>
      </c>
      <c r="G571" s="34">
        <f>SUMIFS(G572:G747,K572:K747,"0",B572:B747,"5 1 2 4 6 12 31111 6 M78 15000 171 00I*")</f>
        <v>0</v>
      </c>
      <c r="H571" s="34">
        <f t="shared" si="11"/>
        <v>130684</v>
      </c>
      <c r="I571" s="34"/>
      <c r="K571" t="s">
        <v>15</v>
      </c>
    </row>
    <row r="572" spans="2:11" ht="22" x14ac:dyDescent="0.15">
      <c r="B572" s="33" t="s">
        <v>785</v>
      </c>
      <c r="C572" s="33" t="s">
        <v>455</v>
      </c>
      <c r="D572" s="34">
        <f>SUMIFS(D573:D747,K573:K747,"0",B573:B747,"5 1 2 4 6 12 31111 6 M78 15000 171 00I 001*")-SUMIFS(E573:E747,K573:K747,"0",B573:B747,"5 1 2 4 6 12 31111 6 M78 15000 171 00I 001*")</f>
        <v>0</v>
      </c>
      <c r="E572" s="35"/>
      <c r="F572" s="34">
        <f>SUMIFS(F573:F747,K573:K747,"0",B573:B747,"5 1 2 4 6 12 31111 6 M78 15000 171 00I 001*")</f>
        <v>130684</v>
      </c>
      <c r="G572" s="34">
        <f>SUMIFS(G573:G747,K573:K747,"0",B573:B747,"5 1 2 4 6 12 31111 6 M78 15000 171 00I 001*")</f>
        <v>0</v>
      </c>
      <c r="H572" s="34">
        <f t="shared" si="11"/>
        <v>130684</v>
      </c>
      <c r="I572" s="34"/>
      <c r="K572" t="s">
        <v>15</v>
      </c>
    </row>
    <row r="573" spans="2:11" ht="22" x14ac:dyDescent="0.15">
      <c r="B573" s="33" t="s">
        <v>786</v>
      </c>
      <c r="C573" s="33" t="s">
        <v>787</v>
      </c>
      <c r="D573" s="34">
        <f>SUMIFS(D574:D747,K574:K747,"0",B574:B747,"5 1 2 4 6 12 31111 6 M78 15000 171 00I 001 24601*")-SUMIFS(E574:E747,K574:K747,"0",B574:B747,"5 1 2 4 6 12 31111 6 M78 15000 171 00I 001 24601*")</f>
        <v>0</v>
      </c>
      <c r="E573" s="35"/>
      <c r="F573" s="34">
        <f>SUMIFS(F574:F747,K574:K747,"0",B574:B747,"5 1 2 4 6 12 31111 6 M78 15000 171 00I 001 24601*")</f>
        <v>130684</v>
      </c>
      <c r="G573" s="34">
        <f>SUMIFS(G574:G747,K574:K747,"0",B574:B747,"5 1 2 4 6 12 31111 6 M78 15000 171 00I 001 24601*")</f>
        <v>0</v>
      </c>
      <c r="H573" s="34">
        <f t="shared" si="11"/>
        <v>130684</v>
      </c>
      <c r="I573" s="34"/>
      <c r="K573" t="s">
        <v>15</v>
      </c>
    </row>
    <row r="574" spans="2:11" ht="22" x14ac:dyDescent="0.15">
      <c r="B574" s="33" t="s">
        <v>788</v>
      </c>
      <c r="C574" s="33" t="s">
        <v>173</v>
      </c>
      <c r="D574" s="34">
        <f>SUMIFS(D575:D747,K575:K747,"0",B575:B747,"5 1 2 4 6 12 31111 6 M78 15000 171 00I 001 24601 025*")-SUMIFS(E575:E747,K575:K747,"0",B575:B747,"5 1 2 4 6 12 31111 6 M78 15000 171 00I 001 24601 025*")</f>
        <v>0</v>
      </c>
      <c r="E574" s="35"/>
      <c r="F574" s="34">
        <f>SUMIFS(F575:F747,K575:K747,"0",B575:B747,"5 1 2 4 6 12 31111 6 M78 15000 171 00I 001 24601 025*")</f>
        <v>130684</v>
      </c>
      <c r="G574" s="34">
        <f>SUMIFS(G575:G747,K575:K747,"0",B575:B747,"5 1 2 4 6 12 31111 6 M78 15000 171 00I 001 24601 025*")</f>
        <v>0</v>
      </c>
      <c r="H574" s="34">
        <f t="shared" si="11"/>
        <v>130684</v>
      </c>
      <c r="I574" s="34"/>
      <c r="K574" t="s">
        <v>15</v>
      </c>
    </row>
    <row r="575" spans="2:11" ht="22" x14ac:dyDescent="0.15">
      <c r="B575" s="33" t="s">
        <v>789</v>
      </c>
      <c r="C575" s="33" t="s">
        <v>175</v>
      </c>
      <c r="D575" s="34">
        <f>SUMIFS(D576:D747,K576:K747,"0",B576:B747,"5 1 2 4 6 12 31111 6 M78 15000 171 00I 001 24601 025 2112000*")-SUMIFS(E576:E747,K576:K747,"0",B576:B747,"5 1 2 4 6 12 31111 6 M78 15000 171 00I 001 24601 025 2112000*")</f>
        <v>0</v>
      </c>
      <c r="E575" s="35"/>
      <c r="F575" s="34">
        <f>SUMIFS(F576:F747,K576:K747,"0",B576:B747,"5 1 2 4 6 12 31111 6 M78 15000 171 00I 001 24601 025 2112000*")</f>
        <v>130684</v>
      </c>
      <c r="G575" s="34">
        <f>SUMIFS(G576:G747,K576:K747,"0",B576:B747,"5 1 2 4 6 12 31111 6 M78 15000 171 00I 001 24601 025 2112000*")</f>
        <v>0</v>
      </c>
      <c r="H575" s="34">
        <f t="shared" si="11"/>
        <v>130684</v>
      </c>
      <c r="I575" s="34"/>
      <c r="K575" t="s">
        <v>15</v>
      </c>
    </row>
    <row r="576" spans="2:11" ht="33" x14ac:dyDescent="0.15">
      <c r="B576" s="33" t="s">
        <v>790</v>
      </c>
      <c r="C576" s="33" t="s">
        <v>318</v>
      </c>
      <c r="D576" s="34">
        <f>SUMIFS(D577:D747,K577:K747,"0",B577:B747,"5 1 2 4 6 12 31111 6 M78 15000 171 00I 001 24601 025 2112000 2024*")-SUMIFS(E577:E747,K577:K747,"0",B577:B747,"5 1 2 4 6 12 31111 6 M78 15000 171 00I 001 24601 025 2112000 2024*")</f>
        <v>0</v>
      </c>
      <c r="E576" s="35"/>
      <c r="F576" s="34">
        <f>SUMIFS(F577:F747,K577:K747,"0",B577:B747,"5 1 2 4 6 12 31111 6 M78 15000 171 00I 001 24601 025 2112000 2024*")</f>
        <v>130684</v>
      </c>
      <c r="G576" s="34">
        <f>SUMIFS(G577:G747,K577:K747,"0",B577:B747,"5 1 2 4 6 12 31111 6 M78 15000 171 00I 001 24601 025 2112000 2024*")</f>
        <v>0</v>
      </c>
      <c r="H576" s="34">
        <f t="shared" si="11"/>
        <v>130684</v>
      </c>
      <c r="I576" s="34"/>
      <c r="K576" t="s">
        <v>15</v>
      </c>
    </row>
    <row r="577" spans="2:11" ht="33" x14ac:dyDescent="0.15">
      <c r="B577" s="33" t="s">
        <v>791</v>
      </c>
      <c r="C577" s="33" t="s">
        <v>179</v>
      </c>
      <c r="D577" s="34">
        <f>SUMIFS(D578:D747,K578:K747,"0",B578:B747,"5 1 2 4 6 12 31111 6 M78 15000 171 00I 001 24601 025 2112000 2024 00000000*")-SUMIFS(E578:E747,K578:K747,"0",B578:B747,"5 1 2 4 6 12 31111 6 M78 15000 171 00I 001 24601 025 2112000 2024 00000000*")</f>
        <v>0</v>
      </c>
      <c r="E577" s="35"/>
      <c r="F577" s="34">
        <f>SUMIFS(F578:F747,K578:K747,"0",B578:B747,"5 1 2 4 6 12 31111 6 M78 15000 171 00I 001 24601 025 2112000 2024 00000000*")</f>
        <v>130684</v>
      </c>
      <c r="G577" s="34">
        <f>SUMIFS(G578:G747,K578:K747,"0",B578:B747,"5 1 2 4 6 12 31111 6 M78 15000 171 00I 001 24601 025 2112000 2024 00000000*")</f>
        <v>0</v>
      </c>
      <c r="H577" s="34">
        <f t="shared" si="11"/>
        <v>130684</v>
      </c>
      <c r="I577" s="34"/>
      <c r="K577" t="s">
        <v>15</v>
      </c>
    </row>
    <row r="578" spans="2:11" ht="33" x14ac:dyDescent="0.15">
      <c r="B578" s="33" t="s">
        <v>792</v>
      </c>
      <c r="C578" s="33" t="s">
        <v>9</v>
      </c>
      <c r="D578" s="34">
        <f>SUMIFS(D579:D747,K579:K747,"0",B579:B747,"5 1 2 4 6 12 31111 6 M78 15000 171 00I 001 24601 025 2112000 2024 00000000 003*")-SUMIFS(E579:E747,K579:K747,"0",B579:B747,"5 1 2 4 6 12 31111 6 M78 15000 171 00I 001 24601 025 2112000 2024 00000000 003*")</f>
        <v>0</v>
      </c>
      <c r="E578" s="35"/>
      <c r="F578" s="34">
        <f>SUMIFS(F579:F747,K579:K747,"0",B579:B747,"5 1 2 4 6 12 31111 6 M78 15000 171 00I 001 24601 025 2112000 2024 00000000 003*")</f>
        <v>130684</v>
      </c>
      <c r="G578" s="34">
        <f>SUMIFS(G579:G747,K579:K747,"0",B579:B747,"5 1 2 4 6 12 31111 6 M78 15000 171 00I 001 24601 025 2112000 2024 00000000 003*")</f>
        <v>0</v>
      </c>
      <c r="H578" s="34">
        <f t="shared" si="11"/>
        <v>130684</v>
      </c>
      <c r="I578" s="34"/>
      <c r="K578" t="s">
        <v>15</v>
      </c>
    </row>
    <row r="579" spans="2:11" ht="33" x14ac:dyDescent="0.15">
      <c r="B579" s="36" t="s">
        <v>793</v>
      </c>
      <c r="C579" s="36" t="s">
        <v>794</v>
      </c>
      <c r="D579" s="37">
        <v>0</v>
      </c>
      <c r="E579" s="37"/>
      <c r="F579" s="37">
        <v>130684</v>
      </c>
      <c r="G579" s="37">
        <v>0</v>
      </c>
      <c r="H579" s="37">
        <f t="shared" si="11"/>
        <v>130684</v>
      </c>
      <c r="I579" s="37"/>
      <c r="K579" t="s">
        <v>39</v>
      </c>
    </row>
    <row r="580" spans="2:11" ht="13" x14ac:dyDescent="0.15">
      <c r="B580" s="33" t="s">
        <v>795</v>
      </c>
      <c r="C580" s="33" t="s">
        <v>796</v>
      </c>
      <c r="D580" s="34">
        <f>SUMIFS(D581:D747,K581:K747,"0",B581:B747,"5 1 2 4 9*")-SUMIFS(E581:E747,K581:K747,"0",B581:B747,"5 1 2 4 9*")</f>
        <v>0</v>
      </c>
      <c r="E580" s="35"/>
      <c r="F580" s="34">
        <f>SUMIFS(F581:F747,K581:K747,"0",B581:B747,"5 1 2 4 9*")</f>
        <v>108700</v>
      </c>
      <c r="G580" s="34">
        <f>SUMIFS(G581:G747,K581:K747,"0",B581:B747,"5 1 2 4 9*")</f>
        <v>0</v>
      </c>
      <c r="H580" s="34">
        <f t="shared" si="11"/>
        <v>108700</v>
      </c>
      <c r="I580" s="34"/>
      <c r="K580" t="s">
        <v>15</v>
      </c>
    </row>
    <row r="581" spans="2:11" ht="13" x14ac:dyDescent="0.15">
      <c r="B581" s="33" t="s">
        <v>797</v>
      </c>
      <c r="C581" s="33" t="s">
        <v>26</v>
      </c>
      <c r="D581" s="34">
        <f>SUMIFS(D582:D747,K582:K747,"0",B582:B747,"5 1 2 4 9 12*")-SUMIFS(E582:E747,K582:K747,"0",B582:B747,"5 1 2 4 9 12*")</f>
        <v>0</v>
      </c>
      <c r="E581" s="35"/>
      <c r="F581" s="34">
        <f>SUMIFS(F582:F747,K582:K747,"0",B582:B747,"5 1 2 4 9 12*")</f>
        <v>108700</v>
      </c>
      <c r="G581" s="34">
        <f>SUMIFS(G582:G747,K582:K747,"0",B582:B747,"5 1 2 4 9 12*")</f>
        <v>0</v>
      </c>
      <c r="H581" s="34">
        <f t="shared" si="11"/>
        <v>108700</v>
      </c>
      <c r="I581" s="34"/>
      <c r="K581" t="s">
        <v>15</v>
      </c>
    </row>
    <row r="582" spans="2:11" ht="13" x14ac:dyDescent="0.15">
      <c r="B582" s="33" t="s">
        <v>798</v>
      </c>
      <c r="C582" s="33" t="s">
        <v>28</v>
      </c>
      <c r="D582" s="34">
        <f>SUMIFS(D583:D747,K583:K747,"0",B583:B747,"5 1 2 4 9 12 31111*")-SUMIFS(E583:E747,K583:K747,"0",B583:B747,"5 1 2 4 9 12 31111*")</f>
        <v>0</v>
      </c>
      <c r="E582" s="35"/>
      <c r="F582" s="34">
        <f>SUMIFS(F583:F747,K583:K747,"0",B583:B747,"5 1 2 4 9 12 31111*")</f>
        <v>108700</v>
      </c>
      <c r="G582" s="34">
        <f>SUMIFS(G583:G747,K583:K747,"0",B583:B747,"5 1 2 4 9 12 31111*")</f>
        <v>0</v>
      </c>
      <c r="H582" s="34">
        <f t="shared" si="11"/>
        <v>108700</v>
      </c>
      <c r="I582" s="34"/>
      <c r="K582" t="s">
        <v>15</v>
      </c>
    </row>
    <row r="583" spans="2:11" ht="13" x14ac:dyDescent="0.15">
      <c r="B583" s="33" t="s">
        <v>799</v>
      </c>
      <c r="C583" s="33" t="s">
        <v>30</v>
      </c>
      <c r="D583" s="34">
        <f>SUMIFS(D584:D747,K584:K747,"0",B584:B747,"5 1 2 4 9 12 31111 6*")-SUMIFS(E584:E747,K584:K747,"0",B584:B747,"5 1 2 4 9 12 31111 6*")</f>
        <v>0</v>
      </c>
      <c r="E583" s="35"/>
      <c r="F583" s="34">
        <f>SUMIFS(F584:F747,K584:K747,"0",B584:B747,"5 1 2 4 9 12 31111 6*")</f>
        <v>108700</v>
      </c>
      <c r="G583" s="34">
        <f>SUMIFS(G584:G747,K584:K747,"0",B584:B747,"5 1 2 4 9 12 31111 6*")</f>
        <v>0</v>
      </c>
      <c r="H583" s="34">
        <f t="shared" si="11"/>
        <v>108700</v>
      </c>
      <c r="I583" s="34"/>
      <c r="K583" t="s">
        <v>15</v>
      </c>
    </row>
    <row r="584" spans="2:11" ht="13" x14ac:dyDescent="0.15">
      <c r="B584" s="33" t="s">
        <v>800</v>
      </c>
      <c r="C584" s="33" t="s">
        <v>503</v>
      </c>
      <c r="D584" s="34">
        <f>SUMIFS(D585:D747,K585:K747,"0",B585:B747,"5 1 2 4 9 12 31111 6 M78*")-SUMIFS(E585:E747,K585:K747,"0",B585:B747,"5 1 2 4 9 12 31111 6 M78*")</f>
        <v>0</v>
      </c>
      <c r="E584" s="35"/>
      <c r="F584" s="34">
        <f>SUMIFS(F585:F747,K585:K747,"0",B585:B747,"5 1 2 4 9 12 31111 6 M78*")</f>
        <v>108700</v>
      </c>
      <c r="G584" s="34">
        <f>SUMIFS(G585:G747,K585:K747,"0",B585:B747,"5 1 2 4 9 12 31111 6 M78*")</f>
        <v>0</v>
      </c>
      <c r="H584" s="34">
        <f t="shared" ref="H584:H647" si="12">D584 + F584 - G584</f>
        <v>108700</v>
      </c>
      <c r="I584" s="34"/>
      <c r="K584" t="s">
        <v>15</v>
      </c>
    </row>
    <row r="585" spans="2:11" ht="13" x14ac:dyDescent="0.15">
      <c r="B585" s="33" t="s">
        <v>801</v>
      </c>
      <c r="C585" s="33" t="s">
        <v>163</v>
      </c>
      <c r="D585" s="34">
        <f>SUMIFS(D586:D747,K586:K747,"0",B586:B747,"5 1 2 4 9 12 31111 6 M78 15000*")-SUMIFS(E586:E747,K586:K747,"0",B586:B747,"5 1 2 4 9 12 31111 6 M78 15000*")</f>
        <v>0</v>
      </c>
      <c r="E585" s="35"/>
      <c r="F585" s="34">
        <f>SUMIFS(F586:F747,K586:K747,"0",B586:B747,"5 1 2 4 9 12 31111 6 M78 15000*")</f>
        <v>108700</v>
      </c>
      <c r="G585" s="34">
        <f>SUMIFS(G586:G747,K586:K747,"0",B586:B747,"5 1 2 4 9 12 31111 6 M78 15000*")</f>
        <v>0</v>
      </c>
      <c r="H585" s="34">
        <f t="shared" si="12"/>
        <v>108700</v>
      </c>
      <c r="I585" s="34"/>
      <c r="K585" t="s">
        <v>15</v>
      </c>
    </row>
    <row r="586" spans="2:11" ht="22" x14ac:dyDescent="0.15">
      <c r="B586" s="33" t="s">
        <v>802</v>
      </c>
      <c r="C586" s="33" t="s">
        <v>165</v>
      </c>
      <c r="D586" s="34">
        <f>SUMIFS(D587:D747,K587:K747,"0",B587:B747,"5 1 2 4 9 12 31111 6 M78 15000 171*")-SUMIFS(E587:E747,K587:K747,"0",B587:B747,"5 1 2 4 9 12 31111 6 M78 15000 171*")</f>
        <v>0</v>
      </c>
      <c r="E586" s="35"/>
      <c r="F586" s="34">
        <f>SUMIFS(F587:F747,K587:K747,"0",B587:B747,"5 1 2 4 9 12 31111 6 M78 15000 171*")</f>
        <v>108700</v>
      </c>
      <c r="G586" s="34">
        <f>SUMIFS(G587:G747,K587:K747,"0",B587:B747,"5 1 2 4 9 12 31111 6 M78 15000 171*")</f>
        <v>0</v>
      </c>
      <c r="H586" s="34">
        <f t="shared" si="12"/>
        <v>108700</v>
      </c>
      <c r="I586" s="34"/>
      <c r="K586" t="s">
        <v>15</v>
      </c>
    </row>
    <row r="587" spans="2:11" ht="22" x14ac:dyDescent="0.15">
      <c r="B587" s="33" t="s">
        <v>803</v>
      </c>
      <c r="C587" s="33" t="s">
        <v>167</v>
      </c>
      <c r="D587" s="34">
        <f>SUMIFS(D588:D747,K588:K747,"0",B588:B747,"5 1 2 4 9 12 31111 6 M78 15000 171 00I*")-SUMIFS(E588:E747,K588:K747,"0",B588:B747,"5 1 2 4 9 12 31111 6 M78 15000 171 00I*")</f>
        <v>0</v>
      </c>
      <c r="E587" s="35"/>
      <c r="F587" s="34">
        <f>SUMIFS(F588:F747,K588:K747,"0",B588:B747,"5 1 2 4 9 12 31111 6 M78 15000 171 00I*")</f>
        <v>108700</v>
      </c>
      <c r="G587" s="34">
        <f>SUMIFS(G588:G747,K588:K747,"0",B588:B747,"5 1 2 4 9 12 31111 6 M78 15000 171 00I*")</f>
        <v>0</v>
      </c>
      <c r="H587" s="34">
        <f t="shared" si="12"/>
        <v>108700</v>
      </c>
      <c r="I587" s="34"/>
      <c r="K587" t="s">
        <v>15</v>
      </c>
    </row>
    <row r="588" spans="2:11" ht="22" x14ac:dyDescent="0.15">
      <c r="B588" s="33" t="s">
        <v>804</v>
      </c>
      <c r="C588" s="33" t="s">
        <v>455</v>
      </c>
      <c r="D588" s="34">
        <f>SUMIFS(D589:D747,K589:K747,"0",B589:B747,"5 1 2 4 9 12 31111 6 M78 15000 171 00I 001*")-SUMIFS(E589:E747,K589:K747,"0",B589:B747,"5 1 2 4 9 12 31111 6 M78 15000 171 00I 001*")</f>
        <v>0</v>
      </c>
      <c r="E588" s="35"/>
      <c r="F588" s="34">
        <f>SUMIFS(F589:F747,K589:K747,"0",B589:B747,"5 1 2 4 9 12 31111 6 M78 15000 171 00I 001*")</f>
        <v>108700</v>
      </c>
      <c r="G588" s="34">
        <f>SUMIFS(G589:G747,K589:K747,"0",B589:B747,"5 1 2 4 9 12 31111 6 M78 15000 171 00I 001*")</f>
        <v>0</v>
      </c>
      <c r="H588" s="34">
        <f t="shared" si="12"/>
        <v>108700</v>
      </c>
      <c r="I588" s="34"/>
      <c r="K588" t="s">
        <v>15</v>
      </c>
    </row>
    <row r="589" spans="2:11" ht="22" x14ac:dyDescent="0.15">
      <c r="B589" s="33" t="s">
        <v>805</v>
      </c>
      <c r="C589" s="33" t="s">
        <v>806</v>
      </c>
      <c r="D589" s="34">
        <f>SUMIFS(D590:D747,K590:K747,"0",B590:B747,"5 1 2 4 9 12 31111 6 M78 15000 171 00I 001 24901*")-SUMIFS(E590:E747,K590:K747,"0",B590:B747,"5 1 2 4 9 12 31111 6 M78 15000 171 00I 001 24901*")</f>
        <v>0</v>
      </c>
      <c r="E589" s="35"/>
      <c r="F589" s="34">
        <f>SUMIFS(F590:F747,K590:K747,"0",B590:B747,"5 1 2 4 9 12 31111 6 M78 15000 171 00I 001 24901*")</f>
        <v>108700</v>
      </c>
      <c r="G589" s="34">
        <f>SUMIFS(G590:G747,K590:K747,"0",B590:B747,"5 1 2 4 9 12 31111 6 M78 15000 171 00I 001 24901*")</f>
        <v>0</v>
      </c>
      <c r="H589" s="34">
        <f t="shared" si="12"/>
        <v>108700</v>
      </c>
      <c r="I589" s="34"/>
      <c r="K589" t="s">
        <v>15</v>
      </c>
    </row>
    <row r="590" spans="2:11" ht="22" x14ac:dyDescent="0.15">
      <c r="B590" s="33" t="s">
        <v>807</v>
      </c>
      <c r="C590" s="33" t="s">
        <v>173</v>
      </c>
      <c r="D590" s="34">
        <f>SUMIFS(D591:D747,K591:K747,"0",B591:B747,"5 1 2 4 9 12 31111 6 M78 15000 171 00I 001 24901 025*")-SUMIFS(E591:E747,K591:K747,"0",B591:B747,"5 1 2 4 9 12 31111 6 M78 15000 171 00I 001 24901 025*")</f>
        <v>0</v>
      </c>
      <c r="E590" s="35"/>
      <c r="F590" s="34">
        <f>SUMIFS(F591:F747,K591:K747,"0",B591:B747,"5 1 2 4 9 12 31111 6 M78 15000 171 00I 001 24901 025*")</f>
        <v>108700</v>
      </c>
      <c r="G590" s="34">
        <f>SUMIFS(G591:G747,K591:K747,"0",B591:B747,"5 1 2 4 9 12 31111 6 M78 15000 171 00I 001 24901 025*")</f>
        <v>0</v>
      </c>
      <c r="H590" s="34">
        <f t="shared" si="12"/>
        <v>108700</v>
      </c>
      <c r="I590" s="34"/>
      <c r="K590" t="s">
        <v>15</v>
      </c>
    </row>
    <row r="591" spans="2:11" ht="22" x14ac:dyDescent="0.15">
      <c r="B591" s="33" t="s">
        <v>808</v>
      </c>
      <c r="C591" s="33" t="s">
        <v>175</v>
      </c>
      <c r="D591" s="34">
        <f>SUMIFS(D592:D747,K592:K747,"0",B592:B747,"5 1 2 4 9 12 31111 6 M78 15000 171 00I 001 24901 025 2112000*")-SUMIFS(E592:E747,K592:K747,"0",B592:B747,"5 1 2 4 9 12 31111 6 M78 15000 171 00I 001 24901 025 2112000*")</f>
        <v>0</v>
      </c>
      <c r="E591" s="35"/>
      <c r="F591" s="34">
        <f>SUMIFS(F592:F747,K592:K747,"0",B592:B747,"5 1 2 4 9 12 31111 6 M78 15000 171 00I 001 24901 025 2112000*")</f>
        <v>108700</v>
      </c>
      <c r="G591" s="34">
        <f>SUMIFS(G592:G747,K592:K747,"0",B592:B747,"5 1 2 4 9 12 31111 6 M78 15000 171 00I 001 24901 025 2112000*")</f>
        <v>0</v>
      </c>
      <c r="H591" s="34">
        <f t="shared" si="12"/>
        <v>108700</v>
      </c>
      <c r="I591" s="34"/>
      <c r="K591" t="s">
        <v>15</v>
      </c>
    </row>
    <row r="592" spans="2:11" ht="33" x14ac:dyDescent="0.15">
      <c r="B592" s="33" t="s">
        <v>809</v>
      </c>
      <c r="C592" s="33" t="s">
        <v>318</v>
      </c>
      <c r="D592" s="34">
        <f>SUMIFS(D593:D747,K593:K747,"0",B593:B747,"5 1 2 4 9 12 31111 6 M78 15000 171 00I 001 24901 025 2112000 2024*")-SUMIFS(E593:E747,K593:K747,"0",B593:B747,"5 1 2 4 9 12 31111 6 M78 15000 171 00I 001 24901 025 2112000 2024*")</f>
        <v>0</v>
      </c>
      <c r="E592" s="35"/>
      <c r="F592" s="34">
        <f>SUMIFS(F593:F747,K593:K747,"0",B593:B747,"5 1 2 4 9 12 31111 6 M78 15000 171 00I 001 24901 025 2112000 2024*")</f>
        <v>108700</v>
      </c>
      <c r="G592" s="34">
        <f>SUMIFS(G593:G747,K593:K747,"0",B593:B747,"5 1 2 4 9 12 31111 6 M78 15000 171 00I 001 24901 025 2112000 2024*")</f>
        <v>0</v>
      </c>
      <c r="H592" s="34">
        <f t="shared" si="12"/>
        <v>108700</v>
      </c>
      <c r="I592" s="34"/>
      <c r="K592" t="s">
        <v>15</v>
      </c>
    </row>
    <row r="593" spans="2:11" ht="33" x14ac:dyDescent="0.15">
      <c r="B593" s="33" t="s">
        <v>810</v>
      </c>
      <c r="C593" s="33" t="s">
        <v>179</v>
      </c>
      <c r="D593" s="34">
        <f>SUMIFS(D594:D747,K594:K747,"0",B594:B747,"5 1 2 4 9 12 31111 6 M78 15000 171 00I 001 24901 025 2112000 2024 00000000*")-SUMIFS(E594:E747,K594:K747,"0",B594:B747,"5 1 2 4 9 12 31111 6 M78 15000 171 00I 001 24901 025 2112000 2024 00000000*")</f>
        <v>0</v>
      </c>
      <c r="E593" s="35"/>
      <c r="F593" s="34">
        <f>SUMIFS(F594:F747,K594:K747,"0",B594:B747,"5 1 2 4 9 12 31111 6 M78 15000 171 00I 001 24901 025 2112000 2024 00000000*")</f>
        <v>108700</v>
      </c>
      <c r="G593" s="34">
        <f>SUMIFS(G594:G747,K594:K747,"0",B594:B747,"5 1 2 4 9 12 31111 6 M78 15000 171 00I 001 24901 025 2112000 2024 00000000*")</f>
        <v>0</v>
      </c>
      <c r="H593" s="34">
        <f t="shared" si="12"/>
        <v>108700</v>
      </c>
      <c r="I593" s="34"/>
      <c r="K593" t="s">
        <v>15</v>
      </c>
    </row>
    <row r="594" spans="2:11" ht="33" x14ac:dyDescent="0.15">
      <c r="B594" s="33" t="s">
        <v>811</v>
      </c>
      <c r="C594" s="33" t="s">
        <v>9</v>
      </c>
      <c r="D594" s="34">
        <f>SUMIFS(D595:D747,K595:K747,"0",B595:B747,"5 1 2 4 9 12 31111 6 M78 15000 171 00I 001 24901 025 2112000 2024 00000000 003*")-SUMIFS(E595:E747,K595:K747,"0",B595:B747,"5 1 2 4 9 12 31111 6 M78 15000 171 00I 001 24901 025 2112000 2024 00000000 003*")</f>
        <v>0</v>
      </c>
      <c r="E594" s="35"/>
      <c r="F594" s="34">
        <f>SUMIFS(F595:F747,K595:K747,"0",B595:B747,"5 1 2 4 9 12 31111 6 M78 15000 171 00I 001 24901 025 2112000 2024 00000000 003*")</f>
        <v>108700</v>
      </c>
      <c r="G594" s="34">
        <f>SUMIFS(G595:G747,K595:K747,"0",B595:B747,"5 1 2 4 9 12 31111 6 M78 15000 171 00I 001 24901 025 2112000 2024 00000000 003*")</f>
        <v>0</v>
      </c>
      <c r="H594" s="34">
        <f t="shared" si="12"/>
        <v>108700</v>
      </c>
      <c r="I594" s="34"/>
      <c r="K594" t="s">
        <v>15</v>
      </c>
    </row>
    <row r="595" spans="2:11" ht="33" x14ac:dyDescent="0.15">
      <c r="B595" s="36" t="s">
        <v>812</v>
      </c>
      <c r="C595" s="36" t="s">
        <v>813</v>
      </c>
      <c r="D595" s="37">
        <v>0</v>
      </c>
      <c r="E595" s="37"/>
      <c r="F595" s="37">
        <v>108700</v>
      </c>
      <c r="G595" s="37">
        <v>0</v>
      </c>
      <c r="H595" s="37">
        <f t="shared" si="12"/>
        <v>108700</v>
      </c>
      <c r="I595" s="37"/>
      <c r="K595" t="s">
        <v>39</v>
      </c>
    </row>
    <row r="596" spans="2:11" ht="13" x14ac:dyDescent="0.15">
      <c r="B596" s="33" t="s">
        <v>814</v>
      </c>
      <c r="C596" s="33" t="s">
        <v>815</v>
      </c>
      <c r="D596" s="34">
        <f>SUMIFS(D597:D747,K597:K747,"0",B597:B747,"5 1 2 6*")-SUMIFS(E597:E747,K597:K747,"0",B597:B747,"5 1 2 6*")</f>
        <v>0</v>
      </c>
      <c r="E596" s="35"/>
      <c r="F596" s="34">
        <f>SUMIFS(F597:F747,K597:K747,"0",B597:B747,"5 1 2 6*")</f>
        <v>274017.32</v>
      </c>
      <c r="G596" s="34">
        <f>SUMIFS(G597:G747,K597:K747,"0",B597:B747,"5 1 2 6*")</f>
        <v>0</v>
      </c>
      <c r="H596" s="34">
        <f t="shared" si="12"/>
        <v>274017.32</v>
      </c>
      <c r="I596" s="34"/>
      <c r="K596" t="s">
        <v>15</v>
      </c>
    </row>
    <row r="597" spans="2:11" ht="13" x14ac:dyDescent="0.15">
      <c r="B597" s="33" t="s">
        <v>816</v>
      </c>
      <c r="C597" s="33" t="s">
        <v>815</v>
      </c>
      <c r="D597" s="34">
        <f>SUMIFS(D598:D747,K598:K747,"0",B598:B747,"5 1 2 6 1*")-SUMIFS(E598:E747,K598:K747,"0",B598:B747,"5 1 2 6 1*")</f>
        <v>0</v>
      </c>
      <c r="E597" s="35"/>
      <c r="F597" s="34">
        <f>SUMIFS(F598:F747,K598:K747,"0",B598:B747,"5 1 2 6 1*")</f>
        <v>274017.32</v>
      </c>
      <c r="G597" s="34">
        <f>SUMIFS(G598:G747,K598:K747,"0",B598:B747,"5 1 2 6 1*")</f>
        <v>0</v>
      </c>
      <c r="H597" s="34">
        <f t="shared" si="12"/>
        <v>274017.32</v>
      </c>
      <c r="I597" s="34"/>
      <c r="K597" t="s">
        <v>15</v>
      </c>
    </row>
    <row r="598" spans="2:11" ht="13" x14ac:dyDescent="0.15">
      <c r="B598" s="33" t="s">
        <v>817</v>
      </c>
      <c r="C598" s="33" t="s">
        <v>26</v>
      </c>
      <c r="D598" s="34">
        <f>SUMIFS(D599:D747,K599:K747,"0",B599:B747,"5 1 2 6 1 12*")-SUMIFS(E599:E747,K599:K747,"0",B599:B747,"5 1 2 6 1 12*")</f>
        <v>0</v>
      </c>
      <c r="E598" s="35"/>
      <c r="F598" s="34">
        <f>SUMIFS(F599:F747,K599:K747,"0",B599:B747,"5 1 2 6 1 12*")</f>
        <v>274017.32</v>
      </c>
      <c r="G598" s="34">
        <f>SUMIFS(G599:G747,K599:K747,"0",B599:B747,"5 1 2 6 1 12*")</f>
        <v>0</v>
      </c>
      <c r="H598" s="34">
        <f t="shared" si="12"/>
        <v>274017.32</v>
      </c>
      <c r="I598" s="34"/>
      <c r="K598" t="s">
        <v>15</v>
      </c>
    </row>
    <row r="599" spans="2:11" ht="13" x14ac:dyDescent="0.15">
      <c r="B599" s="33" t="s">
        <v>818</v>
      </c>
      <c r="C599" s="33" t="s">
        <v>28</v>
      </c>
      <c r="D599" s="34">
        <f>SUMIFS(D600:D747,K600:K747,"0",B600:B747,"5 1 2 6 1 12 31111*")-SUMIFS(E600:E747,K600:K747,"0",B600:B747,"5 1 2 6 1 12 31111*")</f>
        <v>0</v>
      </c>
      <c r="E599" s="35"/>
      <c r="F599" s="34">
        <f>SUMIFS(F600:F747,K600:K747,"0",B600:B747,"5 1 2 6 1 12 31111*")</f>
        <v>274017.32</v>
      </c>
      <c r="G599" s="34">
        <f>SUMIFS(G600:G747,K600:K747,"0",B600:B747,"5 1 2 6 1 12 31111*")</f>
        <v>0</v>
      </c>
      <c r="H599" s="34">
        <f t="shared" si="12"/>
        <v>274017.32</v>
      </c>
      <c r="I599" s="34"/>
      <c r="K599" t="s">
        <v>15</v>
      </c>
    </row>
    <row r="600" spans="2:11" ht="13" x14ac:dyDescent="0.15">
      <c r="B600" s="33" t="s">
        <v>819</v>
      </c>
      <c r="C600" s="33" t="s">
        <v>30</v>
      </c>
      <c r="D600" s="34">
        <f>SUMIFS(D601:D747,K601:K747,"0",B601:B747,"5 1 2 6 1 12 31111 6*")-SUMIFS(E601:E747,K601:K747,"0",B601:B747,"5 1 2 6 1 12 31111 6*")</f>
        <v>0</v>
      </c>
      <c r="E600" s="35"/>
      <c r="F600" s="34">
        <f>SUMIFS(F601:F747,K601:K747,"0",B601:B747,"5 1 2 6 1 12 31111 6*")</f>
        <v>274017.32</v>
      </c>
      <c r="G600" s="34">
        <f>SUMIFS(G601:G747,K601:K747,"0",B601:B747,"5 1 2 6 1 12 31111 6*")</f>
        <v>0</v>
      </c>
      <c r="H600" s="34">
        <f t="shared" si="12"/>
        <v>274017.32</v>
      </c>
      <c r="I600" s="34"/>
      <c r="K600" t="s">
        <v>15</v>
      </c>
    </row>
    <row r="601" spans="2:11" ht="13" x14ac:dyDescent="0.15">
      <c r="B601" s="33" t="s">
        <v>820</v>
      </c>
      <c r="C601" s="33" t="s">
        <v>503</v>
      </c>
      <c r="D601" s="34">
        <f>SUMIFS(D602:D747,K602:K747,"0",B602:B747,"5 1 2 6 1 12 31111 6 M78*")-SUMIFS(E602:E747,K602:K747,"0",B602:B747,"5 1 2 6 1 12 31111 6 M78*")</f>
        <v>0</v>
      </c>
      <c r="E601" s="35"/>
      <c r="F601" s="34">
        <f>SUMIFS(F602:F747,K602:K747,"0",B602:B747,"5 1 2 6 1 12 31111 6 M78*")</f>
        <v>274017.32</v>
      </c>
      <c r="G601" s="34">
        <f>SUMIFS(G602:G747,K602:K747,"0",B602:B747,"5 1 2 6 1 12 31111 6 M78*")</f>
        <v>0</v>
      </c>
      <c r="H601" s="34">
        <f t="shared" si="12"/>
        <v>274017.32</v>
      </c>
      <c r="I601" s="34"/>
      <c r="K601" t="s">
        <v>15</v>
      </c>
    </row>
    <row r="602" spans="2:11" ht="13" x14ac:dyDescent="0.15">
      <c r="B602" s="33" t="s">
        <v>821</v>
      </c>
      <c r="C602" s="33" t="s">
        <v>163</v>
      </c>
      <c r="D602" s="34">
        <f>SUMIFS(D603:D747,K603:K747,"0",B603:B747,"5 1 2 6 1 12 31111 6 M78 15000*")-SUMIFS(E603:E747,K603:K747,"0",B603:B747,"5 1 2 6 1 12 31111 6 M78 15000*")</f>
        <v>0</v>
      </c>
      <c r="E602" s="35"/>
      <c r="F602" s="34">
        <f>SUMIFS(F603:F747,K603:K747,"0",B603:B747,"5 1 2 6 1 12 31111 6 M78 15000*")</f>
        <v>274017.32</v>
      </c>
      <c r="G602" s="34">
        <f>SUMIFS(G603:G747,K603:K747,"0",B603:B747,"5 1 2 6 1 12 31111 6 M78 15000*")</f>
        <v>0</v>
      </c>
      <c r="H602" s="34">
        <f t="shared" si="12"/>
        <v>274017.32</v>
      </c>
      <c r="I602" s="34"/>
      <c r="K602" t="s">
        <v>15</v>
      </c>
    </row>
    <row r="603" spans="2:11" ht="22" x14ac:dyDescent="0.15">
      <c r="B603" s="33" t="s">
        <v>822</v>
      </c>
      <c r="C603" s="33" t="s">
        <v>165</v>
      </c>
      <c r="D603" s="34">
        <f>SUMIFS(D604:D747,K604:K747,"0",B604:B747,"5 1 2 6 1 12 31111 6 M78 15000 171*")-SUMIFS(E604:E747,K604:K747,"0",B604:B747,"5 1 2 6 1 12 31111 6 M78 15000 171*")</f>
        <v>0</v>
      </c>
      <c r="E603" s="35"/>
      <c r="F603" s="34">
        <f>SUMIFS(F604:F747,K604:K747,"0",B604:B747,"5 1 2 6 1 12 31111 6 M78 15000 171*")</f>
        <v>274017.32</v>
      </c>
      <c r="G603" s="34">
        <f>SUMIFS(G604:G747,K604:K747,"0",B604:B747,"5 1 2 6 1 12 31111 6 M78 15000 171*")</f>
        <v>0</v>
      </c>
      <c r="H603" s="34">
        <f t="shared" si="12"/>
        <v>274017.32</v>
      </c>
      <c r="I603" s="34"/>
      <c r="K603" t="s">
        <v>15</v>
      </c>
    </row>
    <row r="604" spans="2:11" ht="22" x14ac:dyDescent="0.15">
      <c r="B604" s="33" t="s">
        <v>823</v>
      </c>
      <c r="C604" s="33" t="s">
        <v>167</v>
      </c>
      <c r="D604" s="34">
        <f>SUMIFS(D605:D747,K605:K747,"0",B605:B747,"5 1 2 6 1 12 31111 6 M78 15000 171 00I*")-SUMIFS(E605:E747,K605:K747,"0",B605:B747,"5 1 2 6 1 12 31111 6 M78 15000 171 00I*")</f>
        <v>0</v>
      </c>
      <c r="E604" s="35"/>
      <c r="F604" s="34">
        <f>SUMIFS(F605:F747,K605:K747,"0",B605:B747,"5 1 2 6 1 12 31111 6 M78 15000 171 00I*")</f>
        <v>274017.32</v>
      </c>
      <c r="G604" s="34">
        <f>SUMIFS(G605:G747,K605:K747,"0",B605:B747,"5 1 2 6 1 12 31111 6 M78 15000 171 00I*")</f>
        <v>0</v>
      </c>
      <c r="H604" s="34">
        <f t="shared" si="12"/>
        <v>274017.32</v>
      </c>
      <c r="I604" s="34"/>
      <c r="K604" t="s">
        <v>15</v>
      </c>
    </row>
    <row r="605" spans="2:11" ht="22" x14ac:dyDescent="0.15">
      <c r="B605" s="33" t="s">
        <v>824</v>
      </c>
      <c r="C605" s="33" t="s">
        <v>455</v>
      </c>
      <c r="D605" s="34">
        <f>SUMIFS(D606:D747,K606:K747,"0",B606:B747,"5 1 2 6 1 12 31111 6 M78 15000 171 00I 001*")-SUMIFS(E606:E747,K606:K747,"0",B606:B747,"5 1 2 6 1 12 31111 6 M78 15000 171 00I 001*")</f>
        <v>0</v>
      </c>
      <c r="E605" s="35"/>
      <c r="F605" s="34">
        <f>SUMIFS(F606:F747,K606:K747,"0",B606:B747,"5 1 2 6 1 12 31111 6 M78 15000 171 00I 001*")</f>
        <v>274017.32</v>
      </c>
      <c r="G605" s="34">
        <f>SUMIFS(G606:G747,K606:K747,"0",B606:B747,"5 1 2 6 1 12 31111 6 M78 15000 171 00I 001*")</f>
        <v>0</v>
      </c>
      <c r="H605" s="34">
        <f t="shared" si="12"/>
        <v>274017.32</v>
      </c>
      <c r="I605" s="34"/>
      <c r="K605" t="s">
        <v>15</v>
      </c>
    </row>
    <row r="606" spans="2:11" ht="33" x14ac:dyDescent="0.15">
      <c r="B606" s="33" t="s">
        <v>825</v>
      </c>
      <c r="C606" s="33" t="s">
        <v>826</v>
      </c>
      <c r="D606" s="34">
        <f>SUMIFS(D607:D747,K607:K747,"0",B607:B747,"5 1 2 6 1 12 31111 6 M78 15000 171 00I 001 26101*")-SUMIFS(E607:E747,K607:K747,"0",B607:B747,"5 1 2 6 1 12 31111 6 M78 15000 171 00I 001 26101*")</f>
        <v>0</v>
      </c>
      <c r="E606" s="35"/>
      <c r="F606" s="34">
        <f>SUMIFS(F607:F747,K607:K747,"0",B607:B747,"5 1 2 6 1 12 31111 6 M78 15000 171 00I 001 26101*")</f>
        <v>274017.32</v>
      </c>
      <c r="G606" s="34">
        <f>SUMIFS(G607:G747,K607:K747,"0",B607:B747,"5 1 2 6 1 12 31111 6 M78 15000 171 00I 001 26101*")</f>
        <v>0</v>
      </c>
      <c r="H606" s="34">
        <f t="shared" si="12"/>
        <v>274017.32</v>
      </c>
      <c r="I606" s="34"/>
      <c r="K606" t="s">
        <v>15</v>
      </c>
    </row>
    <row r="607" spans="2:11" ht="22" x14ac:dyDescent="0.15">
      <c r="B607" s="33" t="s">
        <v>827</v>
      </c>
      <c r="C607" s="33" t="s">
        <v>173</v>
      </c>
      <c r="D607" s="34">
        <f>SUMIFS(D608:D747,K608:K747,"0",B608:B747,"5 1 2 6 1 12 31111 6 M78 15000 171 00I 001 26101 025*")-SUMIFS(E608:E747,K608:K747,"0",B608:B747,"5 1 2 6 1 12 31111 6 M78 15000 171 00I 001 26101 025*")</f>
        <v>0</v>
      </c>
      <c r="E607" s="35"/>
      <c r="F607" s="34">
        <f>SUMIFS(F608:F747,K608:K747,"0",B608:B747,"5 1 2 6 1 12 31111 6 M78 15000 171 00I 001 26101 025*")</f>
        <v>274017.32</v>
      </c>
      <c r="G607" s="34">
        <f>SUMIFS(G608:G747,K608:K747,"0",B608:B747,"5 1 2 6 1 12 31111 6 M78 15000 171 00I 001 26101 025*")</f>
        <v>0</v>
      </c>
      <c r="H607" s="34">
        <f t="shared" si="12"/>
        <v>274017.32</v>
      </c>
      <c r="I607" s="34"/>
      <c r="K607" t="s">
        <v>15</v>
      </c>
    </row>
    <row r="608" spans="2:11" ht="22" x14ac:dyDescent="0.15">
      <c r="B608" s="33" t="s">
        <v>828</v>
      </c>
      <c r="C608" s="33" t="s">
        <v>175</v>
      </c>
      <c r="D608" s="34">
        <f>SUMIFS(D609:D747,K609:K747,"0",B609:B747,"5 1 2 6 1 12 31111 6 M78 15000 171 00I 001 26101 025 2112000*")-SUMIFS(E609:E747,K609:K747,"0",B609:B747,"5 1 2 6 1 12 31111 6 M78 15000 171 00I 001 26101 025 2112000*")</f>
        <v>0</v>
      </c>
      <c r="E608" s="35"/>
      <c r="F608" s="34">
        <f>SUMIFS(F609:F747,K609:K747,"0",B609:B747,"5 1 2 6 1 12 31111 6 M78 15000 171 00I 001 26101 025 2112000*")</f>
        <v>274017.32</v>
      </c>
      <c r="G608" s="34">
        <f>SUMIFS(G609:G747,K609:K747,"0",B609:B747,"5 1 2 6 1 12 31111 6 M78 15000 171 00I 001 26101 025 2112000*")</f>
        <v>0</v>
      </c>
      <c r="H608" s="34">
        <f t="shared" si="12"/>
        <v>274017.32</v>
      </c>
      <c r="I608" s="34"/>
      <c r="K608" t="s">
        <v>15</v>
      </c>
    </row>
    <row r="609" spans="2:11" ht="33" x14ac:dyDescent="0.15">
      <c r="B609" s="33" t="s">
        <v>829</v>
      </c>
      <c r="C609" s="33" t="s">
        <v>318</v>
      </c>
      <c r="D609" s="34">
        <f>SUMIFS(D610:D747,K610:K747,"0",B610:B747,"5 1 2 6 1 12 31111 6 M78 15000 171 00I 001 26101 025 2112000 2024*")-SUMIFS(E610:E747,K610:K747,"0",B610:B747,"5 1 2 6 1 12 31111 6 M78 15000 171 00I 001 26101 025 2112000 2024*")</f>
        <v>0</v>
      </c>
      <c r="E609" s="35"/>
      <c r="F609" s="34">
        <f>SUMIFS(F610:F747,K610:K747,"0",B610:B747,"5 1 2 6 1 12 31111 6 M78 15000 171 00I 001 26101 025 2112000 2024*")</f>
        <v>274017.32</v>
      </c>
      <c r="G609" s="34">
        <f>SUMIFS(G610:G747,K610:K747,"0",B610:B747,"5 1 2 6 1 12 31111 6 M78 15000 171 00I 001 26101 025 2112000 2024*")</f>
        <v>0</v>
      </c>
      <c r="H609" s="34">
        <f t="shared" si="12"/>
        <v>274017.32</v>
      </c>
      <c r="I609" s="34"/>
      <c r="K609" t="s">
        <v>15</v>
      </c>
    </row>
    <row r="610" spans="2:11" ht="33" x14ac:dyDescent="0.15">
      <c r="B610" s="33" t="s">
        <v>830</v>
      </c>
      <c r="C610" s="33" t="s">
        <v>179</v>
      </c>
      <c r="D610" s="34">
        <f>SUMIFS(D611:D747,K611:K747,"0",B611:B747,"5 1 2 6 1 12 31111 6 M78 15000 171 00I 001 26101 025 2112000 2024 00000000*")-SUMIFS(E611:E747,K611:K747,"0",B611:B747,"5 1 2 6 1 12 31111 6 M78 15000 171 00I 001 26101 025 2112000 2024 00000000*")</f>
        <v>0</v>
      </c>
      <c r="E610" s="35"/>
      <c r="F610" s="34">
        <f>SUMIFS(F611:F747,K611:K747,"0",B611:B747,"5 1 2 6 1 12 31111 6 M78 15000 171 00I 001 26101 025 2112000 2024 00000000*")</f>
        <v>274017.32</v>
      </c>
      <c r="G610" s="34">
        <f>SUMIFS(G611:G747,K611:K747,"0",B611:B747,"5 1 2 6 1 12 31111 6 M78 15000 171 00I 001 26101 025 2112000 2024 00000000*")</f>
        <v>0</v>
      </c>
      <c r="H610" s="34">
        <f t="shared" si="12"/>
        <v>274017.32</v>
      </c>
      <c r="I610" s="34"/>
      <c r="K610" t="s">
        <v>15</v>
      </c>
    </row>
    <row r="611" spans="2:11" ht="33" x14ac:dyDescent="0.15">
      <c r="B611" s="33" t="s">
        <v>831</v>
      </c>
      <c r="C611" s="33" t="s">
        <v>9</v>
      </c>
      <c r="D611" s="34">
        <f>SUMIFS(D612:D747,K612:K747,"0",B612:B747,"5 1 2 6 1 12 31111 6 M78 15000 171 00I 001 26101 025 2112000 2024 00000000 003*")-SUMIFS(E612:E747,K612:K747,"0",B612:B747,"5 1 2 6 1 12 31111 6 M78 15000 171 00I 001 26101 025 2112000 2024 00000000 003*")</f>
        <v>0</v>
      </c>
      <c r="E611" s="35"/>
      <c r="F611" s="34">
        <f>SUMIFS(F612:F747,K612:K747,"0",B612:B747,"5 1 2 6 1 12 31111 6 M78 15000 171 00I 001 26101 025 2112000 2024 00000000 003*")</f>
        <v>274017.32</v>
      </c>
      <c r="G611" s="34">
        <f>SUMIFS(G612:G747,K612:K747,"0",B612:B747,"5 1 2 6 1 12 31111 6 M78 15000 171 00I 001 26101 025 2112000 2024 00000000 003*")</f>
        <v>0</v>
      </c>
      <c r="H611" s="34">
        <f t="shared" si="12"/>
        <v>274017.32</v>
      </c>
      <c r="I611" s="34"/>
      <c r="K611" t="s">
        <v>15</v>
      </c>
    </row>
    <row r="612" spans="2:11" ht="33" x14ac:dyDescent="0.15">
      <c r="B612" s="36" t="s">
        <v>832</v>
      </c>
      <c r="C612" s="36" t="s">
        <v>833</v>
      </c>
      <c r="D612" s="37">
        <v>0</v>
      </c>
      <c r="E612" s="37"/>
      <c r="F612" s="37">
        <v>274017.32</v>
      </c>
      <c r="G612" s="37">
        <v>0</v>
      </c>
      <c r="H612" s="37">
        <f t="shared" si="12"/>
        <v>274017.32</v>
      </c>
      <c r="I612" s="37"/>
      <c r="K612" t="s">
        <v>39</v>
      </c>
    </row>
    <row r="613" spans="2:11" ht="13" x14ac:dyDescent="0.15">
      <c r="B613" s="33" t="s">
        <v>834</v>
      </c>
      <c r="C613" s="33" t="s">
        <v>835</v>
      </c>
      <c r="D613" s="34">
        <f>SUMIFS(D614:D747,K614:K747,"0",B614:B747,"5 1 2 7*")-SUMIFS(E614:E747,K614:K747,"0",B614:B747,"5 1 2 7*")</f>
        <v>0</v>
      </c>
      <c r="E613" s="35"/>
      <c r="F613" s="34">
        <f>SUMIFS(F614:F747,K614:K747,"0",B614:B747,"5 1 2 7*")</f>
        <v>74541.600000000006</v>
      </c>
      <c r="G613" s="34">
        <f>SUMIFS(G614:G747,K614:K747,"0",B614:B747,"5 1 2 7*")</f>
        <v>0</v>
      </c>
      <c r="H613" s="34">
        <f t="shared" si="12"/>
        <v>74541.600000000006</v>
      </c>
      <c r="I613" s="34"/>
      <c r="K613" t="s">
        <v>15</v>
      </c>
    </row>
    <row r="614" spans="2:11" ht="13" x14ac:dyDescent="0.15">
      <c r="B614" s="33" t="s">
        <v>836</v>
      </c>
      <c r="C614" s="33" t="s">
        <v>837</v>
      </c>
      <c r="D614" s="34">
        <f>SUMIFS(D615:D747,K615:K747,"0",B615:B747,"5 1 2 7 2*")-SUMIFS(E615:E747,K615:K747,"0",B615:B747,"5 1 2 7 2*")</f>
        <v>0</v>
      </c>
      <c r="E614" s="35"/>
      <c r="F614" s="34">
        <f>SUMIFS(F615:F747,K615:K747,"0",B615:B747,"5 1 2 7 2*")</f>
        <v>74541.600000000006</v>
      </c>
      <c r="G614" s="34">
        <f>SUMIFS(G615:G747,K615:K747,"0",B615:B747,"5 1 2 7 2*")</f>
        <v>0</v>
      </c>
      <c r="H614" s="34">
        <f t="shared" si="12"/>
        <v>74541.600000000006</v>
      </c>
      <c r="I614" s="34"/>
      <c r="K614" t="s">
        <v>15</v>
      </c>
    </row>
    <row r="615" spans="2:11" ht="13" x14ac:dyDescent="0.15">
      <c r="B615" s="33" t="s">
        <v>838</v>
      </c>
      <c r="C615" s="33" t="s">
        <v>26</v>
      </c>
      <c r="D615" s="34">
        <f>SUMIFS(D616:D747,K616:K747,"0",B616:B747,"5 1 2 7 2 12*")-SUMIFS(E616:E747,K616:K747,"0",B616:B747,"5 1 2 7 2 12*")</f>
        <v>0</v>
      </c>
      <c r="E615" s="35"/>
      <c r="F615" s="34">
        <f>SUMIFS(F616:F747,K616:K747,"0",B616:B747,"5 1 2 7 2 12*")</f>
        <v>74541.600000000006</v>
      </c>
      <c r="G615" s="34">
        <f>SUMIFS(G616:G747,K616:K747,"0",B616:B747,"5 1 2 7 2 12*")</f>
        <v>0</v>
      </c>
      <c r="H615" s="34">
        <f t="shared" si="12"/>
        <v>74541.600000000006</v>
      </c>
      <c r="I615" s="34"/>
      <c r="K615" t="s">
        <v>15</v>
      </c>
    </row>
    <row r="616" spans="2:11" ht="13" x14ac:dyDescent="0.15">
      <c r="B616" s="33" t="s">
        <v>839</v>
      </c>
      <c r="C616" s="33" t="s">
        <v>28</v>
      </c>
      <c r="D616" s="34">
        <f>SUMIFS(D617:D747,K617:K747,"0",B617:B747,"5 1 2 7 2 12 31111*")-SUMIFS(E617:E747,K617:K747,"0",B617:B747,"5 1 2 7 2 12 31111*")</f>
        <v>0</v>
      </c>
      <c r="E616" s="35"/>
      <c r="F616" s="34">
        <f>SUMIFS(F617:F747,K617:K747,"0",B617:B747,"5 1 2 7 2 12 31111*")</f>
        <v>74541.600000000006</v>
      </c>
      <c r="G616" s="34">
        <f>SUMIFS(G617:G747,K617:K747,"0",B617:B747,"5 1 2 7 2 12 31111*")</f>
        <v>0</v>
      </c>
      <c r="H616" s="34">
        <f t="shared" si="12"/>
        <v>74541.600000000006</v>
      </c>
      <c r="I616" s="34"/>
      <c r="K616" t="s">
        <v>15</v>
      </c>
    </row>
    <row r="617" spans="2:11" ht="13" x14ac:dyDescent="0.15">
      <c r="B617" s="33" t="s">
        <v>840</v>
      </c>
      <c r="C617" s="33" t="s">
        <v>30</v>
      </c>
      <c r="D617" s="34">
        <f>SUMIFS(D618:D747,K618:K747,"0",B618:B747,"5 1 2 7 2 12 31111 6*")-SUMIFS(E618:E747,K618:K747,"0",B618:B747,"5 1 2 7 2 12 31111 6*")</f>
        <v>0</v>
      </c>
      <c r="E617" s="35"/>
      <c r="F617" s="34">
        <f>SUMIFS(F618:F747,K618:K747,"0",B618:B747,"5 1 2 7 2 12 31111 6*")</f>
        <v>74541.600000000006</v>
      </c>
      <c r="G617" s="34">
        <f>SUMIFS(G618:G747,K618:K747,"0",B618:B747,"5 1 2 7 2 12 31111 6*")</f>
        <v>0</v>
      </c>
      <c r="H617" s="34">
        <f t="shared" si="12"/>
        <v>74541.600000000006</v>
      </c>
      <c r="I617" s="34"/>
      <c r="K617" t="s">
        <v>15</v>
      </c>
    </row>
    <row r="618" spans="2:11" ht="13" x14ac:dyDescent="0.15">
      <c r="B618" s="33" t="s">
        <v>841</v>
      </c>
      <c r="C618" s="33" t="s">
        <v>503</v>
      </c>
      <c r="D618" s="34">
        <f>SUMIFS(D619:D747,K619:K747,"0",B619:B747,"5 1 2 7 2 12 31111 6 M78*")-SUMIFS(E619:E747,K619:K747,"0",B619:B747,"5 1 2 7 2 12 31111 6 M78*")</f>
        <v>0</v>
      </c>
      <c r="E618" s="35"/>
      <c r="F618" s="34">
        <f>SUMIFS(F619:F747,K619:K747,"0",B619:B747,"5 1 2 7 2 12 31111 6 M78*")</f>
        <v>74541.600000000006</v>
      </c>
      <c r="G618" s="34">
        <f>SUMIFS(G619:G747,K619:K747,"0",B619:B747,"5 1 2 7 2 12 31111 6 M78*")</f>
        <v>0</v>
      </c>
      <c r="H618" s="34">
        <f t="shared" si="12"/>
        <v>74541.600000000006</v>
      </c>
      <c r="I618" s="34"/>
      <c r="K618" t="s">
        <v>15</v>
      </c>
    </row>
    <row r="619" spans="2:11" ht="13" x14ac:dyDescent="0.15">
      <c r="B619" s="33" t="s">
        <v>842</v>
      </c>
      <c r="C619" s="33" t="s">
        <v>163</v>
      </c>
      <c r="D619" s="34">
        <f>SUMIFS(D620:D747,K620:K747,"0",B620:B747,"5 1 2 7 2 12 31111 6 M78 15000*")-SUMIFS(E620:E747,K620:K747,"0",B620:B747,"5 1 2 7 2 12 31111 6 M78 15000*")</f>
        <v>0</v>
      </c>
      <c r="E619" s="35"/>
      <c r="F619" s="34">
        <f>SUMIFS(F620:F747,K620:K747,"0",B620:B747,"5 1 2 7 2 12 31111 6 M78 15000*")</f>
        <v>74541.600000000006</v>
      </c>
      <c r="G619" s="34">
        <f>SUMIFS(G620:G747,K620:K747,"0",B620:B747,"5 1 2 7 2 12 31111 6 M78 15000*")</f>
        <v>0</v>
      </c>
      <c r="H619" s="34">
        <f t="shared" si="12"/>
        <v>74541.600000000006</v>
      </c>
      <c r="I619" s="34"/>
      <c r="K619" t="s">
        <v>15</v>
      </c>
    </row>
    <row r="620" spans="2:11" ht="22" x14ac:dyDescent="0.15">
      <c r="B620" s="33" t="s">
        <v>843</v>
      </c>
      <c r="C620" s="33" t="s">
        <v>165</v>
      </c>
      <c r="D620" s="34">
        <f>SUMIFS(D621:D747,K621:K747,"0",B621:B747,"5 1 2 7 2 12 31111 6 M78 15000 171*")-SUMIFS(E621:E747,K621:K747,"0",B621:B747,"5 1 2 7 2 12 31111 6 M78 15000 171*")</f>
        <v>0</v>
      </c>
      <c r="E620" s="35"/>
      <c r="F620" s="34">
        <f>SUMIFS(F621:F747,K621:K747,"0",B621:B747,"5 1 2 7 2 12 31111 6 M78 15000 171*")</f>
        <v>74541.600000000006</v>
      </c>
      <c r="G620" s="34">
        <f>SUMIFS(G621:G747,K621:K747,"0",B621:B747,"5 1 2 7 2 12 31111 6 M78 15000 171*")</f>
        <v>0</v>
      </c>
      <c r="H620" s="34">
        <f t="shared" si="12"/>
        <v>74541.600000000006</v>
      </c>
      <c r="I620" s="34"/>
      <c r="K620" t="s">
        <v>15</v>
      </c>
    </row>
    <row r="621" spans="2:11" ht="22" x14ac:dyDescent="0.15">
      <c r="B621" s="33" t="s">
        <v>844</v>
      </c>
      <c r="C621" s="33" t="s">
        <v>167</v>
      </c>
      <c r="D621" s="34">
        <f>SUMIFS(D622:D747,K622:K747,"0",B622:B747,"5 1 2 7 2 12 31111 6 M78 15000 171 00I*")-SUMIFS(E622:E747,K622:K747,"0",B622:B747,"5 1 2 7 2 12 31111 6 M78 15000 171 00I*")</f>
        <v>0</v>
      </c>
      <c r="E621" s="35"/>
      <c r="F621" s="34">
        <f>SUMIFS(F622:F747,K622:K747,"0",B622:B747,"5 1 2 7 2 12 31111 6 M78 15000 171 00I*")</f>
        <v>74541.600000000006</v>
      </c>
      <c r="G621" s="34">
        <f>SUMIFS(G622:G747,K622:K747,"0",B622:B747,"5 1 2 7 2 12 31111 6 M78 15000 171 00I*")</f>
        <v>0</v>
      </c>
      <c r="H621" s="34">
        <f t="shared" si="12"/>
        <v>74541.600000000006</v>
      </c>
      <c r="I621" s="34"/>
      <c r="K621" t="s">
        <v>15</v>
      </c>
    </row>
    <row r="622" spans="2:11" ht="22" x14ac:dyDescent="0.15">
      <c r="B622" s="33" t="s">
        <v>845</v>
      </c>
      <c r="C622" s="33" t="s">
        <v>455</v>
      </c>
      <c r="D622" s="34">
        <f>SUMIFS(D623:D747,K623:K747,"0",B623:B747,"5 1 2 7 2 12 31111 6 M78 15000 171 00I 001*")-SUMIFS(E623:E747,K623:K747,"0",B623:B747,"5 1 2 7 2 12 31111 6 M78 15000 171 00I 001*")</f>
        <v>0</v>
      </c>
      <c r="E622" s="35"/>
      <c r="F622" s="34">
        <f>SUMIFS(F623:F747,K623:K747,"0",B623:B747,"5 1 2 7 2 12 31111 6 M78 15000 171 00I 001*")</f>
        <v>74541.600000000006</v>
      </c>
      <c r="G622" s="34">
        <f>SUMIFS(G623:G747,K623:K747,"0",B623:B747,"5 1 2 7 2 12 31111 6 M78 15000 171 00I 001*")</f>
        <v>0</v>
      </c>
      <c r="H622" s="34">
        <f t="shared" si="12"/>
        <v>74541.600000000006</v>
      </c>
      <c r="I622" s="34"/>
      <c r="K622" t="s">
        <v>15</v>
      </c>
    </row>
    <row r="623" spans="2:11" ht="22" x14ac:dyDescent="0.15">
      <c r="B623" s="33" t="s">
        <v>846</v>
      </c>
      <c r="C623" s="33" t="s">
        <v>847</v>
      </c>
      <c r="D623" s="34">
        <f>SUMIFS(D624:D747,K624:K747,"0",B624:B747,"5 1 2 7 2 12 31111 6 M78 15000 171 00I 001 27201*")-SUMIFS(E624:E747,K624:K747,"0",B624:B747,"5 1 2 7 2 12 31111 6 M78 15000 171 00I 001 27201*")</f>
        <v>0</v>
      </c>
      <c r="E623" s="35"/>
      <c r="F623" s="34">
        <f>SUMIFS(F624:F747,K624:K747,"0",B624:B747,"5 1 2 7 2 12 31111 6 M78 15000 171 00I 001 27201*")</f>
        <v>74541.600000000006</v>
      </c>
      <c r="G623" s="34">
        <f>SUMIFS(G624:G747,K624:K747,"0",B624:B747,"5 1 2 7 2 12 31111 6 M78 15000 171 00I 001 27201*")</f>
        <v>0</v>
      </c>
      <c r="H623" s="34">
        <f t="shared" si="12"/>
        <v>74541.600000000006</v>
      </c>
      <c r="I623" s="34"/>
      <c r="K623" t="s">
        <v>15</v>
      </c>
    </row>
    <row r="624" spans="2:11" ht="22" x14ac:dyDescent="0.15">
      <c r="B624" s="33" t="s">
        <v>848</v>
      </c>
      <c r="C624" s="33" t="s">
        <v>173</v>
      </c>
      <c r="D624" s="34">
        <f>SUMIFS(D625:D747,K625:K747,"0",B625:B747,"5 1 2 7 2 12 31111 6 M78 15000 171 00I 001 27201 025*")-SUMIFS(E625:E747,K625:K747,"0",B625:B747,"5 1 2 7 2 12 31111 6 M78 15000 171 00I 001 27201 025*")</f>
        <v>0</v>
      </c>
      <c r="E624" s="35"/>
      <c r="F624" s="34">
        <f>SUMIFS(F625:F747,K625:K747,"0",B625:B747,"5 1 2 7 2 12 31111 6 M78 15000 171 00I 001 27201 025*")</f>
        <v>74541.600000000006</v>
      </c>
      <c r="G624" s="34">
        <f>SUMIFS(G625:G747,K625:K747,"0",B625:B747,"5 1 2 7 2 12 31111 6 M78 15000 171 00I 001 27201 025*")</f>
        <v>0</v>
      </c>
      <c r="H624" s="34">
        <f t="shared" si="12"/>
        <v>74541.600000000006</v>
      </c>
      <c r="I624" s="34"/>
      <c r="K624" t="s">
        <v>15</v>
      </c>
    </row>
    <row r="625" spans="2:11" ht="22" x14ac:dyDescent="0.15">
      <c r="B625" s="33" t="s">
        <v>849</v>
      </c>
      <c r="C625" s="33" t="s">
        <v>175</v>
      </c>
      <c r="D625" s="34">
        <f>SUMIFS(D626:D747,K626:K747,"0",B626:B747,"5 1 2 7 2 12 31111 6 M78 15000 171 00I 001 27201 025 2112000*")-SUMIFS(E626:E747,K626:K747,"0",B626:B747,"5 1 2 7 2 12 31111 6 M78 15000 171 00I 001 27201 025 2112000*")</f>
        <v>0</v>
      </c>
      <c r="E625" s="35"/>
      <c r="F625" s="34">
        <f>SUMIFS(F626:F747,K626:K747,"0",B626:B747,"5 1 2 7 2 12 31111 6 M78 15000 171 00I 001 27201 025 2112000*")</f>
        <v>74541.600000000006</v>
      </c>
      <c r="G625" s="34">
        <f>SUMIFS(G626:G747,K626:K747,"0",B626:B747,"5 1 2 7 2 12 31111 6 M78 15000 171 00I 001 27201 025 2112000*")</f>
        <v>0</v>
      </c>
      <c r="H625" s="34">
        <f t="shared" si="12"/>
        <v>74541.600000000006</v>
      </c>
      <c r="I625" s="34"/>
      <c r="K625" t="s">
        <v>15</v>
      </c>
    </row>
    <row r="626" spans="2:11" ht="33" x14ac:dyDescent="0.15">
      <c r="B626" s="33" t="s">
        <v>850</v>
      </c>
      <c r="C626" s="33" t="s">
        <v>318</v>
      </c>
      <c r="D626" s="34">
        <f>SUMIFS(D627:D747,K627:K747,"0",B627:B747,"5 1 2 7 2 12 31111 6 M78 15000 171 00I 001 27201 025 2112000 2024*")-SUMIFS(E627:E747,K627:K747,"0",B627:B747,"5 1 2 7 2 12 31111 6 M78 15000 171 00I 001 27201 025 2112000 2024*")</f>
        <v>0</v>
      </c>
      <c r="E626" s="35"/>
      <c r="F626" s="34">
        <f>SUMIFS(F627:F747,K627:K747,"0",B627:B747,"5 1 2 7 2 12 31111 6 M78 15000 171 00I 001 27201 025 2112000 2024*")</f>
        <v>74541.600000000006</v>
      </c>
      <c r="G626" s="34">
        <f>SUMIFS(G627:G747,K627:K747,"0",B627:B747,"5 1 2 7 2 12 31111 6 M78 15000 171 00I 001 27201 025 2112000 2024*")</f>
        <v>0</v>
      </c>
      <c r="H626" s="34">
        <f t="shared" si="12"/>
        <v>74541.600000000006</v>
      </c>
      <c r="I626" s="34"/>
      <c r="K626" t="s">
        <v>15</v>
      </c>
    </row>
    <row r="627" spans="2:11" ht="33" x14ac:dyDescent="0.15">
      <c r="B627" s="33" t="s">
        <v>851</v>
      </c>
      <c r="C627" s="33" t="s">
        <v>179</v>
      </c>
      <c r="D627" s="34">
        <f>SUMIFS(D628:D747,K628:K747,"0",B628:B747,"5 1 2 7 2 12 31111 6 M78 15000 171 00I 001 27201 025 2112000 2024 00000000*")-SUMIFS(E628:E747,K628:K747,"0",B628:B747,"5 1 2 7 2 12 31111 6 M78 15000 171 00I 001 27201 025 2112000 2024 00000000*")</f>
        <v>0</v>
      </c>
      <c r="E627" s="35"/>
      <c r="F627" s="34">
        <f>SUMIFS(F628:F747,K628:K747,"0",B628:B747,"5 1 2 7 2 12 31111 6 M78 15000 171 00I 001 27201 025 2112000 2024 00000000*")</f>
        <v>74541.600000000006</v>
      </c>
      <c r="G627" s="34">
        <f>SUMIFS(G628:G747,K628:K747,"0",B628:B747,"5 1 2 7 2 12 31111 6 M78 15000 171 00I 001 27201 025 2112000 2024 00000000*")</f>
        <v>0</v>
      </c>
      <c r="H627" s="34">
        <f t="shared" si="12"/>
        <v>74541.600000000006</v>
      </c>
      <c r="I627" s="34"/>
      <c r="K627" t="s">
        <v>15</v>
      </c>
    </row>
    <row r="628" spans="2:11" ht="33" x14ac:dyDescent="0.15">
      <c r="B628" s="33" t="s">
        <v>852</v>
      </c>
      <c r="C628" s="33" t="s">
        <v>9</v>
      </c>
      <c r="D628" s="34">
        <f>SUMIFS(D629:D747,K629:K747,"0",B629:B747,"5 1 2 7 2 12 31111 6 M78 15000 171 00I 001 27201 025 2112000 2024 00000000 003*")-SUMIFS(E629:E747,K629:K747,"0",B629:B747,"5 1 2 7 2 12 31111 6 M78 15000 171 00I 001 27201 025 2112000 2024 00000000 003*")</f>
        <v>0</v>
      </c>
      <c r="E628" s="35"/>
      <c r="F628" s="34">
        <f>SUMIFS(F629:F747,K629:K747,"0",B629:B747,"5 1 2 7 2 12 31111 6 M78 15000 171 00I 001 27201 025 2112000 2024 00000000 003*")</f>
        <v>74541.600000000006</v>
      </c>
      <c r="G628" s="34">
        <f>SUMIFS(G629:G747,K629:K747,"0",B629:B747,"5 1 2 7 2 12 31111 6 M78 15000 171 00I 001 27201 025 2112000 2024 00000000 003*")</f>
        <v>0</v>
      </c>
      <c r="H628" s="34">
        <f t="shared" si="12"/>
        <v>74541.600000000006</v>
      </c>
      <c r="I628" s="34"/>
      <c r="K628" t="s">
        <v>15</v>
      </c>
    </row>
    <row r="629" spans="2:11" ht="33" x14ac:dyDescent="0.15">
      <c r="B629" s="36" t="s">
        <v>853</v>
      </c>
      <c r="C629" s="36" t="s">
        <v>854</v>
      </c>
      <c r="D629" s="37">
        <v>0</v>
      </c>
      <c r="E629" s="37"/>
      <c r="F629" s="37">
        <v>74541.600000000006</v>
      </c>
      <c r="G629" s="37">
        <v>0</v>
      </c>
      <c r="H629" s="37">
        <f t="shared" si="12"/>
        <v>74541.600000000006</v>
      </c>
      <c r="I629" s="37"/>
      <c r="K629" t="s">
        <v>39</v>
      </c>
    </row>
    <row r="630" spans="2:11" ht="13" x14ac:dyDescent="0.15">
      <c r="B630" s="33" t="s">
        <v>855</v>
      </c>
      <c r="C630" s="33" t="s">
        <v>856</v>
      </c>
      <c r="D630" s="34">
        <f>SUMIFS(D631:D747,K631:K747,"0",B631:B747,"5 1 3*")-SUMIFS(E631:E747,K631:K747,"0",B631:B747,"5 1 3*")</f>
        <v>0</v>
      </c>
      <c r="E630" s="35"/>
      <c r="F630" s="34">
        <f>SUMIFS(F631:F747,K631:K747,"0",B631:B747,"5 1 3*")</f>
        <v>1577819.9200000002</v>
      </c>
      <c r="G630" s="34">
        <f>SUMIFS(G631:G747,K631:K747,"0",B631:B747,"5 1 3*")</f>
        <v>0</v>
      </c>
      <c r="H630" s="34">
        <f t="shared" si="12"/>
        <v>1577819.9200000002</v>
      </c>
      <c r="I630" s="34"/>
      <c r="K630" t="s">
        <v>15</v>
      </c>
    </row>
    <row r="631" spans="2:11" ht="13" x14ac:dyDescent="0.15">
      <c r="B631" s="33" t="s">
        <v>857</v>
      </c>
      <c r="C631" s="33" t="s">
        <v>858</v>
      </c>
      <c r="D631" s="34">
        <f>SUMIFS(D632:D747,K632:K747,"0",B632:B747,"5 1 3 1*")-SUMIFS(E632:E747,K632:K747,"0",B632:B747,"5 1 3 1*")</f>
        <v>0</v>
      </c>
      <c r="E631" s="35"/>
      <c r="F631" s="34">
        <f>SUMIFS(F632:F747,K632:K747,"0",B632:B747,"5 1 3 1*")</f>
        <v>889243.91</v>
      </c>
      <c r="G631" s="34">
        <f>SUMIFS(G632:G747,K632:K747,"0",B632:B747,"5 1 3 1*")</f>
        <v>0</v>
      </c>
      <c r="H631" s="34">
        <f t="shared" si="12"/>
        <v>889243.91</v>
      </c>
      <c r="I631" s="34"/>
      <c r="K631" t="s">
        <v>15</v>
      </c>
    </row>
    <row r="632" spans="2:11" ht="13" x14ac:dyDescent="0.15">
      <c r="B632" s="33" t="s">
        <v>859</v>
      </c>
      <c r="C632" s="33" t="s">
        <v>860</v>
      </c>
      <c r="D632" s="34">
        <f>SUMIFS(D633:D747,K633:K747,"0",B633:B747,"5 1 3 1 1*")-SUMIFS(E633:E747,K633:K747,"0",B633:B747,"5 1 3 1 1*")</f>
        <v>0</v>
      </c>
      <c r="E632" s="35"/>
      <c r="F632" s="34">
        <f>SUMIFS(F633:F747,K633:K747,"0",B633:B747,"5 1 3 1 1*")</f>
        <v>809243.91</v>
      </c>
      <c r="G632" s="34">
        <f>SUMIFS(G633:G747,K633:K747,"0",B633:B747,"5 1 3 1 1*")</f>
        <v>0</v>
      </c>
      <c r="H632" s="34">
        <f t="shared" si="12"/>
        <v>809243.91</v>
      </c>
      <c r="I632" s="34"/>
      <c r="K632" t="s">
        <v>15</v>
      </c>
    </row>
    <row r="633" spans="2:11" ht="13" x14ac:dyDescent="0.15">
      <c r="B633" s="33" t="s">
        <v>861</v>
      </c>
      <c r="C633" s="33" t="s">
        <v>26</v>
      </c>
      <c r="D633" s="34">
        <f>SUMIFS(D634:D747,K634:K747,"0",B634:B747,"5 1 3 1 1 12*")-SUMIFS(E634:E747,K634:K747,"0",B634:B747,"5 1 3 1 1 12*")</f>
        <v>0</v>
      </c>
      <c r="E633" s="35"/>
      <c r="F633" s="34">
        <f>SUMIFS(F634:F747,K634:K747,"0",B634:B747,"5 1 3 1 1 12*")</f>
        <v>809243.91</v>
      </c>
      <c r="G633" s="34">
        <f>SUMIFS(G634:G747,K634:K747,"0",B634:B747,"5 1 3 1 1 12*")</f>
        <v>0</v>
      </c>
      <c r="H633" s="34">
        <f t="shared" si="12"/>
        <v>809243.91</v>
      </c>
      <c r="I633" s="34"/>
      <c r="K633" t="s">
        <v>15</v>
      </c>
    </row>
    <row r="634" spans="2:11" ht="13" x14ac:dyDescent="0.15">
      <c r="B634" s="33" t="s">
        <v>862</v>
      </c>
      <c r="C634" s="33" t="s">
        <v>28</v>
      </c>
      <c r="D634" s="34">
        <f>SUMIFS(D635:D747,K635:K747,"0",B635:B747,"5 1 3 1 1 12 31111*")-SUMIFS(E635:E747,K635:K747,"0",B635:B747,"5 1 3 1 1 12 31111*")</f>
        <v>0</v>
      </c>
      <c r="E634" s="35"/>
      <c r="F634" s="34">
        <f>SUMIFS(F635:F747,K635:K747,"0",B635:B747,"5 1 3 1 1 12 31111*")</f>
        <v>809243.91</v>
      </c>
      <c r="G634" s="34">
        <f>SUMIFS(G635:G747,K635:K747,"0",B635:B747,"5 1 3 1 1 12 31111*")</f>
        <v>0</v>
      </c>
      <c r="H634" s="34">
        <f t="shared" si="12"/>
        <v>809243.91</v>
      </c>
      <c r="I634" s="34"/>
      <c r="K634" t="s">
        <v>15</v>
      </c>
    </row>
    <row r="635" spans="2:11" ht="13" x14ac:dyDescent="0.15">
      <c r="B635" s="33" t="s">
        <v>863</v>
      </c>
      <c r="C635" s="33" t="s">
        <v>30</v>
      </c>
      <c r="D635" s="34">
        <f>SUMIFS(D636:D747,K636:K747,"0",B636:B747,"5 1 3 1 1 12 31111 6*")-SUMIFS(E636:E747,K636:K747,"0",B636:B747,"5 1 3 1 1 12 31111 6*")</f>
        <v>0</v>
      </c>
      <c r="E635" s="35"/>
      <c r="F635" s="34">
        <f>SUMIFS(F636:F747,K636:K747,"0",B636:B747,"5 1 3 1 1 12 31111 6*")</f>
        <v>809243.91</v>
      </c>
      <c r="G635" s="34">
        <f>SUMIFS(G636:G747,K636:K747,"0",B636:B747,"5 1 3 1 1 12 31111 6*")</f>
        <v>0</v>
      </c>
      <c r="H635" s="34">
        <f t="shared" si="12"/>
        <v>809243.91</v>
      </c>
      <c r="I635" s="34"/>
      <c r="K635" t="s">
        <v>15</v>
      </c>
    </row>
    <row r="636" spans="2:11" ht="13" x14ac:dyDescent="0.15">
      <c r="B636" s="33" t="s">
        <v>864</v>
      </c>
      <c r="C636" s="33" t="s">
        <v>503</v>
      </c>
      <c r="D636" s="34">
        <f>SUMIFS(D637:D747,K637:K747,"0",B637:B747,"5 1 3 1 1 12 31111 6 M78*")-SUMIFS(E637:E747,K637:K747,"0",B637:B747,"5 1 3 1 1 12 31111 6 M78*")</f>
        <v>0</v>
      </c>
      <c r="E636" s="35"/>
      <c r="F636" s="34">
        <f>SUMIFS(F637:F747,K637:K747,"0",B637:B747,"5 1 3 1 1 12 31111 6 M78*")</f>
        <v>809243.91</v>
      </c>
      <c r="G636" s="34">
        <f>SUMIFS(G637:G747,K637:K747,"0",B637:B747,"5 1 3 1 1 12 31111 6 M78*")</f>
        <v>0</v>
      </c>
      <c r="H636" s="34">
        <f t="shared" si="12"/>
        <v>809243.91</v>
      </c>
      <c r="I636" s="34"/>
      <c r="K636" t="s">
        <v>15</v>
      </c>
    </row>
    <row r="637" spans="2:11" ht="13" x14ac:dyDescent="0.15">
      <c r="B637" s="33" t="s">
        <v>865</v>
      </c>
      <c r="C637" s="33" t="s">
        <v>163</v>
      </c>
      <c r="D637" s="34">
        <f>SUMIFS(D638:D747,K638:K747,"0",B638:B747,"5 1 3 1 1 12 31111 6 M78 15000*")-SUMIFS(E638:E747,K638:K747,"0",B638:B747,"5 1 3 1 1 12 31111 6 M78 15000*")</f>
        <v>0</v>
      </c>
      <c r="E637" s="35"/>
      <c r="F637" s="34">
        <f>SUMIFS(F638:F747,K638:K747,"0",B638:B747,"5 1 3 1 1 12 31111 6 M78 15000*")</f>
        <v>809243.91</v>
      </c>
      <c r="G637" s="34">
        <f>SUMIFS(G638:G747,K638:K747,"0",B638:B747,"5 1 3 1 1 12 31111 6 M78 15000*")</f>
        <v>0</v>
      </c>
      <c r="H637" s="34">
        <f t="shared" si="12"/>
        <v>809243.91</v>
      </c>
      <c r="I637" s="34"/>
      <c r="K637" t="s">
        <v>15</v>
      </c>
    </row>
    <row r="638" spans="2:11" ht="22" x14ac:dyDescent="0.15">
      <c r="B638" s="33" t="s">
        <v>866</v>
      </c>
      <c r="C638" s="33" t="s">
        <v>165</v>
      </c>
      <c r="D638" s="34">
        <f>SUMIFS(D639:D747,K639:K747,"0",B639:B747,"5 1 3 1 1 12 31111 6 M78 15000 171*")-SUMIFS(E639:E747,K639:K747,"0",B639:B747,"5 1 3 1 1 12 31111 6 M78 15000 171*")</f>
        <v>0</v>
      </c>
      <c r="E638" s="35"/>
      <c r="F638" s="34">
        <f>SUMIFS(F639:F747,K639:K747,"0",B639:B747,"5 1 3 1 1 12 31111 6 M78 15000 171*")</f>
        <v>809243.91</v>
      </c>
      <c r="G638" s="34">
        <f>SUMIFS(G639:G747,K639:K747,"0",B639:B747,"5 1 3 1 1 12 31111 6 M78 15000 171*")</f>
        <v>0</v>
      </c>
      <c r="H638" s="34">
        <f t="shared" si="12"/>
        <v>809243.91</v>
      </c>
      <c r="I638" s="34"/>
      <c r="K638" t="s">
        <v>15</v>
      </c>
    </row>
    <row r="639" spans="2:11" ht="22" x14ac:dyDescent="0.15">
      <c r="B639" s="33" t="s">
        <v>867</v>
      </c>
      <c r="C639" s="33" t="s">
        <v>167</v>
      </c>
      <c r="D639" s="34">
        <f>SUMIFS(D640:D747,K640:K747,"0",B640:B747,"5 1 3 1 1 12 31111 6 M78 15000 171 00I*")-SUMIFS(E640:E747,K640:K747,"0",B640:B747,"5 1 3 1 1 12 31111 6 M78 15000 171 00I*")</f>
        <v>0</v>
      </c>
      <c r="E639" s="35"/>
      <c r="F639" s="34">
        <f>SUMIFS(F640:F747,K640:K747,"0",B640:B747,"5 1 3 1 1 12 31111 6 M78 15000 171 00I*")</f>
        <v>809243.91</v>
      </c>
      <c r="G639" s="34">
        <f>SUMIFS(G640:G747,K640:K747,"0",B640:B747,"5 1 3 1 1 12 31111 6 M78 15000 171 00I*")</f>
        <v>0</v>
      </c>
      <c r="H639" s="34">
        <f t="shared" si="12"/>
        <v>809243.91</v>
      </c>
      <c r="I639" s="34"/>
      <c r="K639" t="s">
        <v>15</v>
      </c>
    </row>
    <row r="640" spans="2:11" ht="22" x14ac:dyDescent="0.15">
      <c r="B640" s="33" t="s">
        <v>868</v>
      </c>
      <c r="C640" s="33" t="s">
        <v>455</v>
      </c>
      <c r="D640" s="34">
        <f>SUMIFS(D641:D747,K641:K747,"0",B641:B747,"5 1 3 1 1 12 31111 6 M78 15000 171 00I 001*")-SUMIFS(E641:E747,K641:K747,"0",B641:B747,"5 1 3 1 1 12 31111 6 M78 15000 171 00I 001*")</f>
        <v>0</v>
      </c>
      <c r="E640" s="35"/>
      <c r="F640" s="34">
        <f>SUMIFS(F641:F747,K641:K747,"0",B641:B747,"5 1 3 1 1 12 31111 6 M78 15000 171 00I 001*")</f>
        <v>809243.91</v>
      </c>
      <c r="G640" s="34">
        <f>SUMIFS(G641:G747,K641:K747,"0",B641:B747,"5 1 3 1 1 12 31111 6 M78 15000 171 00I 001*")</f>
        <v>0</v>
      </c>
      <c r="H640" s="34">
        <f t="shared" si="12"/>
        <v>809243.91</v>
      </c>
      <c r="I640" s="34"/>
      <c r="K640" t="s">
        <v>15</v>
      </c>
    </row>
    <row r="641" spans="2:11" ht="22" x14ac:dyDescent="0.15">
      <c r="B641" s="33" t="s">
        <v>869</v>
      </c>
      <c r="C641" s="33" t="s">
        <v>870</v>
      </c>
      <c r="D641" s="34">
        <f>SUMIFS(D642:D747,K642:K747,"0",B642:B747,"5 1 3 1 1 12 31111 6 M78 15000 171 00I 001 31101*")-SUMIFS(E642:E747,K642:K747,"0",B642:B747,"5 1 3 1 1 12 31111 6 M78 15000 171 00I 001 31101*")</f>
        <v>0</v>
      </c>
      <c r="E641" s="35"/>
      <c r="F641" s="34">
        <f>SUMIFS(F642:F747,K642:K747,"0",B642:B747,"5 1 3 1 1 12 31111 6 M78 15000 171 00I 001 31101*")</f>
        <v>809243.91</v>
      </c>
      <c r="G641" s="34">
        <f>SUMIFS(G642:G747,K642:K747,"0",B642:B747,"5 1 3 1 1 12 31111 6 M78 15000 171 00I 001 31101*")</f>
        <v>0</v>
      </c>
      <c r="H641" s="34">
        <f t="shared" si="12"/>
        <v>809243.91</v>
      </c>
      <c r="I641" s="34"/>
      <c r="K641" t="s">
        <v>15</v>
      </c>
    </row>
    <row r="642" spans="2:11" ht="22" x14ac:dyDescent="0.15">
      <c r="B642" s="33" t="s">
        <v>871</v>
      </c>
      <c r="C642" s="33" t="s">
        <v>173</v>
      </c>
      <c r="D642" s="34">
        <f>SUMIFS(D643:D747,K643:K747,"0",B643:B747,"5 1 3 1 1 12 31111 6 M78 15000 171 00I 001 31101 025*")-SUMIFS(E643:E747,K643:K747,"0",B643:B747,"5 1 3 1 1 12 31111 6 M78 15000 171 00I 001 31101 025*")</f>
        <v>0</v>
      </c>
      <c r="E642" s="35"/>
      <c r="F642" s="34">
        <f>SUMIFS(F643:F747,K643:K747,"0",B643:B747,"5 1 3 1 1 12 31111 6 M78 15000 171 00I 001 31101 025*")</f>
        <v>809243.91</v>
      </c>
      <c r="G642" s="34">
        <f>SUMIFS(G643:G747,K643:K747,"0",B643:B747,"5 1 3 1 1 12 31111 6 M78 15000 171 00I 001 31101 025*")</f>
        <v>0</v>
      </c>
      <c r="H642" s="34">
        <f t="shared" si="12"/>
        <v>809243.91</v>
      </c>
      <c r="I642" s="34"/>
      <c r="K642" t="s">
        <v>15</v>
      </c>
    </row>
    <row r="643" spans="2:11" ht="22" x14ac:dyDescent="0.15">
      <c r="B643" s="33" t="s">
        <v>872</v>
      </c>
      <c r="C643" s="33" t="s">
        <v>175</v>
      </c>
      <c r="D643" s="34">
        <f>SUMIFS(D644:D747,K644:K747,"0",B644:B747,"5 1 3 1 1 12 31111 6 M78 15000 171 00I 001 31101 025 2112000*")-SUMIFS(E644:E747,K644:K747,"0",B644:B747,"5 1 3 1 1 12 31111 6 M78 15000 171 00I 001 31101 025 2112000*")</f>
        <v>0</v>
      </c>
      <c r="E643" s="35"/>
      <c r="F643" s="34">
        <f>SUMIFS(F644:F747,K644:K747,"0",B644:B747,"5 1 3 1 1 12 31111 6 M78 15000 171 00I 001 31101 025 2112000*")</f>
        <v>809243.91</v>
      </c>
      <c r="G643" s="34">
        <f>SUMIFS(G644:G747,K644:K747,"0",B644:B747,"5 1 3 1 1 12 31111 6 M78 15000 171 00I 001 31101 025 2112000*")</f>
        <v>0</v>
      </c>
      <c r="H643" s="34">
        <f t="shared" si="12"/>
        <v>809243.91</v>
      </c>
      <c r="I643" s="34"/>
      <c r="K643" t="s">
        <v>15</v>
      </c>
    </row>
    <row r="644" spans="2:11" ht="33" x14ac:dyDescent="0.15">
      <c r="B644" s="33" t="s">
        <v>873</v>
      </c>
      <c r="C644" s="33" t="s">
        <v>318</v>
      </c>
      <c r="D644" s="34">
        <f>SUMIFS(D645:D747,K645:K747,"0",B645:B747,"5 1 3 1 1 12 31111 6 M78 15000 171 00I 001 31101 025 2112000 2024*")-SUMIFS(E645:E747,K645:K747,"0",B645:B747,"5 1 3 1 1 12 31111 6 M78 15000 171 00I 001 31101 025 2112000 2024*")</f>
        <v>0</v>
      </c>
      <c r="E644" s="35"/>
      <c r="F644" s="34">
        <f>SUMIFS(F645:F747,K645:K747,"0",B645:B747,"5 1 3 1 1 12 31111 6 M78 15000 171 00I 001 31101 025 2112000 2024*")</f>
        <v>809243.91</v>
      </c>
      <c r="G644" s="34">
        <f>SUMIFS(G645:G747,K645:K747,"0",B645:B747,"5 1 3 1 1 12 31111 6 M78 15000 171 00I 001 31101 025 2112000 2024*")</f>
        <v>0</v>
      </c>
      <c r="H644" s="34">
        <f t="shared" si="12"/>
        <v>809243.91</v>
      </c>
      <c r="I644" s="34"/>
      <c r="K644" t="s">
        <v>15</v>
      </c>
    </row>
    <row r="645" spans="2:11" ht="33" x14ac:dyDescent="0.15">
      <c r="B645" s="33" t="s">
        <v>874</v>
      </c>
      <c r="C645" s="33" t="s">
        <v>179</v>
      </c>
      <c r="D645" s="34">
        <f>SUMIFS(D646:D747,K646:K747,"0",B646:B747,"5 1 3 1 1 12 31111 6 M78 15000 171 00I 001 31101 025 2112000 2024 00000000*")-SUMIFS(E646:E747,K646:K747,"0",B646:B747,"5 1 3 1 1 12 31111 6 M78 15000 171 00I 001 31101 025 2112000 2024 00000000*")</f>
        <v>0</v>
      </c>
      <c r="E645" s="35"/>
      <c r="F645" s="34">
        <f>SUMIFS(F646:F747,K646:K747,"0",B646:B747,"5 1 3 1 1 12 31111 6 M78 15000 171 00I 001 31101 025 2112000 2024 00000000*")</f>
        <v>809243.91</v>
      </c>
      <c r="G645" s="34">
        <f>SUMIFS(G646:G747,K646:K747,"0",B646:B747,"5 1 3 1 1 12 31111 6 M78 15000 171 00I 001 31101 025 2112000 2024 00000000*")</f>
        <v>0</v>
      </c>
      <c r="H645" s="34">
        <f t="shared" si="12"/>
        <v>809243.91</v>
      </c>
      <c r="I645" s="34"/>
      <c r="K645" t="s">
        <v>15</v>
      </c>
    </row>
    <row r="646" spans="2:11" ht="33" x14ac:dyDescent="0.15">
      <c r="B646" s="33" t="s">
        <v>875</v>
      </c>
      <c r="C646" s="33" t="s">
        <v>9</v>
      </c>
      <c r="D646" s="34">
        <f>SUMIFS(D647:D747,K647:K747,"0",B647:B747,"5 1 3 1 1 12 31111 6 M78 15000 171 00I 001 31101 025 2112000 2024 00000000 003*")-SUMIFS(E647:E747,K647:K747,"0",B647:B747,"5 1 3 1 1 12 31111 6 M78 15000 171 00I 001 31101 025 2112000 2024 00000000 003*")</f>
        <v>0</v>
      </c>
      <c r="E646" s="35"/>
      <c r="F646" s="34">
        <f>SUMIFS(F647:F747,K647:K747,"0",B647:B747,"5 1 3 1 1 12 31111 6 M78 15000 171 00I 001 31101 025 2112000 2024 00000000 003*")</f>
        <v>809243.91</v>
      </c>
      <c r="G646" s="34">
        <f>SUMIFS(G647:G747,K647:K747,"0",B647:B747,"5 1 3 1 1 12 31111 6 M78 15000 171 00I 001 31101 025 2112000 2024 00000000 003*")</f>
        <v>0</v>
      </c>
      <c r="H646" s="34">
        <f t="shared" si="12"/>
        <v>809243.91</v>
      </c>
      <c r="I646" s="34"/>
      <c r="K646" t="s">
        <v>15</v>
      </c>
    </row>
    <row r="647" spans="2:11" ht="33" x14ac:dyDescent="0.15">
      <c r="B647" s="36" t="s">
        <v>876</v>
      </c>
      <c r="C647" s="36" t="s">
        <v>877</v>
      </c>
      <c r="D647" s="37">
        <v>0</v>
      </c>
      <c r="E647" s="37"/>
      <c r="F647" s="37">
        <v>212819.91</v>
      </c>
      <c r="G647" s="37">
        <v>0</v>
      </c>
      <c r="H647" s="37">
        <f t="shared" si="12"/>
        <v>212819.91</v>
      </c>
      <c r="I647" s="37"/>
      <c r="K647" t="s">
        <v>39</v>
      </c>
    </row>
    <row r="648" spans="2:11" ht="33" x14ac:dyDescent="0.15">
      <c r="B648" s="36" t="s">
        <v>878</v>
      </c>
      <c r="C648" s="36" t="s">
        <v>879</v>
      </c>
      <c r="D648" s="37">
        <v>0</v>
      </c>
      <c r="E648" s="37"/>
      <c r="F648" s="37">
        <v>596424</v>
      </c>
      <c r="G648" s="37">
        <v>0</v>
      </c>
      <c r="H648" s="37">
        <f t="shared" ref="H648:H711" si="13">D648 + F648 - G648</f>
        <v>596424</v>
      </c>
      <c r="I648" s="37"/>
      <c r="K648" t="s">
        <v>39</v>
      </c>
    </row>
    <row r="649" spans="2:11" ht="22" x14ac:dyDescent="0.15">
      <c r="B649" s="33" t="s">
        <v>880</v>
      </c>
      <c r="C649" s="33" t="s">
        <v>881</v>
      </c>
      <c r="D649" s="34">
        <f>SUMIFS(D650:D747,K650:K747,"0",B650:B747,"5 1 3 1 7*")-SUMIFS(E650:E747,K650:K747,"0",B650:B747,"5 1 3 1 7*")</f>
        <v>0</v>
      </c>
      <c r="E649" s="35"/>
      <c r="F649" s="34">
        <f>SUMIFS(F650:F747,K650:K747,"0",B650:B747,"5 1 3 1 7*")</f>
        <v>80000</v>
      </c>
      <c r="G649" s="34">
        <f>SUMIFS(G650:G747,K650:K747,"0",B650:B747,"5 1 3 1 7*")</f>
        <v>0</v>
      </c>
      <c r="H649" s="34">
        <f t="shared" si="13"/>
        <v>80000</v>
      </c>
      <c r="I649" s="34"/>
      <c r="K649" t="s">
        <v>15</v>
      </c>
    </row>
    <row r="650" spans="2:11" ht="13" x14ac:dyDescent="0.15">
      <c r="B650" s="33" t="s">
        <v>882</v>
      </c>
      <c r="C650" s="33" t="s">
        <v>26</v>
      </c>
      <c r="D650" s="34">
        <f>SUMIFS(D651:D747,K651:K747,"0",B651:B747,"5 1 3 1 7 12*")-SUMIFS(E651:E747,K651:K747,"0",B651:B747,"5 1 3 1 7 12*")</f>
        <v>0</v>
      </c>
      <c r="E650" s="35"/>
      <c r="F650" s="34">
        <f>SUMIFS(F651:F747,K651:K747,"0",B651:B747,"5 1 3 1 7 12*")</f>
        <v>80000</v>
      </c>
      <c r="G650" s="34">
        <f>SUMIFS(G651:G747,K651:K747,"0",B651:B747,"5 1 3 1 7 12*")</f>
        <v>0</v>
      </c>
      <c r="H650" s="34">
        <f t="shared" si="13"/>
        <v>80000</v>
      </c>
      <c r="I650" s="34"/>
      <c r="K650" t="s">
        <v>15</v>
      </c>
    </row>
    <row r="651" spans="2:11" ht="13" x14ac:dyDescent="0.15">
      <c r="B651" s="33" t="s">
        <v>883</v>
      </c>
      <c r="C651" s="33" t="s">
        <v>28</v>
      </c>
      <c r="D651" s="34">
        <f>SUMIFS(D652:D747,K652:K747,"0",B652:B747,"5 1 3 1 7 12 31111*")-SUMIFS(E652:E747,K652:K747,"0",B652:B747,"5 1 3 1 7 12 31111*")</f>
        <v>0</v>
      </c>
      <c r="E651" s="35"/>
      <c r="F651" s="34">
        <f>SUMIFS(F652:F747,K652:K747,"0",B652:B747,"5 1 3 1 7 12 31111*")</f>
        <v>80000</v>
      </c>
      <c r="G651" s="34">
        <f>SUMIFS(G652:G747,K652:K747,"0",B652:B747,"5 1 3 1 7 12 31111*")</f>
        <v>0</v>
      </c>
      <c r="H651" s="34">
        <f t="shared" si="13"/>
        <v>80000</v>
      </c>
      <c r="I651" s="34"/>
      <c r="K651" t="s">
        <v>15</v>
      </c>
    </row>
    <row r="652" spans="2:11" ht="13" x14ac:dyDescent="0.15">
      <c r="B652" s="33" t="s">
        <v>884</v>
      </c>
      <c r="C652" s="33" t="s">
        <v>30</v>
      </c>
      <c r="D652" s="34">
        <f>SUMIFS(D653:D747,K653:K747,"0",B653:B747,"5 1 3 1 7 12 31111 6*")-SUMIFS(E653:E747,K653:K747,"0",B653:B747,"5 1 3 1 7 12 31111 6*")</f>
        <v>0</v>
      </c>
      <c r="E652" s="35"/>
      <c r="F652" s="34">
        <f>SUMIFS(F653:F747,K653:K747,"0",B653:B747,"5 1 3 1 7 12 31111 6*")</f>
        <v>80000</v>
      </c>
      <c r="G652" s="34">
        <f>SUMIFS(G653:G747,K653:K747,"0",B653:B747,"5 1 3 1 7 12 31111 6*")</f>
        <v>0</v>
      </c>
      <c r="H652" s="34">
        <f t="shared" si="13"/>
        <v>80000</v>
      </c>
      <c r="I652" s="34"/>
      <c r="K652" t="s">
        <v>15</v>
      </c>
    </row>
    <row r="653" spans="2:11" ht="13" x14ac:dyDescent="0.15">
      <c r="B653" s="33" t="s">
        <v>885</v>
      </c>
      <c r="C653" s="33" t="s">
        <v>503</v>
      </c>
      <c r="D653" s="34">
        <f>SUMIFS(D654:D747,K654:K747,"0",B654:B747,"5 1 3 1 7 12 31111 6 M78*")-SUMIFS(E654:E747,K654:K747,"0",B654:B747,"5 1 3 1 7 12 31111 6 M78*")</f>
        <v>0</v>
      </c>
      <c r="E653" s="35"/>
      <c r="F653" s="34">
        <f>SUMIFS(F654:F747,K654:K747,"0",B654:B747,"5 1 3 1 7 12 31111 6 M78*")</f>
        <v>80000</v>
      </c>
      <c r="G653" s="34">
        <f>SUMIFS(G654:G747,K654:K747,"0",B654:B747,"5 1 3 1 7 12 31111 6 M78*")</f>
        <v>0</v>
      </c>
      <c r="H653" s="34">
        <f t="shared" si="13"/>
        <v>80000</v>
      </c>
      <c r="I653" s="34"/>
      <c r="K653" t="s">
        <v>15</v>
      </c>
    </row>
    <row r="654" spans="2:11" ht="13" x14ac:dyDescent="0.15">
      <c r="B654" s="33" t="s">
        <v>886</v>
      </c>
      <c r="C654" s="33" t="s">
        <v>163</v>
      </c>
      <c r="D654" s="34">
        <f>SUMIFS(D655:D747,K655:K747,"0",B655:B747,"5 1 3 1 7 12 31111 6 M78 15000*")-SUMIFS(E655:E747,K655:K747,"0",B655:B747,"5 1 3 1 7 12 31111 6 M78 15000*")</f>
        <v>0</v>
      </c>
      <c r="E654" s="35"/>
      <c r="F654" s="34">
        <f>SUMIFS(F655:F747,K655:K747,"0",B655:B747,"5 1 3 1 7 12 31111 6 M78 15000*")</f>
        <v>80000</v>
      </c>
      <c r="G654" s="34">
        <f>SUMIFS(G655:G747,K655:K747,"0",B655:B747,"5 1 3 1 7 12 31111 6 M78 15000*")</f>
        <v>0</v>
      </c>
      <c r="H654" s="34">
        <f t="shared" si="13"/>
        <v>80000</v>
      </c>
      <c r="I654" s="34"/>
      <c r="K654" t="s">
        <v>15</v>
      </c>
    </row>
    <row r="655" spans="2:11" ht="22" x14ac:dyDescent="0.15">
      <c r="B655" s="33" t="s">
        <v>887</v>
      </c>
      <c r="C655" s="33" t="s">
        <v>165</v>
      </c>
      <c r="D655" s="34">
        <f>SUMIFS(D656:D747,K656:K747,"0",B656:B747,"5 1 3 1 7 12 31111 6 M78 15000 171*")-SUMIFS(E656:E747,K656:K747,"0",B656:B747,"5 1 3 1 7 12 31111 6 M78 15000 171*")</f>
        <v>0</v>
      </c>
      <c r="E655" s="35"/>
      <c r="F655" s="34">
        <f>SUMIFS(F656:F747,K656:K747,"0",B656:B747,"5 1 3 1 7 12 31111 6 M78 15000 171*")</f>
        <v>80000</v>
      </c>
      <c r="G655" s="34">
        <f>SUMIFS(G656:G747,K656:K747,"0",B656:B747,"5 1 3 1 7 12 31111 6 M78 15000 171*")</f>
        <v>0</v>
      </c>
      <c r="H655" s="34">
        <f t="shared" si="13"/>
        <v>80000</v>
      </c>
      <c r="I655" s="34"/>
      <c r="K655" t="s">
        <v>15</v>
      </c>
    </row>
    <row r="656" spans="2:11" ht="22" x14ac:dyDescent="0.15">
      <c r="B656" s="33" t="s">
        <v>888</v>
      </c>
      <c r="C656" s="33" t="s">
        <v>167</v>
      </c>
      <c r="D656" s="34">
        <f>SUMIFS(D657:D747,K657:K747,"0",B657:B747,"5 1 3 1 7 12 31111 6 M78 15000 171 00I*")-SUMIFS(E657:E747,K657:K747,"0",B657:B747,"5 1 3 1 7 12 31111 6 M78 15000 171 00I*")</f>
        <v>0</v>
      </c>
      <c r="E656" s="35"/>
      <c r="F656" s="34">
        <f>SUMIFS(F657:F747,K657:K747,"0",B657:B747,"5 1 3 1 7 12 31111 6 M78 15000 171 00I*")</f>
        <v>80000</v>
      </c>
      <c r="G656" s="34">
        <f>SUMIFS(G657:G747,K657:K747,"0",B657:B747,"5 1 3 1 7 12 31111 6 M78 15000 171 00I*")</f>
        <v>0</v>
      </c>
      <c r="H656" s="34">
        <f t="shared" si="13"/>
        <v>80000</v>
      </c>
      <c r="I656" s="34"/>
      <c r="K656" t="s">
        <v>15</v>
      </c>
    </row>
    <row r="657" spans="2:11" ht="22" x14ac:dyDescent="0.15">
      <c r="B657" s="33" t="s">
        <v>889</v>
      </c>
      <c r="C657" s="33" t="s">
        <v>455</v>
      </c>
      <c r="D657" s="34">
        <f>SUMIFS(D658:D747,K658:K747,"0",B658:B747,"5 1 3 1 7 12 31111 6 M78 15000 171 00I 001*")-SUMIFS(E658:E747,K658:K747,"0",B658:B747,"5 1 3 1 7 12 31111 6 M78 15000 171 00I 001*")</f>
        <v>0</v>
      </c>
      <c r="E657" s="35"/>
      <c r="F657" s="34">
        <f>SUMIFS(F658:F747,K658:K747,"0",B658:B747,"5 1 3 1 7 12 31111 6 M78 15000 171 00I 001*")</f>
        <v>80000</v>
      </c>
      <c r="G657" s="34">
        <f>SUMIFS(G658:G747,K658:K747,"0",B658:B747,"5 1 3 1 7 12 31111 6 M78 15000 171 00I 001*")</f>
        <v>0</v>
      </c>
      <c r="H657" s="34">
        <f t="shared" si="13"/>
        <v>80000</v>
      </c>
      <c r="I657" s="34"/>
      <c r="K657" t="s">
        <v>15</v>
      </c>
    </row>
    <row r="658" spans="2:11" ht="22" x14ac:dyDescent="0.15">
      <c r="B658" s="33" t="s">
        <v>890</v>
      </c>
      <c r="C658" s="33" t="s">
        <v>891</v>
      </c>
      <c r="D658" s="34">
        <f>SUMIFS(D659:D747,K659:K747,"0",B659:B747,"5 1 3 1 7 12 31111 6 M78 15000 171 00I 001 31701*")-SUMIFS(E659:E747,K659:K747,"0",B659:B747,"5 1 3 1 7 12 31111 6 M78 15000 171 00I 001 31701*")</f>
        <v>0</v>
      </c>
      <c r="E658" s="35"/>
      <c r="F658" s="34">
        <f>SUMIFS(F659:F747,K659:K747,"0",B659:B747,"5 1 3 1 7 12 31111 6 M78 15000 171 00I 001 31701*")</f>
        <v>80000</v>
      </c>
      <c r="G658" s="34">
        <f>SUMIFS(G659:G747,K659:K747,"0",B659:B747,"5 1 3 1 7 12 31111 6 M78 15000 171 00I 001 31701*")</f>
        <v>0</v>
      </c>
      <c r="H658" s="34">
        <f t="shared" si="13"/>
        <v>80000</v>
      </c>
      <c r="I658" s="34"/>
      <c r="K658" t="s">
        <v>15</v>
      </c>
    </row>
    <row r="659" spans="2:11" ht="22" x14ac:dyDescent="0.15">
      <c r="B659" s="33" t="s">
        <v>892</v>
      </c>
      <c r="C659" s="33" t="s">
        <v>173</v>
      </c>
      <c r="D659" s="34">
        <f>SUMIFS(D660:D747,K660:K747,"0",B660:B747,"5 1 3 1 7 12 31111 6 M78 15000 171 00I 001 31701 025*")-SUMIFS(E660:E747,K660:K747,"0",B660:B747,"5 1 3 1 7 12 31111 6 M78 15000 171 00I 001 31701 025*")</f>
        <v>0</v>
      </c>
      <c r="E659" s="35"/>
      <c r="F659" s="34">
        <f>SUMIFS(F660:F747,K660:K747,"0",B660:B747,"5 1 3 1 7 12 31111 6 M78 15000 171 00I 001 31701 025*")</f>
        <v>80000</v>
      </c>
      <c r="G659" s="34">
        <f>SUMIFS(G660:G747,K660:K747,"0",B660:B747,"5 1 3 1 7 12 31111 6 M78 15000 171 00I 001 31701 025*")</f>
        <v>0</v>
      </c>
      <c r="H659" s="34">
        <f t="shared" si="13"/>
        <v>80000</v>
      </c>
      <c r="I659" s="34"/>
      <c r="K659" t="s">
        <v>15</v>
      </c>
    </row>
    <row r="660" spans="2:11" ht="22" x14ac:dyDescent="0.15">
      <c r="B660" s="33" t="s">
        <v>893</v>
      </c>
      <c r="C660" s="33" t="s">
        <v>175</v>
      </c>
      <c r="D660" s="34">
        <f>SUMIFS(D661:D747,K661:K747,"0",B661:B747,"5 1 3 1 7 12 31111 6 M78 15000 171 00I 001 31701 025 2112000*")-SUMIFS(E661:E747,K661:K747,"0",B661:B747,"5 1 3 1 7 12 31111 6 M78 15000 171 00I 001 31701 025 2112000*")</f>
        <v>0</v>
      </c>
      <c r="E660" s="35"/>
      <c r="F660" s="34">
        <f>SUMIFS(F661:F747,K661:K747,"0",B661:B747,"5 1 3 1 7 12 31111 6 M78 15000 171 00I 001 31701 025 2112000*")</f>
        <v>80000</v>
      </c>
      <c r="G660" s="34">
        <f>SUMIFS(G661:G747,K661:K747,"0",B661:B747,"5 1 3 1 7 12 31111 6 M78 15000 171 00I 001 31701 025 2112000*")</f>
        <v>0</v>
      </c>
      <c r="H660" s="34">
        <f t="shared" si="13"/>
        <v>80000</v>
      </c>
      <c r="I660" s="34"/>
      <c r="K660" t="s">
        <v>15</v>
      </c>
    </row>
    <row r="661" spans="2:11" ht="33" x14ac:dyDescent="0.15">
      <c r="B661" s="33" t="s">
        <v>894</v>
      </c>
      <c r="C661" s="33" t="s">
        <v>318</v>
      </c>
      <c r="D661" s="34">
        <f>SUMIFS(D662:D747,K662:K747,"0",B662:B747,"5 1 3 1 7 12 31111 6 M78 15000 171 00I 001 31701 025 2112000 2024*")-SUMIFS(E662:E747,K662:K747,"0",B662:B747,"5 1 3 1 7 12 31111 6 M78 15000 171 00I 001 31701 025 2112000 2024*")</f>
        <v>0</v>
      </c>
      <c r="E661" s="35"/>
      <c r="F661" s="34">
        <f>SUMIFS(F662:F747,K662:K747,"0",B662:B747,"5 1 3 1 7 12 31111 6 M78 15000 171 00I 001 31701 025 2112000 2024*")</f>
        <v>80000</v>
      </c>
      <c r="G661" s="34">
        <f>SUMIFS(G662:G747,K662:K747,"0",B662:B747,"5 1 3 1 7 12 31111 6 M78 15000 171 00I 001 31701 025 2112000 2024*")</f>
        <v>0</v>
      </c>
      <c r="H661" s="34">
        <f t="shared" si="13"/>
        <v>80000</v>
      </c>
      <c r="I661" s="34"/>
      <c r="K661" t="s">
        <v>15</v>
      </c>
    </row>
    <row r="662" spans="2:11" ht="33" x14ac:dyDescent="0.15">
      <c r="B662" s="33" t="s">
        <v>895</v>
      </c>
      <c r="C662" s="33" t="s">
        <v>179</v>
      </c>
      <c r="D662" s="34">
        <f>SUMIFS(D663:D747,K663:K747,"0",B663:B747,"5 1 3 1 7 12 31111 6 M78 15000 171 00I 001 31701 025 2112000 2024 00000000*")-SUMIFS(E663:E747,K663:K747,"0",B663:B747,"5 1 3 1 7 12 31111 6 M78 15000 171 00I 001 31701 025 2112000 2024 00000000*")</f>
        <v>0</v>
      </c>
      <c r="E662" s="35"/>
      <c r="F662" s="34">
        <f>SUMIFS(F663:F747,K663:K747,"0",B663:B747,"5 1 3 1 7 12 31111 6 M78 15000 171 00I 001 31701 025 2112000 2024 00000000*")</f>
        <v>80000</v>
      </c>
      <c r="G662" s="34">
        <f>SUMIFS(G663:G747,K663:K747,"0",B663:B747,"5 1 3 1 7 12 31111 6 M78 15000 171 00I 001 31701 025 2112000 2024 00000000*")</f>
        <v>0</v>
      </c>
      <c r="H662" s="34">
        <f t="shared" si="13"/>
        <v>80000</v>
      </c>
      <c r="I662" s="34"/>
      <c r="K662" t="s">
        <v>15</v>
      </c>
    </row>
    <row r="663" spans="2:11" ht="33" x14ac:dyDescent="0.15">
      <c r="B663" s="33" t="s">
        <v>896</v>
      </c>
      <c r="C663" s="33" t="s">
        <v>9</v>
      </c>
      <c r="D663" s="34">
        <f>SUMIFS(D664:D747,K664:K747,"0",B664:B747,"5 1 3 1 7 12 31111 6 M78 15000 171 00I 001 31701 025 2112000 2024 00000000 003*")-SUMIFS(E664:E747,K664:K747,"0",B664:B747,"5 1 3 1 7 12 31111 6 M78 15000 171 00I 001 31701 025 2112000 2024 00000000 003*")</f>
        <v>0</v>
      </c>
      <c r="E663" s="35"/>
      <c r="F663" s="34">
        <f>SUMIFS(F664:F747,K664:K747,"0",B664:B747,"5 1 3 1 7 12 31111 6 M78 15000 171 00I 001 31701 025 2112000 2024 00000000 003*")</f>
        <v>80000</v>
      </c>
      <c r="G663" s="34">
        <f>SUMIFS(G664:G747,K664:K747,"0",B664:B747,"5 1 3 1 7 12 31111 6 M78 15000 171 00I 001 31701 025 2112000 2024 00000000 003*")</f>
        <v>0</v>
      </c>
      <c r="H663" s="34">
        <f t="shared" si="13"/>
        <v>80000</v>
      </c>
      <c r="I663" s="34"/>
      <c r="K663" t="s">
        <v>15</v>
      </c>
    </row>
    <row r="664" spans="2:11" ht="33" x14ac:dyDescent="0.15">
      <c r="B664" s="36" t="s">
        <v>897</v>
      </c>
      <c r="C664" s="36" t="s">
        <v>898</v>
      </c>
      <c r="D664" s="37">
        <v>0</v>
      </c>
      <c r="E664" s="37"/>
      <c r="F664" s="37">
        <v>80000</v>
      </c>
      <c r="G664" s="37">
        <v>0</v>
      </c>
      <c r="H664" s="37">
        <f t="shared" si="13"/>
        <v>80000</v>
      </c>
      <c r="I664" s="37"/>
      <c r="K664" t="s">
        <v>39</v>
      </c>
    </row>
    <row r="665" spans="2:11" ht="13" x14ac:dyDescent="0.15">
      <c r="B665" s="33" t="s">
        <v>899</v>
      </c>
      <c r="C665" s="33" t="s">
        <v>900</v>
      </c>
      <c r="D665" s="34">
        <f>SUMIFS(D666:D747,K666:K747,"0",B666:B747,"5 1 3 3*")-SUMIFS(E666:E747,K666:K747,"0",B666:B747,"5 1 3 3*")</f>
        <v>0</v>
      </c>
      <c r="E665" s="35"/>
      <c r="F665" s="34">
        <f>SUMIFS(F666:F747,K666:K747,"0",B666:B747,"5 1 3 3*")</f>
        <v>77000</v>
      </c>
      <c r="G665" s="34">
        <f>SUMIFS(G666:G747,K666:K747,"0",B666:B747,"5 1 3 3*")</f>
        <v>0</v>
      </c>
      <c r="H665" s="34">
        <f t="shared" si="13"/>
        <v>77000</v>
      </c>
      <c r="I665" s="34"/>
      <c r="K665" t="s">
        <v>15</v>
      </c>
    </row>
    <row r="666" spans="2:11" ht="22" x14ac:dyDescent="0.15">
      <c r="B666" s="33" t="s">
        <v>901</v>
      </c>
      <c r="C666" s="33" t="s">
        <v>902</v>
      </c>
      <c r="D666" s="34">
        <f>SUMIFS(D667:D747,K667:K747,"0",B667:B747,"5 1 3 3 6*")-SUMIFS(E667:E747,K667:K747,"0",B667:B747,"5 1 3 3 6*")</f>
        <v>0</v>
      </c>
      <c r="E666" s="35"/>
      <c r="F666" s="34">
        <f>SUMIFS(F667:F747,K667:K747,"0",B667:B747,"5 1 3 3 6*")</f>
        <v>77000</v>
      </c>
      <c r="G666" s="34">
        <f>SUMIFS(G667:G747,K667:K747,"0",B667:B747,"5 1 3 3 6*")</f>
        <v>0</v>
      </c>
      <c r="H666" s="34">
        <f t="shared" si="13"/>
        <v>77000</v>
      </c>
      <c r="I666" s="34"/>
      <c r="K666" t="s">
        <v>15</v>
      </c>
    </row>
    <row r="667" spans="2:11" ht="13" x14ac:dyDescent="0.15">
      <c r="B667" s="33" t="s">
        <v>903</v>
      </c>
      <c r="C667" s="33" t="s">
        <v>26</v>
      </c>
      <c r="D667" s="34">
        <f>SUMIFS(D668:D747,K668:K747,"0",B668:B747,"5 1 3 3 6 12*")-SUMIFS(E668:E747,K668:K747,"0",B668:B747,"5 1 3 3 6 12*")</f>
        <v>0</v>
      </c>
      <c r="E667" s="35"/>
      <c r="F667" s="34">
        <f>SUMIFS(F668:F747,K668:K747,"0",B668:B747,"5 1 3 3 6 12*")</f>
        <v>77000</v>
      </c>
      <c r="G667" s="34">
        <f>SUMIFS(G668:G747,K668:K747,"0",B668:B747,"5 1 3 3 6 12*")</f>
        <v>0</v>
      </c>
      <c r="H667" s="34">
        <f t="shared" si="13"/>
        <v>77000</v>
      </c>
      <c r="I667" s="34"/>
      <c r="K667" t="s">
        <v>15</v>
      </c>
    </row>
    <row r="668" spans="2:11" ht="13" x14ac:dyDescent="0.15">
      <c r="B668" s="33" t="s">
        <v>904</v>
      </c>
      <c r="C668" s="33" t="s">
        <v>28</v>
      </c>
      <c r="D668" s="34">
        <f>SUMIFS(D669:D747,K669:K747,"0",B669:B747,"5 1 3 3 6 12 31111*")-SUMIFS(E669:E747,K669:K747,"0",B669:B747,"5 1 3 3 6 12 31111*")</f>
        <v>0</v>
      </c>
      <c r="E668" s="35"/>
      <c r="F668" s="34">
        <f>SUMIFS(F669:F747,K669:K747,"0",B669:B747,"5 1 3 3 6 12 31111*")</f>
        <v>77000</v>
      </c>
      <c r="G668" s="34">
        <f>SUMIFS(G669:G747,K669:K747,"0",B669:B747,"5 1 3 3 6 12 31111*")</f>
        <v>0</v>
      </c>
      <c r="H668" s="34">
        <f t="shared" si="13"/>
        <v>77000</v>
      </c>
      <c r="I668" s="34"/>
      <c r="K668" t="s">
        <v>15</v>
      </c>
    </row>
    <row r="669" spans="2:11" ht="13" x14ac:dyDescent="0.15">
      <c r="B669" s="33" t="s">
        <v>905</v>
      </c>
      <c r="C669" s="33" t="s">
        <v>30</v>
      </c>
      <c r="D669" s="34">
        <f>SUMIFS(D670:D747,K670:K747,"0",B670:B747,"5 1 3 3 6 12 31111 6*")-SUMIFS(E670:E747,K670:K747,"0",B670:B747,"5 1 3 3 6 12 31111 6*")</f>
        <v>0</v>
      </c>
      <c r="E669" s="35"/>
      <c r="F669" s="34">
        <f>SUMIFS(F670:F747,K670:K747,"0",B670:B747,"5 1 3 3 6 12 31111 6*")</f>
        <v>77000</v>
      </c>
      <c r="G669" s="34">
        <f>SUMIFS(G670:G747,K670:K747,"0",B670:B747,"5 1 3 3 6 12 31111 6*")</f>
        <v>0</v>
      </c>
      <c r="H669" s="34">
        <f t="shared" si="13"/>
        <v>77000</v>
      </c>
      <c r="I669" s="34"/>
      <c r="K669" t="s">
        <v>15</v>
      </c>
    </row>
    <row r="670" spans="2:11" ht="13" x14ac:dyDescent="0.15">
      <c r="B670" s="33" t="s">
        <v>906</v>
      </c>
      <c r="C670" s="33" t="s">
        <v>503</v>
      </c>
      <c r="D670" s="34">
        <f>SUMIFS(D671:D747,K671:K747,"0",B671:B747,"5 1 3 3 6 12 31111 6 M78*")-SUMIFS(E671:E747,K671:K747,"0",B671:B747,"5 1 3 3 6 12 31111 6 M78*")</f>
        <v>0</v>
      </c>
      <c r="E670" s="35"/>
      <c r="F670" s="34">
        <f>SUMIFS(F671:F747,K671:K747,"0",B671:B747,"5 1 3 3 6 12 31111 6 M78*")</f>
        <v>77000</v>
      </c>
      <c r="G670" s="34">
        <f>SUMIFS(G671:G747,K671:K747,"0",B671:B747,"5 1 3 3 6 12 31111 6 M78*")</f>
        <v>0</v>
      </c>
      <c r="H670" s="34">
        <f t="shared" si="13"/>
        <v>77000</v>
      </c>
      <c r="I670" s="34"/>
      <c r="K670" t="s">
        <v>15</v>
      </c>
    </row>
    <row r="671" spans="2:11" ht="13" x14ac:dyDescent="0.15">
      <c r="B671" s="33" t="s">
        <v>907</v>
      </c>
      <c r="C671" s="33" t="s">
        <v>163</v>
      </c>
      <c r="D671" s="34">
        <f>SUMIFS(D672:D747,K672:K747,"0",B672:B747,"5 1 3 3 6 12 31111 6 M78 15000*")-SUMIFS(E672:E747,K672:K747,"0",B672:B747,"5 1 3 3 6 12 31111 6 M78 15000*")</f>
        <v>0</v>
      </c>
      <c r="E671" s="35"/>
      <c r="F671" s="34">
        <f>SUMIFS(F672:F747,K672:K747,"0",B672:B747,"5 1 3 3 6 12 31111 6 M78 15000*")</f>
        <v>77000</v>
      </c>
      <c r="G671" s="34">
        <f>SUMIFS(G672:G747,K672:K747,"0",B672:B747,"5 1 3 3 6 12 31111 6 M78 15000*")</f>
        <v>0</v>
      </c>
      <c r="H671" s="34">
        <f t="shared" si="13"/>
        <v>77000</v>
      </c>
      <c r="I671" s="34"/>
      <c r="K671" t="s">
        <v>15</v>
      </c>
    </row>
    <row r="672" spans="2:11" ht="22" x14ac:dyDescent="0.15">
      <c r="B672" s="33" t="s">
        <v>908</v>
      </c>
      <c r="C672" s="33" t="s">
        <v>165</v>
      </c>
      <c r="D672" s="34">
        <f>SUMIFS(D673:D747,K673:K747,"0",B673:B747,"5 1 3 3 6 12 31111 6 M78 15000 171*")-SUMIFS(E673:E747,K673:K747,"0",B673:B747,"5 1 3 3 6 12 31111 6 M78 15000 171*")</f>
        <v>0</v>
      </c>
      <c r="E672" s="35"/>
      <c r="F672" s="34">
        <f>SUMIFS(F673:F747,K673:K747,"0",B673:B747,"5 1 3 3 6 12 31111 6 M78 15000 171*")</f>
        <v>77000</v>
      </c>
      <c r="G672" s="34">
        <f>SUMIFS(G673:G747,K673:K747,"0",B673:B747,"5 1 3 3 6 12 31111 6 M78 15000 171*")</f>
        <v>0</v>
      </c>
      <c r="H672" s="34">
        <f t="shared" si="13"/>
        <v>77000</v>
      </c>
      <c r="I672" s="34"/>
      <c r="K672" t="s">
        <v>15</v>
      </c>
    </row>
    <row r="673" spans="2:11" ht="22" x14ac:dyDescent="0.15">
      <c r="B673" s="33" t="s">
        <v>909</v>
      </c>
      <c r="C673" s="33" t="s">
        <v>167</v>
      </c>
      <c r="D673" s="34">
        <f>SUMIFS(D674:D747,K674:K747,"0",B674:B747,"5 1 3 3 6 12 31111 6 M78 15000 171 00I*")-SUMIFS(E674:E747,K674:K747,"0",B674:B747,"5 1 3 3 6 12 31111 6 M78 15000 171 00I*")</f>
        <v>0</v>
      </c>
      <c r="E673" s="35"/>
      <c r="F673" s="34">
        <f>SUMIFS(F674:F747,K674:K747,"0",B674:B747,"5 1 3 3 6 12 31111 6 M78 15000 171 00I*")</f>
        <v>77000</v>
      </c>
      <c r="G673" s="34">
        <f>SUMIFS(G674:G747,K674:K747,"0",B674:B747,"5 1 3 3 6 12 31111 6 M78 15000 171 00I*")</f>
        <v>0</v>
      </c>
      <c r="H673" s="34">
        <f t="shared" si="13"/>
        <v>77000</v>
      </c>
      <c r="I673" s="34"/>
      <c r="K673" t="s">
        <v>15</v>
      </c>
    </row>
    <row r="674" spans="2:11" ht="22" x14ac:dyDescent="0.15">
      <c r="B674" s="33" t="s">
        <v>910</v>
      </c>
      <c r="C674" s="33" t="s">
        <v>455</v>
      </c>
      <c r="D674" s="34">
        <f>SUMIFS(D675:D747,K675:K747,"0",B675:B747,"5 1 3 3 6 12 31111 6 M78 15000 171 00I 001*")-SUMIFS(E675:E747,K675:K747,"0",B675:B747,"5 1 3 3 6 12 31111 6 M78 15000 171 00I 001*")</f>
        <v>0</v>
      </c>
      <c r="E674" s="35"/>
      <c r="F674" s="34">
        <f>SUMIFS(F675:F747,K675:K747,"0",B675:B747,"5 1 3 3 6 12 31111 6 M78 15000 171 00I 001*")</f>
        <v>77000</v>
      </c>
      <c r="G674" s="34">
        <f>SUMIFS(G675:G747,K675:K747,"0",B675:B747,"5 1 3 3 6 12 31111 6 M78 15000 171 00I 001*")</f>
        <v>0</v>
      </c>
      <c r="H674" s="34">
        <f t="shared" si="13"/>
        <v>77000</v>
      </c>
      <c r="I674" s="34"/>
      <c r="K674" t="s">
        <v>15</v>
      </c>
    </row>
    <row r="675" spans="2:11" ht="22" x14ac:dyDescent="0.15">
      <c r="B675" s="33" t="s">
        <v>911</v>
      </c>
      <c r="C675" s="33" t="s">
        <v>912</v>
      </c>
      <c r="D675" s="34">
        <f>SUMIFS(D676:D747,K676:K747,"0",B676:B747,"5 1 3 3 6 12 31111 6 M78 15000 171 00I 001 33604*")-SUMIFS(E676:E747,K676:K747,"0",B676:B747,"5 1 3 3 6 12 31111 6 M78 15000 171 00I 001 33604*")</f>
        <v>0</v>
      </c>
      <c r="E675" s="35"/>
      <c r="F675" s="34">
        <f>SUMIFS(F676:F747,K676:K747,"0",B676:B747,"5 1 3 3 6 12 31111 6 M78 15000 171 00I 001 33604*")</f>
        <v>77000</v>
      </c>
      <c r="G675" s="34">
        <f>SUMIFS(G676:G747,K676:K747,"0",B676:B747,"5 1 3 3 6 12 31111 6 M78 15000 171 00I 001 33604*")</f>
        <v>0</v>
      </c>
      <c r="H675" s="34">
        <f t="shared" si="13"/>
        <v>77000</v>
      </c>
      <c r="I675" s="34"/>
      <c r="K675" t="s">
        <v>15</v>
      </c>
    </row>
    <row r="676" spans="2:11" ht="22" x14ac:dyDescent="0.15">
      <c r="B676" s="33" t="s">
        <v>913</v>
      </c>
      <c r="C676" s="33" t="s">
        <v>173</v>
      </c>
      <c r="D676" s="34">
        <f>SUMIFS(D677:D747,K677:K747,"0",B677:B747,"5 1 3 3 6 12 31111 6 M78 15000 171 00I 001 33604 025*")-SUMIFS(E677:E747,K677:K747,"0",B677:B747,"5 1 3 3 6 12 31111 6 M78 15000 171 00I 001 33604 025*")</f>
        <v>0</v>
      </c>
      <c r="E676" s="35"/>
      <c r="F676" s="34">
        <f>SUMIFS(F677:F747,K677:K747,"0",B677:B747,"5 1 3 3 6 12 31111 6 M78 15000 171 00I 001 33604 025*")</f>
        <v>77000</v>
      </c>
      <c r="G676" s="34">
        <f>SUMIFS(G677:G747,K677:K747,"0",B677:B747,"5 1 3 3 6 12 31111 6 M78 15000 171 00I 001 33604 025*")</f>
        <v>0</v>
      </c>
      <c r="H676" s="34">
        <f t="shared" si="13"/>
        <v>77000</v>
      </c>
      <c r="I676" s="34"/>
      <c r="K676" t="s">
        <v>15</v>
      </c>
    </row>
    <row r="677" spans="2:11" ht="22" x14ac:dyDescent="0.15">
      <c r="B677" s="33" t="s">
        <v>914</v>
      </c>
      <c r="C677" s="33" t="s">
        <v>175</v>
      </c>
      <c r="D677" s="34">
        <f>SUMIFS(D678:D747,K678:K747,"0",B678:B747,"5 1 3 3 6 12 31111 6 M78 15000 171 00I 001 33604 025 2112000*")-SUMIFS(E678:E747,K678:K747,"0",B678:B747,"5 1 3 3 6 12 31111 6 M78 15000 171 00I 001 33604 025 2112000*")</f>
        <v>0</v>
      </c>
      <c r="E677" s="35"/>
      <c r="F677" s="34">
        <f>SUMIFS(F678:F747,K678:K747,"0",B678:B747,"5 1 3 3 6 12 31111 6 M78 15000 171 00I 001 33604 025 2112000*")</f>
        <v>77000</v>
      </c>
      <c r="G677" s="34">
        <f>SUMIFS(G678:G747,K678:K747,"0",B678:B747,"5 1 3 3 6 12 31111 6 M78 15000 171 00I 001 33604 025 2112000*")</f>
        <v>0</v>
      </c>
      <c r="H677" s="34">
        <f t="shared" si="13"/>
        <v>77000</v>
      </c>
      <c r="I677" s="34"/>
      <c r="K677" t="s">
        <v>15</v>
      </c>
    </row>
    <row r="678" spans="2:11" ht="33" x14ac:dyDescent="0.15">
      <c r="B678" s="33" t="s">
        <v>915</v>
      </c>
      <c r="C678" s="33" t="s">
        <v>318</v>
      </c>
      <c r="D678" s="34">
        <f>SUMIFS(D679:D747,K679:K747,"0",B679:B747,"5 1 3 3 6 12 31111 6 M78 15000 171 00I 001 33604 025 2112000 2024*")-SUMIFS(E679:E747,K679:K747,"0",B679:B747,"5 1 3 3 6 12 31111 6 M78 15000 171 00I 001 33604 025 2112000 2024*")</f>
        <v>0</v>
      </c>
      <c r="E678" s="35"/>
      <c r="F678" s="34">
        <f>SUMIFS(F679:F747,K679:K747,"0",B679:B747,"5 1 3 3 6 12 31111 6 M78 15000 171 00I 001 33604 025 2112000 2024*")</f>
        <v>77000</v>
      </c>
      <c r="G678" s="34">
        <f>SUMIFS(G679:G747,K679:K747,"0",B679:B747,"5 1 3 3 6 12 31111 6 M78 15000 171 00I 001 33604 025 2112000 2024*")</f>
        <v>0</v>
      </c>
      <c r="H678" s="34">
        <f t="shared" si="13"/>
        <v>77000</v>
      </c>
      <c r="I678" s="34"/>
      <c r="K678" t="s">
        <v>15</v>
      </c>
    </row>
    <row r="679" spans="2:11" ht="33" x14ac:dyDescent="0.15">
      <c r="B679" s="33" t="s">
        <v>916</v>
      </c>
      <c r="C679" s="33" t="s">
        <v>179</v>
      </c>
      <c r="D679" s="34">
        <f>SUMIFS(D680:D747,K680:K747,"0",B680:B747,"5 1 3 3 6 12 31111 6 M78 15000 171 00I 001 33604 025 2112000 2024 00000000*")-SUMIFS(E680:E747,K680:K747,"0",B680:B747,"5 1 3 3 6 12 31111 6 M78 15000 171 00I 001 33604 025 2112000 2024 00000000*")</f>
        <v>0</v>
      </c>
      <c r="E679" s="35"/>
      <c r="F679" s="34">
        <f>SUMIFS(F680:F747,K680:K747,"0",B680:B747,"5 1 3 3 6 12 31111 6 M78 15000 171 00I 001 33604 025 2112000 2024 00000000*")</f>
        <v>77000</v>
      </c>
      <c r="G679" s="34">
        <f>SUMIFS(G680:G747,K680:K747,"0",B680:B747,"5 1 3 3 6 12 31111 6 M78 15000 171 00I 001 33604 025 2112000 2024 00000000*")</f>
        <v>0</v>
      </c>
      <c r="H679" s="34">
        <f t="shared" si="13"/>
        <v>77000</v>
      </c>
      <c r="I679" s="34"/>
      <c r="K679" t="s">
        <v>15</v>
      </c>
    </row>
    <row r="680" spans="2:11" ht="33" x14ac:dyDescent="0.15">
      <c r="B680" s="33" t="s">
        <v>917</v>
      </c>
      <c r="C680" s="33" t="s">
        <v>9</v>
      </c>
      <c r="D680" s="34">
        <f>SUMIFS(D681:D747,K681:K747,"0",B681:B747,"5 1 3 3 6 12 31111 6 M78 15000 171 00I 001 33604 025 2112000 2024 00000000 003*")-SUMIFS(E681:E747,K681:K747,"0",B681:B747,"5 1 3 3 6 12 31111 6 M78 15000 171 00I 001 33604 025 2112000 2024 00000000 003*")</f>
        <v>0</v>
      </c>
      <c r="E680" s="35"/>
      <c r="F680" s="34">
        <f>SUMIFS(F681:F747,K681:K747,"0",B681:B747,"5 1 3 3 6 12 31111 6 M78 15000 171 00I 001 33604 025 2112000 2024 00000000 003*")</f>
        <v>77000</v>
      </c>
      <c r="G680" s="34">
        <f>SUMIFS(G681:G747,K681:K747,"0",B681:B747,"5 1 3 3 6 12 31111 6 M78 15000 171 00I 001 33604 025 2112000 2024 00000000 003*")</f>
        <v>0</v>
      </c>
      <c r="H680" s="34">
        <f t="shared" si="13"/>
        <v>77000</v>
      </c>
      <c r="I680" s="34"/>
      <c r="K680" t="s">
        <v>15</v>
      </c>
    </row>
    <row r="681" spans="2:11" ht="33" x14ac:dyDescent="0.15">
      <c r="B681" s="36" t="s">
        <v>918</v>
      </c>
      <c r="C681" s="36" t="s">
        <v>919</v>
      </c>
      <c r="D681" s="37">
        <v>0</v>
      </c>
      <c r="E681" s="37"/>
      <c r="F681" s="37">
        <v>77000</v>
      </c>
      <c r="G681" s="37">
        <v>0</v>
      </c>
      <c r="H681" s="37">
        <f t="shared" si="13"/>
        <v>77000</v>
      </c>
      <c r="I681" s="37"/>
      <c r="K681" t="s">
        <v>39</v>
      </c>
    </row>
    <row r="682" spans="2:11" ht="13" x14ac:dyDescent="0.15">
      <c r="B682" s="33" t="s">
        <v>920</v>
      </c>
      <c r="C682" s="33" t="s">
        <v>921</v>
      </c>
      <c r="D682" s="34">
        <f>SUMIFS(D683:D747,K683:K747,"0",B683:B747,"5 1 3 4*")-SUMIFS(E683:E747,K683:K747,"0",B683:B747,"5 1 3 4*")</f>
        <v>0</v>
      </c>
      <c r="E682" s="35"/>
      <c r="F682" s="34">
        <f>SUMIFS(F683:F747,K683:K747,"0",B683:B747,"5 1 3 4*")</f>
        <v>348</v>
      </c>
      <c r="G682" s="34">
        <f>SUMIFS(G683:G747,K683:K747,"0",B683:B747,"5 1 3 4*")</f>
        <v>0</v>
      </c>
      <c r="H682" s="34">
        <f t="shared" si="13"/>
        <v>348</v>
      </c>
      <c r="I682" s="34"/>
      <c r="K682" t="s">
        <v>15</v>
      </c>
    </row>
    <row r="683" spans="2:11" ht="13" x14ac:dyDescent="0.15">
      <c r="B683" s="33" t="s">
        <v>922</v>
      </c>
      <c r="C683" s="33" t="s">
        <v>923</v>
      </c>
      <c r="D683" s="34">
        <f>SUMIFS(D684:D747,K684:K747,"0",B684:B747,"5 1 3 4 1*")-SUMIFS(E684:E747,K684:K747,"0",B684:B747,"5 1 3 4 1*")</f>
        <v>0</v>
      </c>
      <c r="E683" s="35"/>
      <c r="F683" s="34">
        <f>SUMIFS(F684:F747,K684:K747,"0",B684:B747,"5 1 3 4 1*")</f>
        <v>348</v>
      </c>
      <c r="G683" s="34">
        <f>SUMIFS(G684:G747,K684:K747,"0",B684:B747,"5 1 3 4 1*")</f>
        <v>0</v>
      </c>
      <c r="H683" s="34">
        <f t="shared" si="13"/>
        <v>348</v>
      </c>
      <c r="I683" s="34"/>
      <c r="K683" t="s">
        <v>15</v>
      </c>
    </row>
    <row r="684" spans="2:11" ht="13" x14ac:dyDescent="0.15">
      <c r="B684" s="33" t="s">
        <v>924</v>
      </c>
      <c r="C684" s="33" t="s">
        <v>26</v>
      </c>
      <c r="D684" s="34">
        <f>SUMIFS(D685:D747,K685:K747,"0",B685:B747,"5 1 3 4 1 12*")-SUMIFS(E685:E747,K685:K747,"0",B685:B747,"5 1 3 4 1 12*")</f>
        <v>0</v>
      </c>
      <c r="E684" s="35"/>
      <c r="F684" s="34">
        <f>SUMIFS(F685:F747,K685:K747,"0",B685:B747,"5 1 3 4 1 12*")</f>
        <v>348</v>
      </c>
      <c r="G684" s="34">
        <f>SUMIFS(G685:G747,K685:K747,"0",B685:B747,"5 1 3 4 1 12*")</f>
        <v>0</v>
      </c>
      <c r="H684" s="34">
        <f t="shared" si="13"/>
        <v>348</v>
      </c>
      <c r="I684" s="34"/>
      <c r="K684" t="s">
        <v>15</v>
      </c>
    </row>
    <row r="685" spans="2:11" ht="13" x14ac:dyDescent="0.15">
      <c r="B685" s="33" t="s">
        <v>925</v>
      </c>
      <c r="C685" s="33" t="s">
        <v>28</v>
      </c>
      <c r="D685" s="34">
        <f>SUMIFS(D686:D747,K686:K747,"0",B686:B747,"5 1 3 4 1 12 31111*")-SUMIFS(E686:E747,K686:K747,"0",B686:B747,"5 1 3 4 1 12 31111*")</f>
        <v>0</v>
      </c>
      <c r="E685" s="35"/>
      <c r="F685" s="34">
        <f>SUMIFS(F686:F747,K686:K747,"0",B686:B747,"5 1 3 4 1 12 31111*")</f>
        <v>348</v>
      </c>
      <c r="G685" s="34">
        <f>SUMIFS(G686:G747,K686:K747,"0",B686:B747,"5 1 3 4 1 12 31111*")</f>
        <v>0</v>
      </c>
      <c r="H685" s="34">
        <f t="shared" si="13"/>
        <v>348</v>
      </c>
      <c r="I685" s="34"/>
      <c r="K685" t="s">
        <v>15</v>
      </c>
    </row>
    <row r="686" spans="2:11" ht="13" x14ac:dyDescent="0.15">
      <c r="B686" s="33" t="s">
        <v>926</v>
      </c>
      <c r="C686" s="33" t="s">
        <v>30</v>
      </c>
      <c r="D686" s="34">
        <f>SUMIFS(D687:D747,K687:K747,"0",B687:B747,"5 1 3 4 1 12 31111 6*")-SUMIFS(E687:E747,K687:K747,"0",B687:B747,"5 1 3 4 1 12 31111 6*")</f>
        <v>0</v>
      </c>
      <c r="E686" s="35"/>
      <c r="F686" s="34">
        <f>SUMIFS(F687:F747,K687:K747,"0",B687:B747,"5 1 3 4 1 12 31111 6*")</f>
        <v>348</v>
      </c>
      <c r="G686" s="34">
        <f>SUMIFS(G687:G747,K687:K747,"0",B687:B747,"5 1 3 4 1 12 31111 6*")</f>
        <v>0</v>
      </c>
      <c r="H686" s="34">
        <f t="shared" si="13"/>
        <v>348</v>
      </c>
      <c r="I686" s="34"/>
      <c r="K686" t="s">
        <v>15</v>
      </c>
    </row>
    <row r="687" spans="2:11" ht="13" x14ac:dyDescent="0.15">
      <c r="B687" s="33" t="s">
        <v>927</v>
      </c>
      <c r="C687" s="33" t="s">
        <v>503</v>
      </c>
      <c r="D687" s="34">
        <f>SUMIFS(D688:D747,K688:K747,"0",B688:B747,"5 1 3 4 1 12 31111 6 M78*")-SUMIFS(E688:E747,K688:K747,"0",B688:B747,"5 1 3 4 1 12 31111 6 M78*")</f>
        <v>0</v>
      </c>
      <c r="E687" s="35"/>
      <c r="F687" s="34">
        <f>SUMIFS(F688:F747,K688:K747,"0",B688:B747,"5 1 3 4 1 12 31111 6 M78*")</f>
        <v>348</v>
      </c>
      <c r="G687" s="34">
        <f>SUMIFS(G688:G747,K688:K747,"0",B688:B747,"5 1 3 4 1 12 31111 6 M78*")</f>
        <v>0</v>
      </c>
      <c r="H687" s="34">
        <f t="shared" si="13"/>
        <v>348</v>
      </c>
      <c r="I687" s="34"/>
      <c r="K687" t="s">
        <v>15</v>
      </c>
    </row>
    <row r="688" spans="2:11" ht="13" x14ac:dyDescent="0.15">
      <c r="B688" s="33" t="s">
        <v>928</v>
      </c>
      <c r="C688" s="33" t="s">
        <v>163</v>
      </c>
      <c r="D688" s="34">
        <f>SUMIFS(D689:D747,K689:K747,"0",B689:B747,"5 1 3 4 1 12 31111 6 M78 15000*")-SUMIFS(E689:E747,K689:K747,"0",B689:B747,"5 1 3 4 1 12 31111 6 M78 15000*")</f>
        <v>0</v>
      </c>
      <c r="E688" s="35"/>
      <c r="F688" s="34">
        <f>SUMIFS(F689:F747,K689:K747,"0",B689:B747,"5 1 3 4 1 12 31111 6 M78 15000*")</f>
        <v>348</v>
      </c>
      <c r="G688" s="34">
        <f>SUMIFS(G689:G747,K689:K747,"0",B689:B747,"5 1 3 4 1 12 31111 6 M78 15000*")</f>
        <v>0</v>
      </c>
      <c r="H688" s="34">
        <f t="shared" si="13"/>
        <v>348</v>
      </c>
      <c r="I688" s="34"/>
      <c r="K688" t="s">
        <v>15</v>
      </c>
    </row>
    <row r="689" spans="2:11" ht="22" x14ac:dyDescent="0.15">
      <c r="B689" s="33" t="s">
        <v>929</v>
      </c>
      <c r="C689" s="33" t="s">
        <v>165</v>
      </c>
      <c r="D689" s="34">
        <f>SUMIFS(D690:D747,K690:K747,"0",B690:B747,"5 1 3 4 1 12 31111 6 M78 15000 171*")-SUMIFS(E690:E747,K690:K747,"0",B690:B747,"5 1 3 4 1 12 31111 6 M78 15000 171*")</f>
        <v>0</v>
      </c>
      <c r="E689" s="35"/>
      <c r="F689" s="34">
        <f>SUMIFS(F690:F747,K690:K747,"0",B690:B747,"5 1 3 4 1 12 31111 6 M78 15000 171*")</f>
        <v>348</v>
      </c>
      <c r="G689" s="34">
        <f>SUMIFS(G690:G747,K690:K747,"0",B690:B747,"5 1 3 4 1 12 31111 6 M78 15000 171*")</f>
        <v>0</v>
      </c>
      <c r="H689" s="34">
        <f t="shared" si="13"/>
        <v>348</v>
      </c>
      <c r="I689" s="34"/>
      <c r="K689" t="s">
        <v>15</v>
      </c>
    </row>
    <row r="690" spans="2:11" ht="22" x14ac:dyDescent="0.15">
      <c r="B690" s="33" t="s">
        <v>930</v>
      </c>
      <c r="C690" s="33" t="s">
        <v>167</v>
      </c>
      <c r="D690" s="34">
        <f>SUMIFS(D691:D747,K691:K747,"0",B691:B747,"5 1 3 4 1 12 31111 6 M78 15000 171 00I*")-SUMIFS(E691:E747,K691:K747,"0",B691:B747,"5 1 3 4 1 12 31111 6 M78 15000 171 00I*")</f>
        <v>0</v>
      </c>
      <c r="E690" s="35"/>
      <c r="F690" s="34">
        <f>SUMIFS(F691:F747,K691:K747,"0",B691:B747,"5 1 3 4 1 12 31111 6 M78 15000 171 00I*")</f>
        <v>348</v>
      </c>
      <c r="G690" s="34">
        <f>SUMIFS(G691:G747,K691:K747,"0",B691:B747,"5 1 3 4 1 12 31111 6 M78 15000 171 00I*")</f>
        <v>0</v>
      </c>
      <c r="H690" s="34">
        <f t="shared" si="13"/>
        <v>348</v>
      </c>
      <c r="I690" s="34"/>
      <c r="K690" t="s">
        <v>15</v>
      </c>
    </row>
    <row r="691" spans="2:11" ht="22" x14ac:dyDescent="0.15">
      <c r="B691" s="33" t="s">
        <v>931</v>
      </c>
      <c r="C691" s="33" t="s">
        <v>455</v>
      </c>
      <c r="D691" s="34">
        <f>SUMIFS(D692:D747,K692:K747,"0",B692:B747,"5 1 3 4 1 12 31111 6 M78 15000 171 00I 001*")-SUMIFS(E692:E747,K692:K747,"0",B692:B747,"5 1 3 4 1 12 31111 6 M78 15000 171 00I 001*")</f>
        <v>0</v>
      </c>
      <c r="E691" s="35"/>
      <c r="F691" s="34">
        <f>SUMIFS(F692:F747,K692:K747,"0",B692:B747,"5 1 3 4 1 12 31111 6 M78 15000 171 00I 001*")</f>
        <v>348</v>
      </c>
      <c r="G691" s="34">
        <f>SUMIFS(G692:G747,K692:K747,"0",B692:B747,"5 1 3 4 1 12 31111 6 M78 15000 171 00I 001*")</f>
        <v>0</v>
      </c>
      <c r="H691" s="34">
        <f t="shared" si="13"/>
        <v>348</v>
      </c>
      <c r="I691" s="34"/>
      <c r="K691" t="s">
        <v>15</v>
      </c>
    </row>
    <row r="692" spans="2:11" ht="22" x14ac:dyDescent="0.15">
      <c r="B692" s="33" t="s">
        <v>932</v>
      </c>
      <c r="C692" s="33" t="s">
        <v>933</v>
      </c>
      <c r="D692" s="34">
        <f>SUMIFS(D693:D747,K693:K747,"0",B693:B747,"5 1 3 4 1 12 31111 6 M78 15000 171 00I 001 34101*")-SUMIFS(E693:E747,K693:K747,"0",B693:B747,"5 1 3 4 1 12 31111 6 M78 15000 171 00I 001 34101*")</f>
        <v>0</v>
      </c>
      <c r="E692" s="35"/>
      <c r="F692" s="34">
        <f>SUMIFS(F693:F747,K693:K747,"0",B693:B747,"5 1 3 4 1 12 31111 6 M78 15000 171 00I 001 34101*")</f>
        <v>348</v>
      </c>
      <c r="G692" s="34">
        <f>SUMIFS(G693:G747,K693:K747,"0",B693:B747,"5 1 3 4 1 12 31111 6 M78 15000 171 00I 001 34101*")</f>
        <v>0</v>
      </c>
      <c r="H692" s="34">
        <f t="shared" si="13"/>
        <v>348</v>
      </c>
      <c r="I692" s="34"/>
      <c r="K692" t="s">
        <v>15</v>
      </c>
    </row>
    <row r="693" spans="2:11" ht="22" x14ac:dyDescent="0.15">
      <c r="B693" s="33" t="s">
        <v>934</v>
      </c>
      <c r="C693" s="33" t="s">
        <v>173</v>
      </c>
      <c r="D693" s="34">
        <f>SUMIFS(D694:D747,K694:K747,"0",B694:B747,"5 1 3 4 1 12 31111 6 M78 15000 171 00I 001 34101 025*")-SUMIFS(E694:E747,K694:K747,"0",B694:B747,"5 1 3 4 1 12 31111 6 M78 15000 171 00I 001 34101 025*")</f>
        <v>0</v>
      </c>
      <c r="E693" s="35"/>
      <c r="F693" s="34">
        <f>SUMIFS(F694:F747,K694:K747,"0",B694:B747,"5 1 3 4 1 12 31111 6 M78 15000 171 00I 001 34101 025*")</f>
        <v>348</v>
      </c>
      <c r="G693" s="34">
        <f>SUMIFS(G694:G747,K694:K747,"0",B694:B747,"5 1 3 4 1 12 31111 6 M78 15000 171 00I 001 34101 025*")</f>
        <v>0</v>
      </c>
      <c r="H693" s="34">
        <f t="shared" si="13"/>
        <v>348</v>
      </c>
      <c r="I693" s="34"/>
      <c r="K693" t="s">
        <v>15</v>
      </c>
    </row>
    <row r="694" spans="2:11" ht="22" x14ac:dyDescent="0.15">
      <c r="B694" s="33" t="s">
        <v>935</v>
      </c>
      <c r="C694" s="33" t="s">
        <v>175</v>
      </c>
      <c r="D694" s="34">
        <f>SUMIFS(D695:D747,K695:K747,"0",B695:B747,"5 1 3 4 1 12 31111 6 M78 15000 171 00I 001 34101 025 2112000*")-SUMIFS(E695:E747,K695:K747,"0",B695:B747,"5 1 3 4 1 12 31111 6 M78 15000 171 00I 001 34101 025 2112000*")</f>
        <v>0</v>
      </c>
      <c r="E694" s="35"/>
      <c r="F694" s="34">
        <f>SUMIFS(F695:F747,K695:K747,"0",B695:B747,"5 1 3 4 1 12 31111 6 M78 15000 171 00I 001 34101 025 2112000*")</f>
        <v>348</v>
      </c>
      <c r="G694" s="34">
        <f>SUMIFS(G695:G747,K695:K747,"0",B695:B747,"5 1 3 4 1 12 31111 6 M78 15000 171 00I 001 34101 025 2112000*")</f>
        <v>0</v>
      </c>
      <c r="H694" s="34">
        <f t="shared" si="13"/>
        <v>348</v>
      </c>
      <c r="I694" s="34"/>
      <c r="K694" t="s">
        <v>15</v>
      </c>
    </row>
    <row r="695" spans="2:11" ht="33" x14ac:dyDescent="0.15">
      <c r="B695" s="33" t="s">
        <v>936</v>
      </c>
      <c r="C695" s="33" t="s">
        <v>318</v>
      </c>
      <c r="D695" s="34">
        <f>SUMIFS(D696:D747,K696:K747,"0",B696:B747,"5 1 3 4 1 12 31111 6 M78 15000 171 00I 001 34101 025 2112000 2024*")-SUMIFS(E696:E747,K696:K747,"0",B696:B747,"5 1 3 4 1 12 31111 6 M78 15000 171 00I 001 34101 025 2112000 2024*")</f>
        <v>0</v>
      </c>
      <c r="E695" s="35"/>
      <c r="F695" s="34">
        <f>SUMIFS(F696:F747,K696:K747,"0",B696:B747,"5 1 3 4 1 12 31111 6 M78 15000 171 00I 001 34101 025 2112000 2024*")</f>
        <v>348</v>
      </c>
      <c r="G695" s="34">
        <f>SUMIFS(G696:G747,K696:K747,"0",B696:B747,"5 1 3 4 1 12 31111 6 M78 15000 171 00I 001 34101 025 2112000 2024*")</f>
        <v>0</v>
      </c>
      <c r="H695" s="34">
        <f t="shared" si="13"/>
        <v>348</v>
      </c>
      <c r="I695" s="34"/>
      <c r="K695" t="s">
        <v>15</v>
      </c>
    </row>
    <row r="696" spans="2:11" ht="33" x14ac:dyDescent="0.15">
      <c r="B696" s="33" t="s">
        <v>937</v>
      </c>
      <c r="C696" s="33" t="s">
        <v>179</v>
      </c>
      <c r="D696" s="34">
        <f>SUMIFS(D697:D747,K697:K747,"0",B697:B747,"5 1 3 4 1 12 31111 6 M78 15000 171 00I 001 34101 025 2112000 2024 00000000*")-SUMIFS(E697:E747,K697:K747,"0",B697:B747,"5 1 3 4 1 12 31111 6 M78 15000 171 00I 001 34101 025 2112000 2024 00000000*")</f>
        <v>0</v>
      </c>
      <c r="E696" s="35"/>
      <c r="F696" s="34">
        <f>SUMIFS(F697:F747,K697:K747,"0",B697:B747,"5 1 3 4 1 12 31111 6 M78 15000 171 00I 001 34101 025 2112000 2024 00000000*")</f>
        <v>348</v>
      </c>
      <c r="G696" s="34">
        <f>SUMIFS(G697:G747,K697:K747,"0",B697:B747,"5 1 3 4 1 12 31111 6 M78 15000 171 00I 001 34101 025 2112000 2024 00000000*")</f>
        <v>0</v>
      </c>
      <c r="H696" s="34">
        <f t="shared" si="13"/>
        <v>348</v>
      </c>
      <c r="I696" s="34"/>
      <c r="K696" t="s">
        <v>15</v>
      </c>
    </row>
    <row r="697" spans="2:11" ht="33" x14ac:dyDescent="0.15">
      <c r="B697" s="33" t="s">
        <v>938</v>
      </c>
      <c r="C697" s="33" t="s">
        <v>9</v>
      </c>
      <c r="D697" s="34">
        <f>SUMIFS(D698:D747,K698:K747,"0",B698:B747,"5 1 3 4 1 12 31111 6 M78 15000 171 00I 001 34101 025 2112000 2024 00000000 003*")-SUMIFS(E698:E747,K698:K747,"0",B698:B747,"5 1 3 4 1 12 31111 6 M78 15000 171 00I 001 34101 025 2112000 2024 00000000 003*")</f>
        <v>0</v>
      </c>
      <c r="E697" s="35"/>
      <c r="F697" s="34">
        <f>SUMIFS(F698:F747,K698:K747,"0",B698:B747,"5 1 3 4 1 12 31111 6 M78 15000 171 00I 001 34101 025 2112000 2024 00000000 003*")</f>
        <v>348</v>
      </c>
      <c r="G697" s="34">
        <f>SUMIFS(G698:G747,K698:K747,"0",B698:B747,"5 1 3 4 1 12 31111 6 M78 15000 171 00I 001 34101 025 2112000 2024 00000000 003*")</f>
        <v>0</v>
      </c>
      <c r="H697" s="34">
        <f t="shared" si="13"/>
        <v>348</v>
      </c>
      <c r="I697" s="34"/>
      <c r="K697" t="s">
        <v>15</v>
      </c>
    </row>
    <row r="698" spans="2:11" ht="33" x14ac:dyDescent="0.15">
      <c r="B698" s="36" t="s">
        <v>939</v>
      </c>
      <c r="C698" s="36" t="s">
        <v>940</v>
      </c>
      <c r="D698" s="37">
        <v>0</v>
      </c>
      <c r="E698" s="37"/>
      <c r="F698" s="37">
        <v>348</v>
      </c>
      <c r="G698" s="37">
        <v>0</v>
      </c>
      <c r="H698" s="37">
        <f t="shared" si="13"/>
        <v>348</v>
      </c>
      <c r="I698" s="37"/>
      <c r="K698" t="s">
        <v>39</v>
      </c>
    </row>
    <row r="699" spans="2:11" ht="13" x14ac:dyDescent="0.15">
      <c r="B699" s="33" t="s">
        <v>941</v>
      </c>
      <c r="C699" s="33" t="s">
        <v>942</v>
      </c>
      <c r="D699" s="34">
        <f>SUMIFS(D700:D747,K700:K747,"0",B700:B747,"5 1 3 5*")-SUMIFS(E700:E747,K700:K747,"0",B700:B747,"5 1 3 5*")</f>
        <v>0</v>
      </c>
      <c r="E699" s="35"/>
      <c r="F699" s="34">
        <f>SUMIFS(F700:F747,K700:K747,"0",B700:B747,"5 1 3 5*")</f>
        <v>611228.01</v>
      </c>
      <c r="G699" s="34">
        <f>SUMIFS(G700:G747,K700:K747,"0",B700:B747,"5 1 3 5*")</f>
        <v>0</v>
      </c>
      <c r="H699" s="34">
        <f t="shared" si="13"/>
        <v>611228.01</v>
      </c>
      <c r="I699" s="34"/>
      <c r="K699" t="s">
        <v>15</v>
      </c>
    </row>
    <row r="700" spans="2:11" ht="22" x14ac:dyDescent="0.15">
      <c r="B700" s="33" t="s">
        <v>943</v>
      </c>
      <c r="C700" s="33" t="s">
        <v>944</v>
      </c>
      <c r="D700" s="34">
        <f>SUMIFS(D701:D747,K701:K747,"0",B701:B747,"5 1 3 5 3*")-SUMIFS(E701:E747,K701:K747,"0",B701:B747,"5 1 3 5 3*")</f>
        <v>0</v>
      </c>
      <c r="E700" s="35"/>
      <c r="F700" s="34">
        <f>SUMIFS(F701:F747,K701:K747,"0",B701:B747,"5 1 3 5 3*")</f>
        <v>118700</v>
      </c>
      <c r="G700" s="34">
        <f>SUMIFS(G701:G747,K701:K747,"0",B701:B747,"5 1 3 5 3*")</f>
        <v>0</v>
      </c>
      <c r="H700" s="34">
        <f t="shared" si="13"/>
        <v>118700</v>
      </c>
      <c r="I700" s="34"/>
      <c r="K700" t="s">
        <v>15</v>
      </c>
    </row>
    <row r="701" spans="2:11" ht="13" x14ac:dyDescent="0.15">
      <c r="B701" s="33" t="s">
        <v>945</v>
      </c>
      <c r="C701" s="33" t="s">
        <v>26</v>
      </c>
      <c r="D701" s="34">
        <f>SUMIFS(D702:D747,K702:K747,"0",B702:B747,"5 1 3 5 3 12*")-SUMIFS(E702:E747,K702:K747,"0",B702:B747,"5 1 3 5 3 12*")</f>
        <v>0</v>
      </c>
      <c r="E701" s="35"/>
      <c r="F701" s="34">
        <f>SUMIFS(F702:F747,K702:K747,"0",B702:B747,"5 1 3 5 3 12*")</f>
        <v>118700</v>
      </c>
      <c r="G701" s="34">
        <f>SUMIFS(G702:G747,K702:K747,"0",B702:B747,"5 1 3 5 3 12*")</f>
        <v>0</v>
      </c>
      <c r="H701" s="34">
        <f t="shared" si="13"/>
        <v>118700</v>
      </c>
      <c r="I701" s="34"/>
      <c r="K701" t="s">
        <v>15</v>
      </c>
    </row>
    <row r="702" spans="2:11" ht="13" x14ac:dyDescent="0.15">
      <c r="B702" s="33" t="s">
        <v>946</v>
      </c>
      <c r="C702" s="33" t="s">
        <v>28</v>
      </c>
      <c r="D702" s="34">
        <f>SUMIFS(D703:D747,K703:K747,"0",B703:B747,"5 1 3 5 3 12 31111*")-SUMIFS(E703:E747,K703:K747,"0",B703:B747,"5 1 3 5 3 12 31111*")</f>
        <v>0</v>
      </c>
      <c r="E702" s="35"/>
      <c r="F702" s="34">
        <f>SUMIFS(F703:F747,K703:K747,"0",B703:B747,"5 1 3 5 3 12 31111*")</f>
        <v>118700</v>
      </c>
      <c r="G702" s="34">
        <f>SUMIFS(G703:G747,K703:K747,"0",B703:B747,"5 1 3 5 3 12 31111*")</f>
        <v>0</v>
      </c>
      <c r="H702" s="34">
        <f t="shared" si="13"/>
        <v>118700</v>
      </c>
      <c r="I702" s="34"/>
      <c r="K702" t="s">
        <v>15</v>
      </c>
    </row>
    <row r="703" spans="2:11" ht="13" x14ac:dyDescent="0.15">
      <c r="B703" s="33" t="s">
        <v>947</v>
      </c>
      <c r="C703" s="33" t="s">
        <v>30</v>
      </c>
      <c r="D703" s="34">
        <f>SUMIFS(D704:D747,K704:K747,"0",B704:B747,"5 1 3 5 3 12 31111 6*")-SUMIFS(E704:E747,K704:K747,"0",B704:B747,"5 1 3 5 3 12 31111 6*")</f>
        <v>0</v>
      </c>
      <c r="E703" s="35"/>
      <c r="F703" s="34">
        <f>SUMIFS(F704:F747,K704:K747,"0",B704:B747,"5 1 3 5 3 12 31111 6*")</f>
        <v>118700</v>
      </c>
      <c r="G703" s="34">
        <f>SUMIFS(G704:G747,K704:K747,"0",B704:B747,"5 1 3 5 3 12 31111 6*")</f>
        <v>0</v>
      </c>
      <c r="H703" s="34">
        <f t="shared" si="13"/>
        <v>118700</v>
      </c>
      <c r="I703" s="34"/>
      <c r="K703" t="s">
        <v>15</v>
      </c>
    </row>
    <row r="704" spans="2:11" ht="13" x14ac:dyDescent="0.15">
      <c r="B704" s="33" t="s">
        <v>948</v>
      </c>
      <c r="C704" s="33" t="s">
        <v>503</v>
      </c>
      <c r="D704" s="34">
        <f>SUMIFS(D705:D747,K705:K747,"0",B705:B747,"5 1 3 5 3 12 31111 6 M78*")-SUMIFS(E705:E747,K705:K747,"0",B705:B747,"5 1 3 5 3 12 31111 6 M78*")</f>
        <v>0</v>
      </c>
      <c r="E704" s="35"/>
      <c r="F704" s="34">
        <f>SUMIFS(F705:F747,K705:K747,"0",B705:B747,"5 1 3 5 3 12 31111 6 M78*")</f>
        <v>118700</v>
      </c>
      <c r="G704" s="34">
        <f>SUMIFS(G705:G747,K705:K747,"0",B705:B747,"5 1 3 5 3 12 31111 6 M78*")</f>
        <v>0</v>
      </c>
      <c r="H704" s="34">
        <f t="shared" si="13"/>
        <v>118700</v>
      </c>
      <c r="I704" s="34"/>
      <c r="K704" t="s">
        <v>15</v>
      </c>
    </row>
    <row r="705" spans="2:11" ht="13" x14ac:dyDescent="0.15">
      <c r="B705" s="33" t="s">
        <v>949</v>
      </c>
      <c r="C705" s="33" t="s">
        <v>163</v>
      </c>
      <c r="D705" s="34">
        <f>SUMIFS(D706:D747,K706:K747,"0",B706:B747,"5 1 3 5 3 12 31111 6 M78 15000*")-SUMIFS(E706:E747,K706:K747,"0",B706:B747,"5 1 3 5 3 12 31111 6 M78 15000*")</f>
        <v>0</v>
      </c>
      <c r="E705" s="35"/>
      <c r="F705" s="34">
        <f>SUMIFS(F706:F747,K706:K747,"0",B706:B747,"5 1 3 5 3 12 31111 6 M78 15000*")</f>
        <v>118700</v>
      </c>
      <c r="G705" s="34">
        <f>SUMIFS(G706:G747,K706:K747,"0",B706:B747,"5 1 3 5 3 12 31111 6 M78 15000*")</f>
        <v>0</v>
      </c>
      <c r="H705" s="34">
        <f t="shared" si="13"/>
        <v>118700</v>
      </c>
      <c r="I705" s="34"/>
      <c r="K705" t="s">
        <v>15</v>
      </c>
    </row>
    <row r="706" spans="2:11" ht="22" x14ac:dyDescent="0.15">
      <c r="B706" s="33" t="s">
        <v>950</v>
      </c>
      <c r="C706" s="33" t="s">
        <v>165</v>
      </c>
      <c r="D706" s="34">
        <f>SUMIFS(D707:D747,K707:K747,"0",B707:B747,"5 1 3 5 3 12 31111 6 M78 15000 171*")-SUMIFS(E707:E747,K707:K747,"0",B707:B747,"5 1 3 5 3 12 31111 6 M78 15000 171*")</f>
        <v>0</v>
      </c>
      <c r="E706" s="35"/>
      <c r="F706" s="34">
        <f>SUMIFS(F707:F747,K707:K747,"0",B707:B747,"5 1 3 5 3 12 31111 6 M78 15000 171*")</f>
        <v>118700</v>
      </c>
      <c r="G706" s="34">
        <f>SUMIFS(G707:G747,K707:K747,"0",B707:B747,"5 1 3 5 3 12 31111 6 M78 15000 171*")</f>
        <v>0</v>
      </c>
      <c r="H706" s="34">
        <f t="shared" si="13"/>
        <v>118700</v>
      </c>
      <c r="I706" s="34"/>
      <c r="K706" t="s">
        <v>15</v>
      </c>
    </row>
    <row r="707" spans="2:11" ht="22" x14ac:dyDescent="0.15">
      <c r="B707" s="33" t="s">
        <v>951</v>
      </c>
      <c r="C707" s="33" t="s">
        <v>167</v>
      </c>
      <c r="D707" s="34">
        <f>SUMIFS(D708:D747,K708:K747,"0",B708:B747,"5 1 3 5 3 12 31111 6 M78 15000 171 00I*")-SUMIFS(E708:E747,K708:K747,"0",B708:B747,"5 1 3 5 3 12 31111 6 M78 15000 171 00I*")</f>
        <v>0</v>
      </c>
      <c r="E707" s="35"/>
      <c r="F707" s="34">
        <f>SUMIFS(F708:F747,K708:K747,"0",B708:B747,"5 1 3 5 3 12 31111 6 M78 15000 171 00I*")</f>
        <v>118700</v>
      </c>
      <c r="G707" s="34">
        <f>SUMIFS(G708:G747,K708:K747,"0",B708:B747,"5 1 3 5 3 12 31111 6 M78 15000 171 00I*")</f>
        <v>0</v>
      </c>
      <c r="H707" s="34">
        <f t="shared" si="13"/>
        <v>118700</v>
      </c>
      <c r="I707" s="34"/>
      <c r="K707" t="s">
        <v>15</v>
      </c>
    </row>
    <row r="708" spans="2:11" ht="22" x14ac:dyDescent="0.15">
      <c r="B708" s="33" t="s">
        <v>952</v>
      </c>
      <c r="C708" s="33" t="s">
        <v>455</v>
      </c>
      <c r="D708" s="34">
        <f>SUMIFS(D709:D747,K709:K747,"0",B709:B747,"5 1 3 5 3 12 31111 6 M78 15000 171 00I 001*")-SUMIFS(E709:E747,K709:K747,"0",B709:B747,"5 1 3 5 3 12 31111 6 M78 15000 171 00I 001*")</f>
        <v>0</v>
      </c>
      <c r="E708" s="35"/>
      <c r="F708" s="34">
        <f>SUMIFS(F709:F747,K709:K747,"0",B709:B747,"5 1 3 5 3 12 31111 6 M78 15000 171 00I 001*")</f>
        <v>118700</v>
      </c>
      <c r="G708" s="34">
        <f>SUMIFS(G709:G747,K709:K747,"0",B709:B747,"5 1 3 5 3 12 31111 6 M78 15000 171 00I 001*")</f>
        <v>0</v>
      </c>
      <c r="H708" s="34">
        <f t="shared" si="13"/>
        <v>118700</v>
      </c>
      <c r="I708" s="34"/>
      <c r="K708" t="s">
        <v>15</v>
      </c>
    </row>
    <row r="709" spans="2:11" ht="22" x14ac:dyDescent="0.15">
      <c r="B709" s="33" t="s">
        <v>953</v>
      </c>
      <c r="C709" s="33" t="s">
        <v>954</v>
      </c>
      <c r="D709" s="34">
        <f>SUMIFS(D710:D747,K710:K747,"0",B710:B747,"5 1 3 5 3 12 31111 6 M78 15000 171 00I 001 35301*")-SUMIFS(E710:E747,K710:K747,"0",B710:B747,"5 1 3 5 3 12 31111 6 M78 15000 171 00I 001 35301*")</f>
        <v>0</v>
      </c>
      <c r="E709" s="35"/>
      <c r="F709" s="34">
        <f>SUMIFS(F710:F747,K710:K747,"0",B710:B747,"5 1 3 5 3 12 31111 6 M78 15000 171 00I 001 35301*")</f>
        <v>118700</v>
      </c>
      <c r="G709" s="34">
        <f>SUMIFS(G710:G747,K710:K747,"0",B710:B747,"5 1 3 5 3 12 31111 6 M78 15000 171 00I 001 35301*")</f>
        <v>0</v>
      </c>
      <c r="H709" s="34">
        <f t="shared" si="13"/>
        <v>118700</v>
      </c>
      <c r="I709" s="34"/>
      <c r="K709" t="s">
        <v>15</v>
      </c>
    </row>
    <row r="710" spans="2:11" ht="22" x14ac:dyDescent="0.15">
      <c r="B710" s="33" t="s">
        <v>955</v>
      </c>
      <c r="C710" s="33" t="s">
        <v>173</v>
      </c>
      <c r="D710" s="34">
        <f>SUMIFS(D711:D747,K711:K747,"0",B711:B747,"5 1 3 5 3 12 31111 6 M78 15000 171 00I 001 35301 025*")-SUMIFS(E711:E747,K711:K747,"0",B711:B747,"5 1 3 5 3 12 31111 6 M78 15000 171 00I 001 35301 025*")</f>
        <v>0</v>
      </c>
      <c r="E710" s="35"/>
      <c r="F710" s="34">
        <f>SUMIFS(F711:F747,K711:K747,"0",B711:B747,"5 1 3 5 3 12 31111 6 M78 15000 171 00I 001 35301 025*")</f>
        <v>118700</v>
      </c>
      <c r="G710" s="34">
        <f>SUMIFS(G711:G747,K711:K747,"0",B711:B747,"5 1 3 5 3 12 31111 6 M78 15000 171 00I 001 35301 025*")</f>
        <v>0</v>
      </c>
      <c r="H710" s="34">
        <f t="shared" si="13"/>
        <v>118700</v>
      </c>
      <c r="I710" s="34"/>
      <c r="K710" t="s">
        <v>15</v>
      </c>
    </row>
    <row r="711" spans="2:11" ht="22" x14ac:dyDescent="0.15">
      <c r="B711" s="33" t="s">
        <v>956</v>
      </c>
      <c r="C711" s="33" t="s">
        <v>175</v>
      </c>
      <c r="D711" s="34">
        <f>SUMIFS(D712:D747,K712:K747,"0",B712:B747,"5 1 3 5 3 12 31111 6 M78 15000 171 00I 001 35301 025 2112000*")-SUMIFS(E712:E747,K712:K747,"0",B712:B747,"5 1 3 5 3 12 31111 6 M78 15000 171 00I 001 35301 025 2112000*")</f>
        <v>0</v>
      </c>
      <c r="E711" s="35"/>
      <c r="F711" s="34">
        <f>SUMIFS(F712:F747,K712:K747,"0",B712:B747,"5 1 3 5 3 12 31111 6 M78 15000 171 00I 001 35301 025 2112000*")</f>
        <v>118700</v>
      </c>
      <c r="G711" s="34">
        <f>SUMIFS(G712:G747,K712:K747,"0",B712:B747,"5 1 3 5 3 12 31111 6 M78 15000 171 00I 001 35301 025 2112000*")</f>
        <v>0</v>
      </c>
      <c r="H711" s="34">
        <f t="shared" si="13"/>
        <v>118700</v>
      </c>
      <c r="I711" s="34"/>
      <c r="K711" t="s">
        <v>15</v>
      </c>
    </row>
    <row r="712" spans="2:11" ht="33" x14ac:dyDescent="0.15">
      <c r="B712" s="33" t="s">
        <v>957</v>
      </c>
      <c r="C712" s="33" t="s">
        <v>318</v>
      </c>
      <c r="D712" s="34">
        <f>SUMIFS(D713:D747,K713:K747,"0",B713:B747,"5 1 3 5 3 12 31111 6 M78 15000 171 00I 001 35301 025 2112000 2024*")-SUMIFS(E713:E747,K713:K747,"0",B713:B747,"5 1 3 5 3 12 31111 6 M78 15000 171 00I 001 35301 025 2112000 2024*")</f>
        <v>0</v>
      </c>
      <c r="E712" s="35"/>
      <c r="F712" s="34">
        <f>SUMIFS(F713:F747,K713:K747,"0",B713:B747,"5 1 3 5 3 12 31111 6 M78 15000 171 00I 001 35301 025 2112000 2024*")</f>
        <v>118700</v>
      </c>
      <c r="G712" s="34">
        <f>SUMIFS(G713:G747,K713:K747,"0",B713:B747,"5 1 3 5 3 12 31111 6 M78 15000 171 00I 001 35301 025 2112000 2024*")</f>
        <v>0</v>
      </c>
      <c r="H712" s="34">
        <f t="shared" ref="H712:H735" si="14">D712 + F712 - G712</f>
        <v>118700</v>
      </c>
      <c r="I712" s="34"/>
      <c r="K712" t="s">
        <v>15</v>
      </c>
    </row>
    <row r="713" spans="2:11" ht="33" x14ac:dyDescent="0.15">
      <c r="B713" s="33" t="s">
        <v>958</v>
      </c>
      <c r="C713" s="33" t="s">
        <v>179</v>
      </c>
      <c r="D713" s="34">
        <f>SUMIFS(D714:D747,K714:K747,"0",B714:B747,"5 1 3 5 3 12 31111 6 M78 15000 171 00I 001 35301 025 2112000 2024 00000000*")-SUMIFS(E714:E747,K714:K747,"0",B714:B747,"5 1 3 5 3 12 31111 6 M78 15000 171 00I 001 35301 025 2112000 2024 00000000*")</f>
        <v>0</v>
      </c>
      <c r="E713" s="35"/>
      <c r="F713" s="34">
        <f>SUMIFS(F714:F747,K714:K747,"0",B714:B747,"5 1 3 5 3 12 31111 6 M78 15000 171 00I 001 35301 025 2112000 2024 00000000*")</f>
        <v>118700</v>
      </c>
      <c r="G713" s="34">
        <f>SUMIFS(G714:G747,K714:K747,"0",B714:B747,"5 1 3 5 3 12 31111 6 M78 15000 171 00I 001 35301 025 2112000 2024 00000000*")</f>
        <v>0</v>
      </c>
      <c r="H713" s="34">
        <f t="shared" si="14"/>
        <v>118700</v>
      </c>
      <c r="I713" s="34"/>
      <c r="K713" t="s">
        <v>15</v>
      </c>
    </row>
    <row r="714" spans="2:11" ht="33" x14ac:dyDescent="0.15">
      <c r="B714" s="33" t="s">
        <v>959</v>
      </c>
      <c r="C714" s="33" t="s">
        <v>9</v>
      </c>
      <c r="D714" s="34">
        <f>SUMIFS(D715:D747,K715:K747,"0",B715:B747,"5 1 3 5 3 12 31111 6 M78 15000 171 00I 001 35301 025 2112000 2024 00000000 003*")-SUMIFS(E715:E747,K715:K747,"0",B715:B747,"5 1 3 5 3 12 31111 6 M78 15000 171 00I 001 35301 025 2112000 2024 00000000 003*")</f>
        <v>0</v>
      </c>
      <c r="E714" s="35"/>
      <c r="F714" s="34">
        <f>SUMIFS(F715:F747,K715:K747,"0",B715:B747,"5 1 3 5 3 12 31111 6 M78 15000 171 00I 001 35301 025 2112000 2024 00000000 003*")</f>
        <v>118700</v>
      </c>
      <c r="G714" s="34">
        <f>SUMIFS(G715:G747,K715:K747,"0",B715:B747,"5 1 3 5 3 12 31111 6 M78 15000 171 00I 001 35301 025 2112000 2024 00000000 003*")</f>
        <v>0</v>
      </c>
      <c r="H714" s="34">
        <f t="shared" si="14"/>
        <v>118700</v>
      </c>
      <c r="I714" s="34"/>
      <c r="K714" t="s">
        <v>15</v>
      </c>
    </row>
    <row r="715" spans="2:11" ht="33" x14ac:dyDescent="0.15">
      <c r="B715" s="36" t="s">
        <v>960</v>
      </c>
      <c r="C715" s="36" t="s">
        <v>961</v>
      </c>
      <c r="D715" s="37">
        <v>0</v>
      </c>
      <c r="E715" s="37"/>
      <c r="F715" s="37">
        <v>49800</v>
      </c>
      <c r="G715" s="37">
        <v>0</v>
      </c>
      <c r="H715" s="37">
        <f t="shared" si="14"/>
        <v>49800</v>
      </c>
      <c r="I715" s="37"/>
      <c r="K715" t="s">
        <v>39</v>
      </c>
    </row>
    <row r="716" spans="2:11" ht="33" x14ac:dyDescent="0.15">
      <c r="B716" s="36" t="s">
        <v>962</v>
      </c>
      <c r="C716" s="36" t="s">
        <v>963</v>
      </c>
      <c r="D716" s="37">
        <v>0</v>
      </c>
      <c r="E716" s="37"/>
      <c r="F716" s="37">
        <v>68900</v>
      </c>
      <c r="G716" s="37">
        <v>0</v>
      </c>
      <c r="H716" s="37">
        <f t="shared" si="14"/>
        <v>68900</v>
      </c>
      <c r="I716" s="37"/>
      <c r="K716" t="s">
        <v>39</v>
      </c>
    </row>
    <row r="717" spans="2:11" ht="13" x14ac:dyDescent="0.15">
      <c r="B717" s="33" t="s">
        <v>964</v>
      </c>
      <c r="C717" s="33" t="s">
        <v>965</v>
      </c>
      <c r="D717" s="34">
        <f>SUMIFS(D718:D747,K718:K747,"0",B718:B747,"5 1 3 5 5*")-SUMIFS(E718:E747,K718:K747,"0",B718:B747,"5 1 3 5 5*")</f>
        <v>0</v>
      </c>
      <c r="E717" s="35"/>
      <c r="F717" s="34">
        <f>SUMIFS(F718:F747,K718:K747,"0",B718:B747,"5 1 3 5 5*")</f>
        <v>492528.01</v>
      </c>
      <c r="G717" s="34">
        <f>SUMIFS(G718:G747,K718:K747,"0",B718:B747,"5 1 3 5 5*")</f>
        <v>0</v>
      </c>
      <c r="H717" s="34">
        <f t="shared" si="14"/>
        <v>492528.01</v>
      </c>
      <c r="I717" s="34"/>
      <c r="K717" t="s">
        <v>15</v>
      </c>
    </row>
    <row r="718" spans="2:11" ht="13" x14ac:dyDescent="0.15">
      <c r="B718" s="33" t="s">
        <v>966</v>
      </c>
      <c r="C718" s="33" t="s">
        <v>26</v>
      </c>
      <c r="D718" s="34">
        <f>SUMIFS(D719:D747,K719:K747,"0",B719:B747,"5 1 3 5 5 12*")-SUMIFS(E719:E747,K719:K747,"0",B719:B747,"5 1 3 5 5 12*")</f>
        <v>0</v>
      </c>
      <c r="E718" s="35"/>
      <c r="F718" s="34">
        <f>SUMIFS(F719:F747,K719:K747,"0",B719:B747,"5 1 3 5 5 12*")</f>
        <v>492528.01</v>
      </c>
      <c r="G718" s="34">
        <f>SUMIFS(G719:G747,K719:K747,"0",B719:B747,"5 1 3 5 5 12*")</f>
        <v>0</v>
      </c>
      <c r="H718" s="34">
        <f t="shared" si="14"/>
        <v>492528.01</v>
      </c>
      <c r="I718" s="34"/>
      <c r="K718" t="s">
        <v>15</v>
      </c>
    </row>
    <row r="719" spans="2:11" ht="13" x14ac:dyDescent="0.15">
      <c r="B719" s="33" t="s">
        <v>967</v>
      </c>
      <c r="C719" s="33" t="s">
        <v>28</v>
      </c>
      <c r="D719" s="34">
        <f>SUMIFS(D720:D747,K720:K747,"0",B720:B747,"5 1 3 5 5 12 31111*")-SUMIFS(E720:E747,K720:K747,"0",B720:B747,"5 1 3 5 5 12 31111*")</f>
        <v>0</v>
      </c>
      <c r="E719" s="35"/>
      <c r="F719" s="34">
        <f>SUMIFS(F720:F747,K720:K747,"0",B720:B747,"5 1 3 5 5 12 31111*")</f>
        <v>492528.01</v>
      </c>
      <c r="G719" s="34">
        <f>SUMIFS(G720:G747,K720:K747,"0",B720:B747,"5 1 3 5 5 12 31111*")</f>
        <v>0</v>
      </c>
      <c r="H719" s="34">
        <f t="shared" si="14"/>
        <v>492528.01</v>
      </c>
      <c r="I719" s="34"/>
      <c r="K719" t="s">
        <v>15</v>
      </c>
    </row>
    <row r="720" spans="2:11" ht="13" x14ac:dyDescent="0.15">
      <c r="B720" s="33" t="s">
        <v>968</v>
      </c>
      <c r="C720" s="33" t="s">
        <v>30</v>
      </c>
      <c r="D720" s="34">
        <f>SUMIFS(D721:D747,K721:K747,"0",B721:B747,"5 1 3 5 5 12 31111 6*")-SUMIFS(E721:E747,K721:K747,"0",B721:B747,"5 1 3 5 5 12 31111 6*")</f>
        <v>0</v>
      </c>
      <c r="E720" s="35"/>
      <c r="F720" s="34">
        <f>SUMIFS(F721:F747,K721:K747,"0",B721:B747,"5 1 3 5 5 12 31111 6*")</f>
        <v>492528.01</v>
      </c>
      <c r="G720" s="34">
        <f>SUMIFS(G721:G747,K721:K747,"0",B721:B747,"5 1 3 5 5 12 31111 6*")</f>
        <v>0</v>
      </c>
      <c r="H720" s="34">
        <f t="shared" si="14"/>
        <v>492528.01</v>
      </c>
      <c r="I720" s="34"/>
      <c r="K720" t="s">
        <v>15</v>
      </c>
    </row>
    <row r="721" spans="2:11" ht="13" x14ac:dyDescent="0.15">
      <c r="B721" s="33" t="s">
        <v>969</v>
      </c>
      <c r="C721" s="33" t="s">
        <v>503</v>
      </c>
      <c r="D721" s="34">
        <f>SUMIFS(D722:D747,K722:K747,"0",B722:B747,"5 1 3 5 5 12 31111 6 M78*")-SUMIFS(E722:E747,K722:K747,"0",B722:B747,"5 1 3 5 5 12 31111 6 M78*")</f>
        <v>0</v>
      </c>
      <c r="E721" s="35"/>
      <c r="F721" s="34">
        <f>SUMIFS(F722:F747,K722:K747,"0",B722:B747,"5 1 3 5 5 12 31111 6 M78*")</f>
        <v>492528.01</v>
      </c>
      <c r="G721" s="34">
        <f>SUMIFS(G722:G747,K722:K747,"0",B722:B747,"5 1 3 5 5 12 31111 6 M78*")</f>
        <v>0</v>
      </c>
      <c r="H721" s="34">
        <f t="shared" si="14"/>
        <v>492528.01</v>
      </c>
      <c r="I721" s="34"/>
      <c r="K721" t="s">
        <v>15</v>
      </c>
    </row>
    <row r="722" spans="2:11" ht="13" x14ac:dyDescent="0.15">
      <c r="B722" s="33" t="s">
        <v>970</v>
      </c>
      <c r="C722" s="33" t="s">
        <v>163</v>
      </c>
      <c r="D722" s="34">
        <f>SUMIFS(D723:D747,K723:K747,"0",B723:B747,"5 1 3 5 5 12 31111 6 M78 15000*")-SUMIFS(E723:E747,K723:K747,"0",B723:B747,"5 1 3 5 5 12 31111 6 M78 15000*")</f>
        <v>0</v>
      </c>
      <c r="E722" s="35"/>
      <c r="F722" s="34">
        <f>SUMIFS(F723:F747,K723:K747,"0",B723:B747,"5 1 3 5 5 12 31111 6 M78 15000*")</f>
        <v>492528.01</v>
      </c>
      <c r="G722" s="34">
        <f>SUMIFS(G723:G747,K723:K747,"0",B723:B747,"5 1 3 5 5 12 31111 6 M78 15000*")</f>
        <v>0</v>
      </c>
      <c r="H722" s="34">
        <f t="shared" si="14"/>
        <v>492528.01</v>
      </c>
      <c r="I722" s="34"/>
      <c r="K722" t="s">
        <v>15</v>
      </c>
    </row>
    <row r="723" spans="2:11" ht="22" x14ac:dyDescent="0.15">
      <c r="B723" s="33" t="s">
        <v>971</v>
      </c>
      <c r="C723" s="33" t="s">
        <v>165</v>
      </c>
      <c r="D723" s="34">
        <f>SUMIFS(D724:D747,K724:K747,"0",B724:B747,"5 1 3 5 5 12 31111 6 M78 15000 171*")-SUMIFS(E724:E747,K724:K747,"0",B724:B747,"5 1 3 5 5 12 31111 6 M78 15000 171*")</f>
        <v>0</v>
      </c>
      <c r="E723" s="35"/>
      <c r="F723" s="34">
        <f>SUMIFS(F724:F747,K724:K747,"0",B724:B747,"5 1 3 5 5 12 31111 6 M78 15000 171*")</f>
        <v>492528.01</v>
      </c>
      <c r="G723" s="34">
        <f>SUMIFS(G724:G747,K724:K747,"0",B724:B747,"5 1 3 5 5 12 31111 6 M78 15000 171*")</f>
        <v>0</v>
      </c>
      <c r="H723" s="34">
        <f t="shared" si="14"/>
        <v>492528.01</v>
      </c>
      <c r="I723" s="34"/>
      <c r="K723" t="s">
        <v>15</v>
      </c>
    </row>
    <row r="724" spans="2:11" ht="22" x14ac:dyDescent="0.15">
      <c r="B724" s="33" t="s">
        <v>972</v>
      </c>
      <c r="C724" s="33" t="s">
        <v>167</v>
      </c>
      <c r="D724" s="34">
        <f>SUMIFS(D725:D747,K725:K747,"0",B725:B747,"5 1 3 5 5 12 31111 6 M78 15000 171 00I*")-SUMIFS(E725:E747,K725:K747,"0",B725:B747,"5 1 3 5 5 12 31111 6 M78 15000 171 00I*")</f>
        <v>0</v>
      </c>
      <c r="E724" s="35"/>
      <c r="F724" s="34">
        <f>SUMIFS(F725:F747,K725:K747,"0",B725:B747,"5 1 3 5 5 12 31111 6 M78 15000 171 00I*")</f>
        <v>492528.01</v>
      </c>
      <c r="G724" s="34">
        <f>SUMIFS(G725:G747,K725:K747,"0",B725:B747,"5 1 3 5 5 12 31111 6 M78 15000 171 00I*")</f>
        <v>0</v>
      </c>
      <c r="H724" s="34">
        <f t="shared" si="14"/>
        <v>492528.01</v>
      </c>
      <c r="I724" s="34"/>
      <c r="K724" t="s">
        <v>15</v>
      </c>
    </row>
    <row r="725" spans="2:11" ht="22" x14ac:dyDescent="0.15">
      <c r="B725" s="33" t="s">
        <v>973</v>
      </c>
      <c r="C725" s="33" t="s">
        <v>455</v>
      </c>
      <c r="D725" s="34">
        <f>SUMIFS(D726:D747,K726:K747,"0",B726:B747,"5 1 3 5 5 12 31111 6 M78 15000 171 00I 001*")-SUMIFS(E726:E747,K726:K747,"0",B726:B747,"5 1 3 5 5 12 31111 6 M78 15000 171 00I 001*")</f>
        <v>0</v>
      </c>
      <c r="E725" s="35"/>
      <c r="F725" s="34">
        <f>SUMIFS(F726:F747,K726:K747,"0",B726:B747,"5 1 3 5 5 12 31111 6 M78 15000 171 00I 001*")</f>
        <v>492528.01</v>
      </c>
      <c r="G725" s="34">
        <f>SUMIFS(G726:G747,K726:K747,"0",B726:B747,"5 1 3 5 5 12 31111 6 M78 15000 171 00I 001*")</f>
        <v>0</v>
      </c>
      <c r="H725" s="34">
        <f t="shared" si="14"/>
        <v>492528.01</v>
      </c>
      <c r="I725" s="34"/>
      <c r="K725" t="s">
        <v>15</v>
      </c>
    </row>
    <row r="726" spans="2:11" ht="22" x14ac:dyDescent="0.15">
      <c r="B726" s="33" t="s">
        <v>974</v>
      </c>
      <c r="C726" s="33" t="s">
        <v>975</v>
      </c>
      <c r="D726" s="34">
        <f>SUMIFS(D727:D747,K727:K747,"0",B727:B747,"5 1 3 5 5 12 31111 6 M78 15000 171 00I 001 35501*")-SUMIFS(E727:E747,K727:K747,"0",B727:B747,"5 1 3 5 5 12 31111 6 M78 15000 171 00I 001 35501*")</f>
        <v>0</v>
      </c>
      <c r="E726" s="35"/>
      <c r="F726" s="34">
        <f>SUMIFS(F727:F747,K727:K747,"0",B727:B747,"5 1 3 5 5 12 31111 6 M78 15000 171 00I 001 35501*")</f>
        <v>492528.01</v>
      </c>
      <c r="G726" s="34">
        <f>SUMIFS(G727:G747,K727:K747,"0",B727:B747,"5 1 3 5 5 12 31111 6 M78 15000 171 00I 001 35501*")</f>
        <v>0</v>
      </c>
      <c r="H726" s="34">
        <f t="shared" si="14"/>
        <v>492528.01</v>
      </c>
      <c r="I726" s="34"/>
      <c r="K726" t="s">
        <v>15</v>
      </c>
    </row>
    <row r="727" spans="2:11" ht="22" x14ac:dyDescent="0.15">
      <c r="B727" s="33" t="s">
        <v>976</v>
      </c>
      <c r="C727" s="33" t="s">
        <v>173</v>
      </c>
      <c r="D727" s="34">
        <f>SUMIFS(D728:D747,K728:K747,"0",B728:B747,"5 1 3 5 5 12 31111 6 M78 15000 171 00I 001 35501 025*")-SUMIFS(E728:E747,K728:K747,"0",B728:B747,"5 1 3 5 5 12 31111 6 M78 15000 171 00I 001 35501 025*")</f>
        <v>0</v>
      </c>
      <c r="E727" s="35"/>
      <c r="F727" s="34">
        <f>SUMIFS(F728:F747,K728:K747,"0",B728:B747,"5 1 3 5 5 12 31111 6 M78 15000 171 00I 001 35501 025*")</f>
        <v>492528.01</v>
      </c>
      <c r="G727" s="34">
        <f>SUMIFS(G728:G747,K728:K747,"0",B728:B747,"5 1 3 5 5 12 31111 6 M78 15000 171 00I 001 35501 025*")</f>
        <v>0</v>
      </c>
      <c r="H727" s="34">
        <f t="shared" si="14"/>
        <v>492528.01</v>
      </c>
      <c r="I727" s="34"/>
      <c r="K727" t="s">
        <v>15</v>
      </c>
    </row>
    <row r="728" spans="2:11" ht="22" x14ac:dyDescent="0.15">
      <c r="B728" s="33" t="s">
        <v>977</v>
      </c>
      <c r="C728" s="33" t="s">
        <v>175</v>
      </c>
      <c r="D728" s="34">
        <f>SUMIFS(D729:D747,K729:K747,"0",B729:B747,"5 1 3 5 5 12 31111 6 M78 15000 171 00I 001 35501 025 2112000*")-SUMIFS(E729:E747,K729:K747,"0",B729:B747,"5 1 3 5 5 12 31111 6 M78 15000 171 00I 001 35501 025 2112000*")</f>
        <v>0</v>
      </c>
      <c r="E728" s="35"/>
      <c r="F728" s="34">
        <f>SUMIFS(F729:F747,K729:K747,"0",B729:B747,"5 1 3 5 5 12 31111 6 M78 15000 171 00I 001 35501 025 2112000*")</f>
        <v>492528.01</v>
      </c>
      <c r="G728" s="34">
        <f>SUMIFS(G729:G747,K729:K747,"0",B729:B747,"5 1 3 5 5 12 31111 6 M78 15000 171 00I 001 35501 025 2112000*")</f>
        <v>0</v>
      </c>
      <c r="H728" s="34">
        <f t="shared" si="14"/>
        <v>492528.01</v>
      </c>
      <c r="I728" s="34"/>
      <c r="K728" t="s">
        <v>15</v>
      </c>
    </row>
    <row r="729" spans="2:11" ht="33" x14ac:dyDescent="0.15">
      <c r="B729" s="33" t="s">
        <v>978</v>
      </c>
      <c r="C729" s="33" t="s">
        <v>318</v>
      </c>
      <c r="D729" s="34">
        <f>SUMIFS(D730:D747,K730:K747,"0",B730:B747,"5 1 3 5 5 12 31111 6 M78 15000 171 00I 001 35501 025 2112000 2024*")-SUMIFS(E730:E747,K730:K747,"0",B730:B747,"5 1 3 5 5 12 31111 6 M78 15000 171 00I 001 35501 025 2112000 2024*")</f>
        <v>0</v>
      </c>
      <c r="E729" s="35"/>
      <c r="F729" s="34">
        <f>SUMIFS(F730:F747,K730:K747,"0",B730:B747,"5 1 3 5 5 12 31111 6 M78 15000 171 00I 001 35501 025 2112000 2024*")</f>
        <v>492528.01</v>
      </c>
      <c r="G729" s="34">
        <f>SUMIFS(G730:G747,K730:K747,"0",B730:B747,"5 1 3 5 5 12 31111 6 M78 15000 171 00I 001 35501 025 2112000 2024*")</f>
        <v>0</v>
      </c>
      <c r="H729" s="34">
        <f t="shared" si="14"/>
        <v>492528.01</v>
      </c>
      <c r="I729" s="34"/>
      <c r="K729" t="s">
        <v>15</v>
      </c>
    </row>
    <row r="730" spans="2:11" ht="33" x14ac:dyDescent="0.15">
      <c r="B730" s="33" t="s">
        <v>979</v>
      </c>
      <c r="C730" s="33" t="s">
        <v>179</v>
      </c>
      <c r="D730" s="34">
        <f>SUMIFS(D731:D747,K731:K747,"0",B731:B747,"5 1 3 5 5 12 31111 6 M78 15000 171 00I 001 35501 025 2112000 2024 00000000*")-SUMIFS(E731:E747,K731:K747,"0",B731:B747,"5 1 3 5 5 12 31111 6 M78 15000 171 00I 001 35501 025 2112000 2024 00000000*")</f>
        <v>0</v>
      </c>
      <c r="E730" s="35"/>
      <c r="F730" s="34">
        <f>SUMIFS(F731:F747,K731:K747,"0",B731:B747,"5 1 3 5 5 12 31111 6 M78 15000 171 00I 001 35501 025 2112000 2024 00000000*")</f>
        <v>492528.01</v>
      </c>
      <c r="G730" s="34">
        <f>SUMIFS(G731:G747,K731:K747,"0",B731:B747,"5 1 3 5 5 12 31111 6 M78 15000 171 00I 001 35501 025 2112000 2024 00000000*")</f>
        <v>0</v>
      </c>
      <c r="H730" s="34">
        <f t="shared" si="14"/>
        <v>492528.01</v>
      </c>
      <c r="I730" s="34"/>
      <c r="K730" t="s">
        <v>15</v>
      </c>
    </row>
    <row r="731" spans="2:11" ht="33" x14ac:dyDescent="0.15">
      <c r="B731" s="33" t="s">
        <v>980</v>
      </c>
      <c r="C731" s="33" t="s">
        <v>9</v>
      </c>
      <c r="D731" s="34">
        <f>SUMIFS(D732:D747,K732:K747,"0",B732:B747,"5 1 3 5 5 12 31111 6 M78 15000 171 00I 001 35501 025 2112000 2024 00000000 003*")-SUMIFS(E732:E747,K732:K747,"0",B732:B747,"5 1 3 5 5 12 31111 6 M78 15000 171 00I 001 35501 025 2112000 2024 00000000 003*")</f>
        <v>0</v>
      </c>
      <c r="E731" s="35"/>
      <c r="F731" s="34">
        <f>SUMIFS(F732:F747,K732:K747,"0",B732:B747,"5 1 3 5 5 12 31111 6 M78 15000 171 00I 001 35501 025 2112000 2024 00000000 003*")</f>
        <v>492528.01</v>
      </c>
      <c r="G731" s="34">
        <f>SUMIFS(G732:G747,K732:K747,"0",B732:B747,"5 1 3 5 5 12 31111 6 M78 15000 171 00I 001 35501 025 2112000 2024 00000000 003*")</f>
        <v>0</v>
      </c>
      <c r="H731" s="34">
        <f t="shared" si="14"/>
        <v>492528.01</v>
      </c>
      <c r="I731" s="34"/>
      <c r="K731" t="s">
        <v>15</v>
      </c>
    </row>
    <row r="732" spans="2:11" ht="33" x14ac:dyDescent="0.15">
      <c r="B732" s="36" t="s">
        <v>981</v>
      </c>
      <c r="C732" s="36" t="s">
        <v>982</v>
      </c>
      <c r="D732" s="37">
        <v>0</v>
      </c>
      <c r="E732" s="37"/>
      <c r="F732" s="37">
        <v>492528.01</v>
      </c>
      <c r="G732" s="37">
        <v>0</v>
      </c>
      <c r="H732" s="37">
        <f t="shared" si="14"/>
        <v>492528.01</v>
      </c>
      <c r="I732" s="37"/>
      <c r="K732" t="s">
        <v>39</v>
      </c>
    </row>
    <row r="733" spans="2:11" ht="13" x14ac:dyDescent="0.15">
      <c r="B733" s="33" t="s">
        <v>983</v>
      </c>
      <c r="C733" s="33" t="s">
        <v>984</v>
      </c>
      <c r="D733" s="34">
        <f>SUMIFS(D734:D747,K734:K747,"0",B734:B747,"8*")-SUMIFS(E734:E747,K734:K747,"0",B734:B747,"8*")</f>
        <v>0</v>
      </c>
      <c r="E733" s="35"/>
      <c r="F733" s="34">
        <f>SUMIFS(F734:F747,K734:K747,"0",B734:B747,"8*")</f>
        <v>77497870.420000002</v>
      </c>
      <c r="G733" s="34">
        <f>SUMIFS(G734:G747,K734:K747,"0",B734:B747,"8*")</f>
        <v>77497870.420000002</v>
      </c>
      <c r="H733" s="34">
        <f t="shared" si="14"/>
        <v>0</v>
      </c>
      <c r="I733" s="34"/>
      <c r="K733" t="s">
        <v>15</v>
      </c>
    </row>
    <row r="734" spans="2:11" ht="13" x14ac:dyDescent="0.15">
      <c r="B734" s="33" t="s">
        <v>985</v>
      </c>
      <c r="C734" s="33" t="s">
        <v>986</v>
      </c>
      <c r="D734" s="34">
        <f>SUMIFS(D735:D747,K735:K747,"0",B735:B747,"8 1*")-SUMIFS(E735:E747,K735:K747,"0",B735:B747,"8 1*")</f>
        <v>0</v>
      </c>
      <c r="E734" s="35"/>
      <c r="F734" s="34">
        <f>SUMIFS(F735:F747,K735:K747,"0",B735:B747,"8 1*")</f>
        <v>33454829.799999997</v>
      </c>
      <c r="G734" s="34">
        <f>SUMIFS(G735:G747,K735:K747,"0",B735:B747,"8 1*")</f>
        <v>33454829.799999997</v>
      </c>
      <c r="H734" s="34">
        <f t="shared" si="14"/>
        <v>0</v>
      </c>
      <c r="I734" s="34"/>
      <c r="K734" t="s">
        <v>15</v>
      </c>
    </row>
    <row r="735" spans="2:11" ht="13" x14ac:dyDescent="0.15">
      <c r="B735" s="36" t="s">
        <v>987</v>
      </c>
      <c r="C735" s="36" t="s">
        <v>988</v>
      </c>
      <c r="D735" s="37">
        <v>0</v>
      </c>
      <c r="E735" s="37"/>
      <c r="F735" s="37">
        <v>14402429.460000001</v>
      </c>
      <c r="G735" s="37">
        <v>0</v>
      </c>
      <c r="H735" s="37">
        <f t="shared" si="14"/>
        <v>14402429.460000001</v>
      </c>
      <c r="I735" s="37"/>
      <c r="K735" t="s">
        <v>39</v>
      </c>
    </row>
    <row r="736" spans="2:11" ht="13" x14ac:dyDescent="0.15">
      <c r="B736" s="36" t="s">
        <v>989</v>
      </c>
      <c r="C736" s="36" t="s">
        <v>990</v>
      </c>
      <c r="D736" s="37"/>
      <c r="E736" s="37">
        <v>0</v>
      </c>
      <c r="F736" s="37">
        <v>8378383.3300000001</v>
      </c>
      <c r="G736" s="37">
        <v>16698063.140000001</v>
      </c>
      <c r="H736" s="37"/>
      <c r="I736" s="37">
        <f>E736 - F736 + G736</f>
        <v>8319679.8100000005</v>
      </c>
      <c r="K736" t="s">
        <v>39</v>
      </c>
    </row>
    <row r="737" spans="2:11" ht="13" x14ac:dyDescent="0.15">
      <c r="B737" s="36" t="s">
        <v>991</v>
      </c>
      <c r="C737" s="36" t="s">
        <v>992</v>
      </c>
      <c r="D737" s="37">
        <v>0</v>
      </c>
      <c r="E737" s="37"/>
      <c r="F737" s="37">
        <v>2295633.6800000002</v>
      </c>
      <c r="G737" s="37">
        <v>0</v>
      </c>
      <c r="H737" s="37">
        <f>D737 + F737 - G737</f>
        <v>2295633.6800000002</v>
      </c>
      <c r="I737" s="37"/>
      <c r="K737" t="s">
        <v>39</v>
      </c>
    </row>
    <row r="738" spans="2:11" ht="13" x14ac:dyDescent="0.15">
      <c r="B738" s="36" t="s">
        <v>993</v>
      </c>
      <c r="C738" s="36" t="s">
        <v>994</v>
      </c>
      <c r="D738" s="37"/>
      <c r="E738" s="37">
        <v>0</v>
      </c>
      <c r="F738" s="37">
        <v>8378383.3300000001</v>
      </c>
      <c r="G738" s="37">
        <v>8378383.3300000001</v>
      </c>
      <c r="H738" s="37"/>
      <c r="I738" s="37">
        <f>E738 - F738 + G738</f>
        <v>0</v>
      </c>
      <c r="K738" t="s">
        <v>39</v>
      </c>
    </row>
    <row r="739" spans="2:11" ht="13" x14ac:dyDescent="0.15">
      <c r="B739" s="36" t="s">
        <v>995</v>
      </c>
      <c r="C739" s="36" t="s">
        <v>996</v>
      </c>
      <c r="D739" s="37"/>
      <c r="E739" s="37">
        <v>0</v>
      </c>
      <c r="F739" s="37">
        <v>0</v>
      </c>
      <c r="G739" s="37">
        <v>8378383.3300000001</v>
      </c>
      <c r="H739" s="37"/>
      <c r="I739" s="37">
        <f>E739 - F739 + G739</f>
        <v>8378383.3300000001</v>
      </c>
      <c r="K739" t="s">
        <v>39</v>
      </c>
    </row>
    <row r="740" spans="2:11" ht="13" x14ac:dyDescent="0.15">
      <c r="B740" s="33" t="s">
        <v>997</v>
      </c>
      <c r="C740" s="33" t="s">
        <v>998</v>
      </c>
      <c r="D740" s="35"/>
      <c r="E740" s="34">
        <f>SUMIFS(E741:E747,K741:K747,"0",B741:B747,"8 2*")-SUMIFS(D741:D747,K741:K747,"0",B741:B747,"8 2*")</f>
        <v>0</v>
      </c>
      <c r="F740" s="34">
        <f>SUMIFS(F741:F747,K741:K747,"0",B741:B747,"8 2*")</f>
        <v>44043040.619999997</v>
      </c>
      <c r="G740" s="34">
        <f>SUMIFS(G741:G747,K741:K747,"0",B741:B747,"8 2*")</f>
        <v>44043040.619999997</v>
      </c>
      <c r="H740" s="34"/>
      <c r="I740" s="34">
        <f>E740 - F740 + G740</f>
        <v>0</v>
      </c>
      <c r="K740" t="s">
        <v>15</v>
      </c>
    </row>
    <row r="741" spans="2:11" ht="13" x14ac:dyDescent="0.15">
      <c r="B741" s="36" t="s">
        <v>999</v>
      </c>
      <c r="C741" s="36" t="s">
        <v>1000</v>
      </c>
      <c r="D741" s="37"/>
      <c r="E741" s="37">
        <v>0</v>
      </c>
      <c r="F741" s="37">
        <v>0</v>
      </c>
      <c r="G741" s="37">
        <v>14402429.460000001</v>
      </c>
      <c r="H741" s="37"/>
      <c r="I741" s="37">
        <f>E741 - F741 + G741</f>
        <v>14402429.460000001</v>
      </c>
      <c r="K741" t="s">
        <v>39</v>
      </c>
    </row>
    <row r="742" spans="2:11" ht="13" x14ac:dyDescent="0.15">
      <c r="B742" s="36" t="s">
        <v>1001</v>
      </c>
      <c r="C742" s="36" t="s">
        <v>1002</v>
      </c>
      <c r="D742" s="37">
        <v>0</v>
      </c>
      <c r="E742" s="37"/>
      <c r="F742" s="37">
        <v>16698063.140000001</v>
      </c>
      <c r="G742" s="37">
        <v>6836244.3700000001</v>
      </c>
      <c r="H742" s="37">
        <f>D742 + F742 - G742</f>
        <v>9861818.7699999996</v>
      </c>
      <c r="I742" s="37"/>
      <c r="K742" t="s">
        <v>39</v>
      </c>
    </row>
    <row r="743" spans="2:11" ht="13" x14ac:dyDescent="0.15">
      <c r="B743" s="36" t="s">
        <v>1003</v>
      </c>
      <c r="C743" s="36" t="s">
        <v>1004</v>
      </c>
      <c r="D743" s="37"/>
      <c r="E743" s="37">
        <v>0</v>
      </c>
      <c r="F743" s="37">
        <v>0</v>
      </c>
      <c r="G743" s="37">
        <v>2295633.6800000002</v>
      </c>
      <c r="H743" s="37"/>
      <c r="I743" s="37">
        <f>E743 - F743 + G743</f>
        <v>2295633.6800000002</v>
      </c>
      <c r="K743" t="s">
        <v>39</v>
      </c>
    </row>
    <row r="744" spans="2:11" ht="13" x14ac:dyDescent="0.15">
      <c r="B744" s="36" t="s">
        <v>1005</v>
      </c>
      <c r="C744" s="36" t="s">
        <v>1006</v>
      </c>
      <c r="D744" s="37">
        <v>0</v>
      </c>
      <c r="E744" s="37"/>
      <c r="F744" s="37">
        <v>6836244.3700000001</v>
      </c>
      <c r="G744" s="37">
        <v>6836244.3700000001</v>
      </c>
      <c r="H744" s="37">
        <f>D744 + F744 - G744</f>
        <v>0</v>
      </c>
      <c r="I744" s="37"/>
      <c r="K744" t="s">
        <v>39</v>
      </c>
    </row>
    <row r="745" spans="2:11" ht="13" x14ac:dyDescent="0.15">
      <c r="B745" s="36" t="s">
        <v>1007</v>
      </c>
      <c r="C745" s="36" t="s">
        <v>1008</v>
      </c>
      <c r="D745" s="37">
        <v>0</v>
      </c>
      <c r="E745" s="37"/>
      <c r="F745" s="37">
        <v>6836244.3700000001</v>
      </c>
      <c r="G745" s="37">
        <v>6836244.3700000001</v>
      </c>
      <c r="H745" s="37">
        <f>D745 + F745 - G745</f>
        <v>0</v>
      </c>
      <c r="I745" s="37"/>
      <c r="K745" t="s">
        <v>39</v>
      </c>
    </row>
    <row r="746" spans="2:11" ht="13" x14ac:dyDescent="0.15">
      <c r="B746" s="36" t="s">
        <v>1009</v>
      </c>
      <c r="C746" s="36" t="s">
        <v>1010</v>
      </c>
      <c r="D746" s="37">
        <v>0</v>
      </c>
      <c r="E746" s="37"/>
      <c r="F746" s="37">
        <v>6836244.3700000001</v>
      </c>
      <c r="G746" s="37">
        <v>6836244.3700000001</v>
      </c>
      <c r="H746" s="37">
        <f>D746 + F746 - G746</f>
        <v>0</v>
      </c>
      <c r="I746" s="37"/>
      <c r="K746" t="s">
        <v>39</v>
      </c>
    </row>
    <row r="747" spans="2:11" ht="13" x14ac:dyDescent="0.15">
      <c r="B747" s="36" t="s">
        <v>1011</v>
      </c>
      <c r="C747" s="36" t="s">
        <v>1012</v>
      </c>
      <c r="D747" s="37">
        <v>0</v>
      </c>
      <c r="E747" s="37"/>
      <c r="F747" s="37">
        <v>6836244.3700000001</v>
      </c>
      <c r="G747" s="37">
        <v>0</v>
      </c>
      <c r="H747" s="37">
        <f>D747 + F747 - G747</f>
        <v>6836244.3700000001</v>
      </c>
      <c r="I747" s="37"/>
      <c r="K747" t="s">
        <v>39</v>
      </c>
    </row>
    <row r="748" spans="2:11" x14ac:dyDescent="0.15">
      <c r="B748" s="38"/>
      <c r="C748" s="39"/>
      <c r="D748" s="40"/>
      <c r="E748" s="40"/>
      <c r="F748" s="40"/>
      <c r="G748" s="38"/>
      <c r="H748" s="39"/>
      <c r="I748" s="40"/>
    </row>
    <row r="749" spans="2:11" x14ac:dyDescent="0.15">
      <c r="B749" s="38"/>
      <c r="C749" s="39"/>
      <c r="D749" s="41">
        <f>SUMIF(K12:K747,"=0",D12:D747)</f>
        <v>3192579.13</v>
      </c>
      <c r="E749" s="41">
        <f>SUMIF(K12:K747,"=0",E12:E747)</f>
        <v>3192579.13</v>
      </c>
      <c r="F749" s="41">
        <f>SUMIF(K12:K747,"=0",F12:F747)</f>
        <v>114120514.69000003</v>
      </c>
      <c r="G749" s="41">
        <f>SUMIF(K12:K747,"=0",G12:G747)</f>
        <v>114120514.69000003</v>
      </c>
      <c r="H749" s="41">
        <f>SUMIF(K12:K747,"=0",H12:H747)</f>
        <v>44110681.82</v>
      </c>
      <c r="I749" s="41">
        <f>SUMIF(K12:K747,"=0",I12:I747)</f>
        <v>44110681.82</v>
      </c>
    </row>
    <row r="753" spans="2:9" x14ac:dyDescent="0.15">
      <c r="B753" s="27" t="str">
        <f>IF(AND(ROUND(D749, 2)=ROUND(E749, 2), ROUND(F749, 2)=ROUND(G749, 2), ROUND(H749,2)=ROUND(I749, 2)), "Bajo protesta de decir verdad declaramos que los estados financieros y sus notas son correctas, verídicas y responsabilidad del emisor", "* * * * * * * * * * * * * * * * * * * * * * * * * * * * * *BALANCE DESCUADRADO* * * * * * * * * * * * * * * * * * * * * * * * * * * * * *")</f>
        <v>Bajo protesta de decir verdad declaramos que los estados financieros y sus notas son correctas, verídicas y responsabilidad del emisor</v>
      </c>
    </row>
    <row r="755" spans="2:9" x14ac:dyDescent="0.15">
      <c r="B755" s="28"/>
      <c r="C755" s="28"/>
      <c r="D755" s="5"/>
      <c r="E755" s="5"/>
      <c r="F755" s="29"/>
      <c r="G755" s="29"/>
      <c r="H755" s="30"/>
      <c r="I755" s="30"/>
    </row>
    <row r="756" spans="2:9" x14ac:dyDescent="0.15">
      <c r="B756" s="28"/>
      <c r="C756" s="28"/>
      <c r="D756" s="5"/>
      <c r="E756" s="5"/>
      <c r="F756" s="29"/>
      <c r="G756" s="29"/>
      <c r="H756" s="30"/>
      <c r="I756" s="30"/>
    </row>
    <row r="757" spans="2:9" x14ac:dyDescent="0.15">
      <c r="B757" s="28"/>
      <c r="C757" s="28"/>
      <c r="D757" s="5"/>
      <c r="E757" s="5"/>
      <c r="F757" s="29"/>
      <c r="G757" s="29"/>
      <c r="H757" s="30"/>
      <c r="I757" s="30"/>
    </row>
    <row r="758" spans="2:9" x14ac:dyDescent="0.15">
      <c r="B758" s="31"/>
      <c r="C758" s="31"/>
      <c r="D758" s="5"/>
      <c r="E758" s="5"/>
      <c r="F758" s="32"/>
      <c r="G758" s="32"/>
      <c r="H758" s="4"/>
    </row>
    <row r="759" spans="2:9" x14ac:dyDescent="0.15">
      <c r="B759" s="31"/>
      <c r="C759" s="31"/>
      <c r="D759" s="5"/>
      <c r="E759" s="5"/>
      <c r="F759" s="32"/>
      <c r="G759" s="32"/>
      <c r="H759" s="4"/>
    </row>
    <row r="760" spans="2:9" x14ac:dyDescent="0.15">
      <c r="B760" s="31"/>
      <c r="C760" s="31"/>
      <c r="D760" s="5"/>
      <c r="E760" s="5"/>
      <c r="F760" s="32"/>
      <c r="G760" s="32"/>
      <c r="H760" s="4"/>
    </row>
    <row r="761" spans="2:9" x14ac:dyDescent="0.15">
      <c r="B761" s="31"/>
      <c r="C761" s="31"/>
      <c r="D761" s="5"/>
      <c r="E761" s="5"/>
      <c r="F761" s="32"/>
      <c r="G761" s="32"/>
      <c r="H761" s="4"/>
    </row>
    <row r="762" spans="2:9" x14ac:dyDescent="0.15">
      <c r="B762" s="31"/>
      <c r="C762" s="31"/>
      <c r="D762" s="5"/>
      <c r="E762" s="5"/>
      <c r="F762" s="32"/>
      <c r="G762" s="32"/>
      <c r="H762" s="4"/>
    </row>
    <row r="763" spans="2:9" x14ac:dyDescent="0.15">
      <c r="B763" s="31"/>
      <c r="C763" s="31"/>
      <c r="D763" s="5"/>
      <c r="E763" s="5"/>
      <c r="F763" s="32"/>
      <c r="G763" s="32"/>
      <c r="H763" s="4"/>
    </row>
  </sheetData>
  <mergeCells count="12">
    <mergeCell ref="B7:I7"/>
    <mergeCell ref="B2:I2"/>
    <mergeCell ref="B3:I3"/>
    <mergeCell ref="B4:I4"/>
    <mergeCell ref="B5:I5"/>
    <mergeCell ref="B6:I6"/>
    <mergeCell ref="D10:E10"/>
    <mergeCell ref="F10:G10"/>
    <mergeCell ref="H10:I10"/>
    <mergeCell ref="D9:E9"/>
    <mergeCell ref="F9:G9"/>
    <mergeCell ref="H9:I9"/>
  </mergeCells>
  <phoneticPr fontId="0" type="noConversion"/>
  <pageMargins left="0.78740157480314965" right="0.78740157480314965" top="0.39370078740157483" bottom="0.39370078740157483" header="0" footer="0"/>
  <pageSetup scale="80" orientation="landscape" r:id="rId1"/>
  <headerFooter alignWithMargins="0">
    <oddFooter>&amp;C&amp;7CoRam-Contabilidad                                               &amp;T            &amp;D&amp;R&amp;7Pagina (&amp;P) de (&amp;N)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Esteban Hermenegildo Abarca García</cp:lastModifiedBy>
  <cp:lastPrinted>2024-08-09T02:49:52Z</cp:lastPrinted>
  <dcterms:created xsi:type="dcterms:W3CDTF">1996-11-27T10:00:04Z</dcterms:created>
  <dcterms:modified xsi:type="dcterms:W3CDTF">2024-08-24T00:26:24Z</dcterms:modified>
</cp:coreProperties>
</file>